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25" windowWidth="28455" windowHeight="13485" activeTab="4"/>
  </bookViews>
  <sheets>
    <sheet name="Rekapitulace stavby" sheetId="1" r:id="rId1"/>
    <sheet name="SO - 01 - Stavební část" sheetId="2" r:id="rId2"/>
    <sheet name="SO - 02 - Zpevněné plochy" sheetId="5" r:id="rId3"/>
    <sheet name="SO -03- technologické vybavení " sheetId="6" r:id="rId4"/>
    <sheet name="SO - 04 - VRN" sheetId="4" r:id="rId5"/>
  </sheets>
  <definedNames>
    <definedName name="_xlnm._FilterDatabase" localSheetId="1" hidden="1">'SO - 01 - Stavební část'!$C$48:$K$187</definedName>
    <definedName name="_xlnm._FilterDatabase" localSheetId="2" hidden="1">'SO - 02 - Zpevněné plochy'!$C$44:$K$78</definedName>
    <definedName name="_xlnm._FilterDatabase" localSheetId="4" hidden="1">'SO - 04 - VRN'!$C$47:$K$54</definedName>
    <definedName name="_xlnm.Print_Area" localSheetId="0">'Rekapitulace stavby'!$D$4:$AO$35,'Rekapitulace stavby'!$C$38:$AQ$54</definedName>
    <definedName name="_xlnm.Print_Titles" localSheetId="0">'Rekapitulace stavby'!$48:$48</definedName>
    <definedName name="_xlnm.Print_Titles" localSheetId="1">'SO - 01 - Stavební část'!$48:$48</definedName>
    <definedName name="_xlnm.Print_Titles" localSheetId="2">'SO - 02 - Zpevněné plochy'!$44:$44</definedName>
    <definedName name="_xlnm.Print_Titles" localSheetId="4">'SO - 04 - VRN'!$47:$47</definedName>
  </definedNames>
  <calcPr calcId="125725"/>
</workbook>
</file>

<file path=xl/sharedStrings.xml><?xml version="1.0" encoding="utf-8"?>
<sst xmlns="http://schemas.openxmlformats.org/spreadsheetml/2006/main" count="2234" uniqueCount="496">
  <si>
    <t>Export Komplet</t>
  </si>
  <si>
    <t/>
  </si>
  <si>
    <t>2.0</t>
  </si>
  <si>
    <t>False</t>
  </si>
  <si>
    <t>{035757b7-b6a9-413e-bde0-d9875bbed49c}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</si>
  <si>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</si>
  <si>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</si>
  <si>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</si>
  <si>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</si>
  <si>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</si>
  <si>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</si>
  <si>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</si>
  <si>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</si>
  <si>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9027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</si>
  <si>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</si>
  <si>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</si>
  <si>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</si>
  <si>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</si>
  <si>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</si>
  <si>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</si>
  <si>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</si>
  <si>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</si>
  <si>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</si>
  <si>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</si>
  <si>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</si>
  <si>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</si>
  <si>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</si>
  <si>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</si>
  <si>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</si>
  <si>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</si>
  <si>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</si>
  <si>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</si>
  <si>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</si>
  <si>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</si>
  <si>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</si>
  <si>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</si>
  <si>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</si>
  <si>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</si>
  <si>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</si>
  <si>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</si>
  <si>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</si>
  <si>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</si>
  <si>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</si>
  <si>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</si>
  <si>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</si>
  <si>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</si>
  <si>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</si>
  <si>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</si>
  <si>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</si>
  <si>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</si>
  <si>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</si>
  <si>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</si>
  <si>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</si>
  <si>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</si>
  <si>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</si>
  <si>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</si>
  <si>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</si>
  <si>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</si>
  <si>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</si>
  <si>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</si>
  <si>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</si>
  <si>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</si>
  <si>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</si>
  <si>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</si>
  <si>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</si>
  <si>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</si>
  <si>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- 01</t>
  </si>
  <si>
    <t>Stavební část</t>
  </si>
  <si>
    <t>STA</t>
  </si>
  <si>
    <t>1</t>
  </si>
  <si>
    <t>{163babf2-62d8-41e1-8fd7-c61b90f3f5bd}</t>
  </si>
  <si>
    <t>2</t>
  </si>
  <si>
    <t>SO - 02</t>
  </si>
  <si>
    <t>SO - 04</t>
  </si>
  <si>
    <t>VRN</t>
  </si>
  <si>
    <t>{f161c4dc-8531-4dde-a76a-94473254ab90}</t>
  </si>
  <si>
    <t>SO - 03</t>
  </si>
  <si>
    <t>Zpevněné plochy</t>
  </si>
  <si>
    <t>{2fe5b150-50ce-476d-88ac-aa594e7a8844}</t>
  </si>
  <si>
    <t>KRYCÍ LIST SOUPISU PRACÍ</t>
  </si>
  <si>
    <t>Objekt:</t>
  </si>
  <si>
    <t>SO - 01 -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</si>
  <si>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</si>
  <si>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</si>
  <si>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</si>
  <si>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</si>
  <si>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</si>
  <si>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</si>
  <si>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</si>
  <si>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</si>
  <si>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</si>
  <si>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</si>
  <si>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</si>
  <si>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</si>
  <si>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</si>
  <si>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</si>
  <si>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</si>
  <si>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</si>
  <si>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</si>
  <si>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</si>
  <si>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</si>
  <si>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</si>
  <si>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</si>
  <si>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</si>
  <si>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</si>
  <si>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</si>
  <si>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</si>
  <si>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</si>
  <si>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</si>
  <si>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</si>
  <si>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133212811</t>
  </si>
  <si>
    <t>Hloubení nezapažených šachet v hornině třídy těžitelnosti I skupiny 3 plocha výkopu do 4 m2 ručně</t>
  </si>
  <si>
    <t>m3</t>
  </si>
  <si>
    <t>4</t>
  </si>
  <si>
    <t>1209534675</t>
  </si>
  <si>
    <t>VV</t>
  </si>
  <si>
    <t>3</t>
  </si>
  <si>
    <t>162751117</t>
  </si>
  <si>
    <t>Vodorovné přemístění přes 9 000 do 10000 m výkopku/sypaniny z horniny třídy těžitelnosti I skupiny 1 až 3</t>
  </si>
  <si>
    <t>828921053</t>
  </si>
  <si>
    <t>171201231</t>
  </si>
  <si>
    <t>Poplatek za uložení zeminy a kamení na recyklační skládce (skládkovné) kód odpadu 17 05 04</t>
  </si>
  <si>
    <t>t</t>
  </si>
  <si>
    <t>-886907710</t>
  </si>
  <si>
    <t>5</t>
  </si>
  <si>
    <t>171251201</t>
  </si>
  <si>
    <t>Uložení sypaniny na skládky nebo meziskládky</t>
  </si>
  <si>
    <t>-523281123</t>
  </si>
  <si>
    <t>6</t>
  </si>
  <si>
    <t>174111101</t>
  </si>
  <si>
    <t>Zásyp jam, šachet rýh nebo kolem objektů sypaninou se zhutněním ručně</t>
  </si>
  <si>
    <t>1415774243</t>
  </si>
  <si>
    <t>7</t>
  </si>
  <si>
    <t>174151101</t>
  </si>
  <si>
    <t>Zásyp jam, šachet rýh nebo kolem objektů sypaninou se zhutněním</t>
  </si>
  <si>
    <t>1985461984</t>
  </si>
  <si>
    <t>Zakládání</t>
  </si>
  <si>
    <t>8</t>
  </si>
  <si>
    <t>271532212</t>
  </si>
  <si>
    <t>Podsyp pod základové konstrukce se zhutněním z hrubého kameniva frakce 16 až 32 mm</t>
  </si>
  <si>
    <t>1372719965</t>
  </si>
  <si>
    <t>9</t>
  </si>
  <si>
    <t>273321311</t>
  </si>
  <si>
    <t>Základové desky ze ŽB bez zvýšených nároků na prostředí tř. C 16/20</t>
  </si>
  <si>
    <t>-112484648</t>
  </si>
  <si>
    <t>10</t>
  </si>
  <si>
    <t>273351121</t>
  </si>
  <si>
    <t>Zřízení bednění základových desek</t>
  </si>
  <si>
    <t>m2</t>
  </si>
  <si>
    <t>609819476</t>
  </si>
  <si>
    <t>11</t>
  </si>
  <si>
    <t>273351122</t>
  </si>
  <si>
    <t>Odstranění bednění základových desek</t>
  </si>
  <si>
    <t>1695821796</t>
  </si>
  <si>
    <t>12</t>
  </si>
  <si>
    <t>273361821</t>
  </si>
  <si>
    <t>Výztuž základových desek betonářskou ocelí 10 505 (R)</t>
  </si>
  <si>
    <t>-1767136031</t>
  </si>
  <si>
    <t>13</t>
  </si>
  <si>
    <t>275321411</t>
  </si>
  <si>
    <t>Základové patky ze ŽB bez zvýšených nároků na prostředí tř. C 20/25</t>
  </si>
  <si>
    <t>1604161186</t>
  </si>
  <si>
    <t>14</t>
  </si>
  <si>
    <t>Svislé a kompletní konstrukce</t>
  </si>
  <si>
    <t>16</t>
  </si>
  <si>
    <t>17</t>
  </si>
  <si>
    <t>311113142</t>
  </si>
  <si>
    <t>-1561467252</t>
  </si>
  <si>
    <t>18</t>
  </si>
  <si>
    <t>317121151</t>
  </si>
  <si>
    <t>Montáž ŽB překladů prefabrikovaných do rýh světlosti otvoru do 1050 mm</t>
  </si>
  <si>
    <t>kus</t>
  </si>
  <si>
    <t>-176631815</t>
  </si>
  <si>
    <t>19</t>
  </si>
  <si>
    <t>M</t>
  </si>
  <si>
    <t>59321511</t>
  </si>
  <si>
    <t>překlad železobetonový RZP vylehčený 1490x140x215mm</t>
  </si>
  <si>
    <t>-135585607</t>
  </si>
  <si>
    <t>Vodorovné konstrukce</t>
  </si>
  <si>
    <t>20</t>
  </si>
  <si>
    <t>411321414</t>
  </si>
  <si>
    <t>Stropy deskové ze ŽB tř. C 25/30</t>
  </si>
  <si>
    <t>-1853340028</t>
  </si>
  <si>
    <t>411354213</t>
  </si>
  <si>
    <t>Bednění stropů ztracené z hraněných trapézových vln v 60 mm plech lesklý tl 0,75 mm</t>
  </si>
  <si>
    <t>-426327716</t>
  </si>
  <si>
    <t>2,35*2,45</t>
  </si>
  <si>
    <t>22</t>
  </si>
  <si>
    <t>411354333</t>
  </si>
  <si>
    <t>Zřízení podpěrné konstrukce stropů výšky přes 4 do 6 m tl přes 15 do 25 cm</t>
  </si>
  <si>
    <t>-832330034</t>
  </si>
  <si>
    <t>23</t>
  </si>
  <si>
    <t>411354334</t>
  </si>
  <si>
    <t>Odstranění podpěrné konstrukce stropů výšky přes 4 do 6 m tl přes 15 do 25 cm</t>
  </si>
  <si>
    <t>-1852920933</t>
  </si>
  <si>
    <t>24</t>
  </si>
  <si>
    <t>413941123</t>
  </si>
  <si>
    <t>Osazování ocelových válcovaných nosníků stropů I, IE, U, UE nebo L č. 14 až 22 nebo výšky přes 120 do 220 mm</t>
  </si>
  <si>
    <t>-2125470181</t>
  </si>
  <si>
    <t>25</t>
  </si>
  <si>
    <t>13010746</t>
  </si>
  <si>
    <t>ocel profilová jakost S235JR (11 375) průřez IPE 140</t>
  </si>
  <si>
    <t>-1082511241</t>
  </si>
  <si>
    <t>27</t>
  </si>
  <si>
    <t>13321030</t>
  </si>
  <si>
    <t>tyč ocelová plochá jakost S235JR (11 375) 120x60mm</t>
  </si>
  <si>
    <t>-954640047</t>
  </si>
  <si>
    <t>28</t>
  </si>
  <si>
    <t>13010442</t>
  </si>
  <si>
    <t>úhelník ocelový rovnostranný jakost S235JR (11 375) 100x100x10mm</t>
  </si>
  <si>
    <t>1392235776</t>
  </si>
  <si>
    <t>Úpravy povrchů, podlahy a osazování výplní</t>
  </si>
  <si>
    <t>29</t>
  </si>
  <si>
    <t>612131101</t>
  </si>
  <si>
    <t>Cementový postřik vnitřních stěn nanášený celoplošně ručně</t>
  </si>
  <si>
    <t>400943585</t>
  </si>
  <si>
    <t>30</t>
  </si>
  <si>
    <t>612321121</t>
  </si>
  <si>
    <t>Vápenocementová omítka hladká jednovrstvá vnitřních stěn nanášená ručně</t>
  </si>
  <si>
    <t>389953804</t>
  </si>
  <si>
    <t>31</t>
  </si>
  <si>
    <t>612321191</t>
  </si>
  <si>
    <t>Příplatek k vápenocementové omítce vnitřních stěn za každých dalších 5 mm tloušťky ručně</t>
  </si>
  <si>
    <t>-1291970894</t>
  </si>
  <si>
    <t>32</t>
  </si>
  <si>
    <t>612325301</t>
  </si>
  <si>
    <t>Vápenocementová hladká omítka ostění nebo nadpraží</t>
  </si>
  <si>
    <t>-937663233</t>
  </si>
  <si>
    <t>33</t>
  </si>
  <si>
    <t>612325302</t>
  </si>
  <si>
    <t>Vápenocementová štuková omítka ostění nebo nadpraží</t>
  </si>
  <si>
    <t>2093379058</t>
  </si>
  <si>
    <t>34</t>
  </si>
  <si>
    <t>622143004</t>
  </si>
  <si>
    <t>Montáž omítkových samolepících začišťovacích profilů pro spojení s okenním rámem</t>
  </si>
  <si>
    <t>m</t>
  </si>
  <si>
    <t>714669039</t>
  </si>
  <si>
    <t>35</t>
  </si>
  <si>
    <t>59051476</t>
  </si>
  <si>
    <t>profil začišťovací PVC 9mm s výztužnou tkaninou pro ostění ETICS</t>
  </si>
  <si>
    <t>-575109143</t>
  </si>
  <si>
    <t>36</t>
  </si>
  <si>
    <t>622211001</t>
  </si>
  <si>
    <t>373906145</t>
  </si>
  <si>
    <t>37</t>
  </si>
  <si>
    <t>28375932</t>
  </si>
  <si>
    <t>1761643501</t>
  </si>
  <si>
    <t>43</t>
  </si>
  <si>
    <t>622251232</t>
  </si>
  <si>
    <t>příplatek za pracnost kontaktního zateplení vnějších stěn</t>
  </si>
  <si>
    <t>-1186938599</t>
  </si>
  <si>
    <t>44</t>
  </si>
  <si>
    <t>622252001</t>
  </si>
  <si>
    <t>Montáž profilů kontaktního zateplení připevněných mechanicky</t>
  </si>
  <si>
    <t>-272698790</t>
  </si>
  <si>
    <t>47</t>
  </si>
  <si>
    <t>59051653</t>
  </si>
  <si>
    <t>profil zakládací Al tl 0,7mm pro ETICS pro izolant tl 160mm</t>
  </si>
  <si>
    <t>-94473307</t>
  </si>
  <si>
    <t>7,5*1,05 'Přepočtené koeficientem množství</t>
  </si>
  <si>
    <t>50</t>
  </si>
  <si>
    <t>622511112</t>
  </si>
  <si>
    <t>Tenkovrstvá akrylátová mozaiková střednězrnná omítka vnějších stěn</t>
  </si>
  <si>
    <t>1290740406</t>
  </si>
  <si>
    <t>52</t>
  </si>
  <si>
    <t>631311234</t>
  </si>
  <si>
    <t>Mazanina tl přes 120 do 240 mm z betonu prostého se zvýšenými nároky na prostředí tř. C 25/30</t>
  </si>
  <si>
    <t>-1299674015</t>
  </si>
  <si>
    <t>631351101</t>
  </si>
  <si>
    <t>Zřízení bednění rýh a hran v podlahách</t>
  </si>
  <si>
    <t>631351102</t>
  </si>
  <si>
    <t>Odstranění bednění rýh a hran v podlahách</t>
  </si>
  <si>
    <t>Ostatní konstrukce a práce, bourání</t>
  </si>
  <si>
    <t>55</t>
  </si>
  <si>
    <t>941111131</t>
  </si>
  <si>
    <t>Montáž lešení řadového trubkového lehkého s podlahami zatížení do 200 kg/m2 š přes 1,2 do 1,5 m v do 10 m</t>
  </si>
  <si>
    <t>-1589066971</t>
  </si>
  <si>
    <t>56</t>
  </si>
  <si>
    <t>941111231</t>
  </si>
  <si>
    <t>Příplatek k lešení řadovému trubkovému lehkému s podlahami š 1,5 m v 10 m za první a ZKD den použití</t>
  </si>
  <si>
    <t>1849579091</t>
  </si>
  <si>
    <t>57</t>
  </si>
  <si>
    <t>941111831</t>
  </si>
  <si>
    <t>Demontáž lešení řadového trubkového lehkého s podlahami zatížení do 200 kg/m2 š přes 1,2 do 1,5 m v do 10 m</t>
  </si>
  <si>
    <t>-1877002062</t>
  </si>
  <si>
    <t>60</t>
  </si>
  <si>
    <t>968082016</t>
  </si>
  <si>
    <t>Vybourání plastových rámů oken včetně křídel plochy přes 1 do 2 m2</t>
  </si>
  <si>
    <t>-560160343</t>
  </si>
  <si>
    <t>61</t>
  </si>
  <si>
    <t>971033441</t>
  </si>
  <si>
    <t>Vybourání otvorů ve zdivu cihelném pl do 0,25 m2 na MVC nebo MV tl do 300 mm</t>
  </si>
  <si>
    <t>-327940779</t>
  </si>
  <si>
    <t>"pro překlady"3,0</t>
  </si>
  <si>
    <t>62</t>
  </si>
  <si>
    <t>971033541</t>
  </si>
  <si>
    <t>Vybourání otvorů ve zdivu cihelném pl do 1 m2 na MVC nebo MV tl do 300 mm</t>
  </si>
  <si>
    <t>1898734535</t>
  </si>
  <si>
    <t>997</t>
  </si>
  <si>
    <t>Přesun sutě</t>
  </si>
  <si>
    <t>63</t>
  </si>
  <si>
    <t>997013501</t>
  </si>
  <si>
    <t>Odvoz suti a vybouraných hmot na skládku nebo meziskládku do 1 km se složením</t>
  </si>
  <si>
    <t>-1324733134</t>
  </si>
  <si>
    <t>64</t>
  </si>
  <si>
    <t>997013509</t>
  </si>
  <si>
    <t>Příplatek k odvozu suti a vybouraných hmot na skládku ZKD 1 km přes 1 km</t>
  </si>
  <si>
    <t>1301226629</t>
  </si>
  <si>
    <t>6,35*14 'Přepočtené koeficientem množství</t>
  </si>
  <si>
    <t>65</t>
  </si>
  <si>
    <t>997013631</t>
  </si>
  <si>
    <t>Poplatek za uložení na skládce (skládkovné) stavebního odpadu směsného kód odpadu 17 09 04</t>
  </si>
  <si>
    <t>1601113952</t>
  </si>
  <si>
    <t>998</t>
  </si>
  <si>
    <t>Přesun hmot</t>
  </si>
  <si>
    <t>66</t>
  </si>
  <si>
    <t>998011002</t>
  </si>
  <si>
    <t>Přesun hmot pro budovy zděné v přes 6 do 12 m</t>
  </si>
  <si>
    <t>1845463088</t>
  </si>
  <si>
    <t>PSV</t>
  </si>
  <si>
    <t>Práce a dodávky PSV</t>
  </si>
  <si>
    <t>711</t>
  </si>
  <si>
    <t>Izolace proti vodě, vlhkosti a plynům</t>
  </si>
  <si>
    <t>67</t>
  </si>
  <si>
    <t>711111001</t>
  </si>
  <si>
    <t>Provedení izolace proti zemní vlhkosti vodorovné za studena nátěrem penetračním</t>
  </si>
  <si>
    <t>-1815995329</t>
  </si>
  <si>
    <t>68</t>
  </si>
  <si>
    <t>11163150</t>
  </si>
  <si>
    <t>lak penetrační asfaltový</t>
  </si>
  <si>
    <t>1358765503</t>
  </si>
  <si>
    <t>6,375*0,00033 'Přepočtené koeficientem množství</t>
  </si>
  <si>
    <t>69</t>
  </si>
  <si>
    <t>711112001</t>
  </si>
  <si>
    <t>Provedení izolace proti zemní vlhkosti svislé za studena nátěrem penetračním</t>
  </si>
  <si>
    <t>-2131543748</t>
  </si>
  <si>
    <t>(2,45*2+2,35)*1,2</t>
  </si>
  <si>
    <t>70</t>
  </si>
  <si>
    <t>-948225380</t>
  </si>
  <si>
    <t>8,7*0,00034 'Přepočtené koeficientem množství</t>
  </si>
  <si>
    <t>71</t>
  </si>
  <si>
    <t>711141559</t>
  </si>
  <si>
    <t>Provedení izolace proti zemní vlhkosti pásy přitavením vodorovné NAIP</t>
  </si>
  <si>
    <t>1107474527</t>
  </si>
  <si>
    <t>72</t>
  </si>
  <si>
    <t>62832000</t>
  </si>
  <si>
    <t>pás asfaltový natavitelný oxidovaný tl 3,0mm typu V60 S30 s vložkou ze skleněné rohože, s jemnozrnným minerálním posypem</t>
  </si>
  <si>
    <t>-2061337019</t>
  </si>
  <si>
    <t>73</t>
  </si>
  <si>
    <t>711142559</t>
  </si>
  <si>
    <t>Provedení izolace proti zemní vlhkosti pásy přitavením svislé NAIP</t>
  </si>
  <si>
    <t>1459628538</t>
  </si>
  <si>
    <t>74</t>
  </si>
  <si>
    <t>380741851</t>
  </si>
  <si>
    <t>8,7*1,221 'Přepočtené koeficientem množství</t>
  </si>
  <si>
    <t>75</t>
  </si>
  <si>
    <t>998711202</t>
  </si>
  <si>
    <t>Přesun hmot procentní pro izolace proti vodě, vlhkosti a plynům v objektech v přes 6 do 12 m</t>
  </si>
  <si>
    <t>%</t>
  </si>
  <si>
    <t>2014483924</t>
  </si>
  <si>
    <t>713</t>
  </si>
  <si>
    <t>Izolace tepelné</t>
  </si>
  <si>
    <t>76</t>
  </si>
  <si>
    <t>713131141</t>
  </si>
  <si>
    <t>Montáž izolace tepelné stěn a základů lepením celoplošně rohoží, pásů, dílců, desek</t>
  </si>
  <si>
    <t>944416950</t>
  </si>
  <si>
    <t>77</t>
  </si>
  <si>
    <t>28376013</t>
  </si>
  <si>
    <t>deska perimetrická fasádní soklová 150kPa λ=0,035 tl 50mm</t>
  </si>
  <si>
    <t>-1539151762</t>
  </si>
  <si>
    <t>78</t>
  </si>
  <si>
    <t>713141131</t>
  </si>
  <si>
    <t>Montáž izolace tepelné střech plochých lepené za studena plně 1 vrstva rohoží, pásů, dílců, desek</t>
  </si>
  <si>
    <t>1274777404</t>
  </si>
  <si>
    <t>80</t>
  </si>
  <si>
    <t>713141243</t>
  </si>
  <si>
    <t>Přikotvení tepelné izolace šrouby do betonu pro izolaci tl přes 140 do 200 mm</t>
  </si>
  <si>
    <t>-1675550379</t>
  </si>
  <si>
    <t>81</t>
  </si>
  <si>
    <t>998713202</t>
  </si>
  <si>
    <t>Přesun hmot procentní pro izolace tepelné v objektech v přes 6 do 12 m</t>
  </si>
  <si>
    <t>-194763072</t>
  </si>
  <si>
    <t>764</t>
  </si>
  <si>
    <t>Konstrukce klempířské</t>
  </si>
  <si>
    <t>82</t>
  </si>
  <si>
    <t>764111651</t>
  </si>
  <si>
    <t>Krytina střechy rovné z taškových tabulí z Pz plechu s povrchovou úpravou sklonu do 30°</t>
  </si>
  <si>
    <t>518369313</t>
  </si>
  <si>
    <t>83</t>
  </si>
  <si>
    <t>764212402</t>
  </si>
  <si>
    <t>Oplechování štítu závětrnou lištou z Pz plechu rš 200 mm</t>
  </si>
  <si>
    <t>-2036777433</t>
  </si>
  <si>
    <t>84</t>
  </si>
  <si>
    <t>764511602</t>
  </si>
  <si>
    <t>Žlab podokapní půlkruhový z Pz s povrchovou úpravou rš 330 mm</t>
  </si>
  <si>
    <t>-2093882126</t>
  </si>
  <si>
    <t>85</t>
  </si>
  <si>
    <t>764518622</t>
  </si>
  <si>
    <t>Svody kruhové včetně objímek, kolen, odskoků z Pz s povrchovou úpravou průměru 100 mm</t>
  </si>
  <si>
    <t>-1981915932</t>
  </si>
  <si>
    <t>86</t>
  </si>
  <si>
    <t>998764202</t>
  </si>
  <si>
    <t>Přesun hmot procentní pro konstrukce klempířské v objektech v přes 6 do 12 m</t>
  </si>
  <si>
    <t>-1692022140</t>
  </si>
  <si>
    <t>soub</t>
  </si>
  <si>
    <t>OST</t>
  </si>
  <si>
    <t>512</t>
  </si>
  <si>
    <t>-1792293075</t>
  </si>
  <si>
    <t>SO - 04 - VRN</t>
  </si>
  <si>
    <t>Vedlejší rozpočtové náklady</t>
  </si>
  <si>
    <t>VRN1</t>
  </si>
  <si>
    <t>Průzkumné, geodetické a projektové práce</t>
  </si>
  <si>
    <t>013294000</t>
  </si>
  <si>
    <t>1024</t>
  </si>
  <si>
    <t>1243475830</t>
  </si>
  <si>
    <t>VRN3</t>
  </si>
  <si>
    <t>Zařízení staveniště</t>
  </si>
  <si>
    <t>030001000</t>
  </si>
  <si>
    <t>Zařízení staveniště a jeho odstranění</t>
  </si>
  <si>
    <t>-522790863</t>
  </si>
  <si>
    <t>034103000</t>
  </si>
  <si>
    <t>Oplocení staveniště a jeho odstranění</t>
  </si>
  <si>
    <t>-1854638386</t>
  </si>
  <si>
    <t xml:space="preserve">    5 - Komunikace pozemní</t>
  </si>
  <si>
    <t xml:space="preserve">      998 - Přesun hmot</t>
  </si>
  <si>
    <t>113107112</t>
  </si>
  <si>
    <t>Odstranění podkladu z kameniva těženého tl přes 100 do 200 mm ručně</t>
  </si>
  <si>
    <t>288651134</t>
  </si>
  <si>
    <t>113107141</t>
  </si>
  <si>
    <t>Odstranění podkladu živičného tl 50 mm ručně</t>
  </si>
  <si>
    <t>947636656</t>
  </si>
  <si>
    <t>Komunikace pozemní</t>
  </si>
  <si>
    <t>566901232</t>
  </si>
  <si>
    <t>Vyspravení podkladu po překopech inženýrských sítí plochy přes 15 m2 štěrkodrtí tl. 150 mm</t>
  </si>
  <si>
    <t>-631301152</t>
  </si>
  <si>
    <t>566901261</t>
  </si>
  <si>
    <t>Vyspravení podkladu po překopech inženýrských sítí plochy přes 15 m2 obalovaným kamenivem ACP (OK) tl. 100 mm</t>
  </si>
  <si>
    <t>1544920912</t>
  </si>
  <si>
    <t>631311135</t>
  </si>
  <si>
    <t>Mazanina tl přes 120 do 240 mm z betonu prostého bez zvýšených nároků na prostředí tř. C 20/25</t>
  </si>
  <si>
    <t>-1369008236</t>
  </si>
  <si>
    <t>631319013</t>
  </si>
  <si>
    <t>Příplatek k mazanině tl přes 120 do 240 mm za přehlazení povrchu</t>
  </si>
  <si>
    <t>-1527651102</t>
  </si>
  <si>
    <t>631319023</t>
  </si>
  <si>
    <t>Příplatek k mazanině tl přes 120 do 240 mm za přehlazení s poprášením cementem</t>
  </si>
  <si>
    <t>1974969940</t>
  </si>
  <si>
    <t>631319175</t>
  </si>
  <si>
    <t>Příplatek k mazanině tl přes 120 do 240 mm za stržení povrchu spodní vrstvy před vložením výztuže</t>
  </si>
  <si>
    <t>-1171384947</t>
  </si>
  <si>
    <t>631319197</t>
  </si>
  <si>
    <t>Příplatek k mazanině tl přes 120 do 240 mm za plochu do 5 m2</t>
  </si>
  <si>
    <t>-2057804390</t>
  </si>
  <si>
    <t>537295875</t>
  </si>
  <si>
    <t>-1618390671</t>
  </si>
  <si>
    <t>631362021</t>
  </si>
  <si>
    <t>Výztuž mazanin svařovanými sítěmi Kari</t>
  </si>
  <si>
    <t>-1374484488</t>
  </si>
  <si>
    <t>2,5*1,23*3,11*1,25*0,001</t>
  </si>
  <si>
    <t>919735112</t>
  </si>
  <si>
    <t>Řezání stávajícího živičného krytu hl přes 50 do 100 mm</t>
  </si>
  <si>
    <t>2130421149</t>
  </si>
  <si>
    <t>998225111</t>
  </si>
  <si>
    <t>Přesun hmot pro pozemní komunikace s krytem z kamene, monolitickým betonovým nebo živičným</t>
  </si>
  <si>
    <t>1312825866</t>
  </si>
  <si>
    <t>997221551</t>
  </si>
  <si>
    <t>Vodorovná doprava suti ze sypkých materiálů do 1 km</t>
  </si>
  <si>
    <t>-230317412</t>
  </si>
  <si>
    <t>997221559</t>
  </si>
  <si>
    <t>Příplatek ZKD 1 km u vodorovné dopravy suti ze sypkých materiálů</t>
  </si>
  <si>
    <t>2004702344</t>
  </si>
  <si>
    <t>29,15*9 'Přepočtené koeficientem množství</t>
  </si>
  <si>
    <t>997221611</t>
  </si>
  <si>
    <t>Nakládání suti na dopravní prostředky pro vodorovnou dopravu</t>
  </si>
  <si>
    <t>-46179881</t>
  </si>
  <si>
    <t>997221645</t>
  </si>
  <si>
    <t>Poplatek za uložení na skládce (skládkovné) odpadu asfaltového bez dehtu kód odpadu 17 03 02</t>
  </si>
  <si>
    <t>2132268780</t>
  </si>
  <si>
    <t>997221655</t>
  </si>
  <si>
    <t>Poplatek za uložení na skládce (skládkovné) zeminy a kamení kód odpadu 17 05 04</t>
  </si>
  <si>
    <t>-1930355563</t>
  </si>
  <si>
    <t>Montáž kontaktního zateplení vnějších stěn lepením a mechanickým kotvením  do betonu a zdiva tl do 40 mm</t>
  </si>
  <si>
    <t>minerální zateplení fasádní λ=0,039 tl 40mm</t>
  </si>
  <si>
    <t>Dodávka a montáž výtahu pro imobilní</t>
  </si>
  <si>
    <t>dodávku a montáž zařízení v rozsahu přiložené technické specifikace</t>
  </si>
  <si>
    <t>dopravu na stavbu</t>
  </si>
  <si>
    <t>osvětlení šachty</t>
  </si>
  <si>
    <t>R</t>
  </si>
  <si>
    <t>Napojení na stávající el. vč. úprava rozvaděče, jištění a revize</t>
  </si>
  <si>
    <t>Ostatní dokumentace - výrobní dokumentece, dokumentace skutečného provedení, geometrický plan potvrzeny katastrem nemovitostí</t>
  </si>
  <si>
    <t>Technologické vybavení</t>
  </si>
  <si>
    <t>Přístavba výtahu k objektu  na st.p.č. 326, KU Nymburk (součást nem. Nymburk)</t>
  </si>
  <si>
    <t>D+M. Skleněná vchodová stříška 140x90cm včetně nerezových konzol a táhel.Délka konzol 100cm. Úhel 5-10st. Celková m 40kg.</t>
  </si>
  <si>
    <t>kpl</t>
  </si>
  <si>
    <t>Nosné zdi z tvárnic ztraceného bednění tl do 250 mm včetně výplně z betonu tř. C 25/30 a výztuže</t>
  </si>
  <si>
    <t>Položka se sestává z úpravy v hl. rozvaděči. Osazení nového samostatného jištění 32A na 400V.
Přívodní kabel 5x10mm2 napájecí soustava 400V – délka kabelu 25m veden ve stěně. Součástí budou i stavební práce na vedení kabelu. Včetně revize..Současně budou přivedeny tři datové kabely z 1NP (server) k připojovacímu místu ve 2NP.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</si>
</sst>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hair">
        <color rgb="FF969696"/>
      </right>
      <top style="thin"/>
      <bottom style="thin"/>
    </border>
    <border>
      <left style="hair">
        <color rgb="FF969696"/>
      </left>
      <right style="hair">
        <color rgb="FF969696"/>
      </right>
      <top style="thin"/>
      <bottom style="thin"/>
    </border>
    <border>
      <left style="hair">
        <color rgb="FF969696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2" fillId="0" borderId="21" xfId="0" applyFont="1" applyBorder="1" applyAlignment="1" applyProtection="1">
      <alignment horizontal="center" vertical="center"/>
      <protection locked="0"/>
    </xf>
    <xf numFmtId="49" fontId="32" fillId="0" borderId="21" xfId="0" applyNumberFormat="1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167" fontId="32" fillId="0" borderId="21" xfId="0" applyNumberFormat="1" applyFont="1" applyBorder="1" applyAlignment="1" applyProtection="1">
      <alignment vertical="center"/>
      <protection locked="0"/>
    </xf>
    <xf numFmtId="4" fontId="32" fillId="0" borderId="21" xfId="0" applyNumberFormat="1" applyFont="1" applyBorder="1" applyAlignment="1" applyProtection="1">
      <alignment vertical="center"/>
      <protection locked="0"/>
    </xf>
    <xf numFmtId="0" fontId="33" fillId="0" borderId="21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/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4" fontId="19" fillId="0" borderId="24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>
      <alignment horizontal="left"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9" fillId="0" borderId="26" xfId="0" applyFont="1" applyBorder="1" applyAlignment="1">
      <alignment/>
    </xf>
    <xf numFmtId="4" fontId="7" fillId="0" borderId="27" xfId="0" applyNumberFormat="1" applyFont="1" applyBorder="1" applyAlignment="1">
      <alignment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 applyProtection="1">
      <alignment horizontal="left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167" fontId="19" fillId="0" borderId="29" xfId="0" applyNumberFormat="1" applyFont="1" applyBorder="1" applyAlignment="1" applyProtection="1">
      <alignment vertical="center"/>
      <protection locked="0"/>
    </xf>
    <xf numFmtId="4" fontId="19" fillId="0" borderId="29" xfId="0" applyNumberFormat="1" applyFont="1" applyBorder="1" applyAlignment="1" applyProtection="1">
      <alignment vertical="center"/>
      <protection locked="0"/>
    </xf>
    <xf numFmtId="4" fontId="19" fillId="0" borderId="30" xfId="0" applyNumberFormat="1" applyFont="1" applyBorder="1" applyAlignment="1" applyProtection="1">
      <alignment vertical="center"/>
      <protection locked="0"/>
    </xf>
    <xf numFmtId="4" fontId="0" fillId="0" borderId="0" xfId="0" applyNumberFormat="1"/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workbookViewId="0" topLeftCell="A20">
      <selection activeCell="J51" sqref="J51:AF5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4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232" t="s">
        <v>13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19"/>
      <c r="BS5" s="16" t="s">
        <v>6</v>
      </c>
    </row>
    <row r="6" spans="2:71" s="1" customFormat="1" ht="36.95" customHeight="1">
      <c r="B6" s="19"/>
      <c r="D6" s="24" t="s">
        <v>14</v>
      </c>
      <c r="K6" s="218" t="s">
        <v>491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19"/>
      <c r="BS6" s="16" t="s">
        <v>6</v>
      </c>
    </row>
    <row r="7" spans="2:71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17</v>
      </c>
      <c r="K8" s="23"/>
      <c r="AK8" s="25" t="s">
        <v>18</v>
      </c>
      <c r="AN8" s="23"/>
      <c r="AR8" s="19"/>
      <c r="BS8" s="16" t="s">
        <v>6</v>
      </c>
    </row>
    <row r="9" spans="2:71" s="1" customFormat="1" ht="14.45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/>
      <c r="AK11" s="25" t="s">
        <v>21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22</v>
      </c>
      <c r="AK13" s="25" t="s">
        <v>20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23</v>
      </c>
      <c r="AK14" s="25" t="s">
        <v>21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24</v>
      </c>
      <c r="AK16" s="25" t="s">
        <v>20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/>
      <c r="AK17" s="25" t="s">
        <v>21</v>
      </c>
      <c r="AN17" s="23" t="s">
        <v>1</v>
      </c>
      <c r="AR17" s="19"/>
      <c r="BS17" s="16" t="s">
        <v>25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26</v>
      </c>
      <c r="AK19" s="25" t="s">
        <v>20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23</v>
      </c>
      <c r="AK20" s="25" t="s">
        <v>21</v>
      </c>
      <c r="AN20" s="23" t="s">
        <v>1</v>
      </c>
      <c r="AR20" s="19"/>
      <c r="BS20" s="16" t="s">
        <v>25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27</v>
      </c>
      <c r="AR22" s="19"/>
    </row>
    <row r="23" spans="2:44" s="1" customFormat="1" ht="16.5" customHeight="1">
      <c r="B23" s="19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28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1">
        <f>ROUND(AG50,2)</f>
        <v>0</v>
      </c>
      <c r="AL26" s="222"/>
      <c r="AM26" s="222"/>
      <c r="AN26" s="222"/>
      <c r="AO26" s="222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3" t="s">
        <v>29</v>
      </c>
      <c r="M28" s="223"/>
      <c r="N28" s="223"/>
      <c r="O28" s="223"/>
      <c r="P28" s="223"/>
      <c r="Q28" s="28"/>
      <c r="R28" s="28"/>
      <c r="S28" s="28"/>
      <c r="T28" s="28"/>
      <c r="U28" s="28"/>
      <c r="V28" s="28"/>
      <c r="W28" s="223" t="s">
        <v>30</v>
      </c>
      <c r="X28" s="223"/>
      <c r="Y28" s="223"/>
      <c r="Z28" s="223"/>
      <c r="AA28" s="223"/>
      <c r="AB28" s="223"/>
      <c r="AC28" s="223"/>
      <c r="AD28" s="223"/>
      <c r="AE28" s="223"/>
      <c r="AF28" s="28"/>
      <c r="AG28" s="28"/>
      <c r="AH28" s="28"/>
      <c r="AI28" s="28"/>
      <c r="AJ28" s="28"/>
      <c r="AK28" s="223" t="s">
        <v>31</v>
      </c>
      <c r="AL28" s="223"/>
      <c r="AM28" s="223"/>
      <c r="AN28" s="223"/>
      <c r="AO28" s="223"/>
      <c r="AP28" s="28"/>
      <c r="AQ28" s="28"/>
      <c r="AR28" s="29"/>
      <c r="BE28" s="28"/>
    </row>
    <row r="29" spans="2:44" s="3" customFormat="1" ht="14.45" customHeight="1">
      <c r="B29" s="32"/>
      <c r="D29" s="25" t="s">
        <v>32</v>
      </c>
      <c r="F29" s="25" t="s">
        <v>33</v>
      </c>
      <c r="L29" s="225">
        <v>0.21</v>
      </c>
      <c r="M29" s="226"/>
      <c r="N29" s="226"/>
      <c r="O29" s="226"/>
      <c r="P29" s="226"/>
      <c r="W29" s="227">
        <f>AK26</f>
        <v>0</v>
      </c>
      <c r="X29" s="226"/>
      <c r="Y29" s="226"/>
      <c r="Z29" s="226"/>
      <c r="AA29" s="226"/>
      <c r="AB29" s="226"/>
      <c r="AC29" s="226"/>
      <c r="AD29" s="226"/>
      <c r="AE29" s="226"/>
      <c r="AK29" s="227">
        <f>AK34-AK26</f>
        <v>0</v>
      </c>
      <c r="AL29" s="226"/>
      <c r="AM29" s="226"/>
      <c r="AN29" s="226"/>
      <c r="AO29" s="226"/>
      <c r="AR29" s="32"/>
    </row>
    <row r="30" spans="2:44" s="3" customFormat="1" ht="14.45" customHeight="1" hidden="1">
      <c r="B30" s="32"/>
      <c r="F30" s="25" t="s">
        <v>34</v>
      </c>
      <c r="L30" s="225">
        <v>0.21</v>
      </c>
      <c r="M30" s="226"/>
      <c r="N30" s="226"/>
      <c r="O30" s="226"/>
      <c r="P30" s="226"/>
      <c r="W30" s="227" t="e">
        <f>ROUND(BB50,2)</f>
        <v>#REF!</v>
      </c>
      <c r="X30" s="226"/>
      <c r="Y30" s="226"/>
      <c r="Z30" s="226"/>
      <c r="AA30" s="226"/>
      <c r="AB30" s="226"/>
      <c r="AC30" s="226"/>
      <c r="AD30" s="226"/>
      <c r="AE30" s="226"/>
      <c r="AK30" s="227">
        <v>0</v>
      </c>
      <c r="AL30" s="226"/>
      <c r="AM30" s="226"/>
      <c r="AN30" s="226"/>
      <c r="AO30" s="226"/>
      <c r="AR30" s="32"/>
    </row>
    <row r="31" spans="2:44" s="3" customFormat="1" ht="14.45" customHeight="1" hidden="1">
      <c r="B31" s="32"/>
      <c r="F31" s="25" t="s">
        <v>35</v>
      </c>
      <c r="L31" s="225">
        <v>0.15</v>
      </c>
      <c r="M31" s="226"/>
      <c r="N31" s="226"/>
      <c r="O31" s="226"/>
      <c r="P31" s="226"/>
      <c r="W31" s="227" t="e">
        <f>ROUND(BC50,2)</f>
        <v>#REF!</v>
      </c>
      <c r="X31" s="226"/>
      <c r="Y31" s="226"/>
      <c r="Z31" s="226"/>
      <c r="AA31" s="226"/>
      <c r="AB31" s="226"/>
      <c r="AC31" s="226"/>
      <c r="AD31" s="226"/>
      <c r="AE31" s="226"/>
      <c r="AK31" s="227">
        <v>0</v>
      </c>
      <c r="AL31" s="226"/>
      <c r="AM31" s="226"/>
      <c r="AN31" s="226"/>
      <c r="AO31" s="226"/>
      <c r="AR31" s="32"/>
    </row>
    <row r="32" spans="2:44" s="3" customFormat="1" ht="14.45" customHeight="1" hidden="1">
      <c r="B32" s="32"/>
      <c r="F32" s="25" t="s">
        <v>36</v>
      </c>
      <c r="L32" s="225">
        <v>0</v>
      </c>
      <c r="M32" s="226"/>
      <c r="N32" s="226"/>
      <c r="O32" s="226"/>
      <c r="P32" s="226"/>
      <c r="W32" s="227" t="e">
        <f>ROUND(BD50,2)</f>
        <v>#REF!</v>
      </c>
      <c r="X32" s="226"/>
      <c r="Y32" s="226"/>
      <c r="Z32" s="226"/>
      <c r="AA32" s="226"/>
      <c r="AB32" s="226"/>
      <c r="AC32" s="226"/>
      <c r="AD32" s="226"/>
      <c r="AE32" s="226"/>
      <c r="AK32" s="227">
        <v>0</v>
      </c>
      <c r="AL32" s="226"/>
      <c r="AM32" s="226"/>
      <c r="AN32" s="226"/>
      <c r="AO32" s="226"/>
      <c r="AR32" s="32"/>
    </row>
    <row r="33" spans="1:57" s="2" customFormat="1" ht="6.95" customHeight="1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9"/>
      <c r="BE33" s="28"/>
    </row>
    <row r="34" spans="1:57" s="2" customFormat="1" ht="25.9" customHeight="1">
      <c r="A34" s="28"/>
      <c r="B34" s="29"/>
      <c r="C34" s="33"/>
      <c r="D34" s="34" t="s">
        <v>37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38</v>
      </c>
      <c r="U34" s="35"/>
      <c r="V34" s="35"/>
      <c r="W34" s="35"/>
      <c r="X34" s="231" t="s">
        <v>39</v>
      </c>
      <c r="Y34" s="229"/>
      <c r="Z34" s="229"/>
      <c r="AA34" s="229"/>
      <c r="AB34" s="229"/>
      <c r="AC34" s="35"/>
      <c r="AD34" s="35"/>
      <c r="AE34" s="35"/>
      <c r="AF34" s="35"/>
      <c r="AG34" s="35"/>
      <c r="AH34" s="35"/>
      <c r="AI34" s="35"/>
      <c r="AJ34" s="35"/>
      <c r="AK34" s="228">
        <f>AK26*1.21</f>
        <v>0</v>
      </c>
      <c r="AL34" s="229"/>
      <c r="AM34" s="229"/>
      <c r="AN34" s="229"/>
      <c r="AO34" s="230"/>
      <c r="AP34" s="33"/>
      <c r="AQ34" s="33"/>
      <c r="AR34" s="29"/>
      <c r="BE34" s="28"/>
    </row>
    <row r="35" spans="1:57" s="2" customFormat="1" ht="6.95" customHeight="1">
      <c r="A35" s="28"/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9"/>
      <c r="BE35" s="28"/>
    </row>
    <row r="37" spans="1:57" s="2" customFormat="1" ht="6.95" customHeight="1">
      <c r="A37" s="28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29"/>
      <c r="BE37" s="28"/>
    </row>
    <row r="38" spans="1:57" s="2" customFormat="1" ht="24.95" customHeight="1">
      <c r="A38" s="28"/>
      <c r="B38" s="29"/>
      <c r="C38" s="20" t="s">
        <v>40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2:44" s="4" customFormat="1" ht="12" customHeight="1">
      <c r="B40" s="42"/>
      <c r="C40" s="25" t="s">
        <v>12</v>
      </c>
      <c r="L40" s="4" t="str">
        <f>K5</f>
        <v>9027</v>
      </c>
      <c r="AR40" s="42"/>
    </row>
    <row r="41" spans="2:44" s="5" customFormat="1" ht="36.95" customHeight="1">
      <c r="B41" s="43"/>
      <c r="C41" s="44" t="s">
        <v>14</v>
      </c>
      <c r="L41" s="197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R41" s="43"/>
    </row>
    <row r="42" spans="1:57" s="2" customFormat="1" ht="6.9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9"/>
      <c r="BE42" s="28"/>
    </row>
    <row r="43" spans="1:57" s="2" customFormat="1" ht="12" customHeight="1">
      <c r="A43" s="28"/>
      <c r="B43" s="29"/>
      <c r="C43" s="25" t="s">
        <v>17</v>
      </c>
      <c r="D43" s="28"/>
      <c r="E43" s="28"/>
      <c r="F43" s="28"/>
      <c r="G43" s="28"/>
      <c r="H43" s="28"/>
      <c r="I43" s="28"/>
      <c r="J43" s="28"/>
      <c r="K43" s="28"/>
      <c r="L43" s="45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5" t="s">
        <v>18</v>
      </c>
      <c r="AJ43" s="28"/>
      <c r="AK43" s="28"/>
      <c r="AL43" s="28"/>
      <c r="AM43" s="199"/>
      <c r="AN43" s="199"/>
      <c r="AO43" s="28"/>
      <c r="AP43" s="28"/>
      <c r="AQ43" s="28"/>
      <c r="AR43" s="29"/>
      <c r="BE43" s="28"/>
    </row>
    <row r="44" spans="1:57" s="2" customFormat="1" ht="6.95" customHeight="1">
      <c r="A44" s="28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9"/>
      <c r="BE44" s="28"/>
    </row>
    <row r="45" spans="1:57" s="2" customFormat="1" ht="25.7" customHeight="1">
      <c r="A45" s="28"/>
      <c r="B45" s="29"/>
      <c r="C45" s="25" t="s">
        <v>19</v>
      </c>
      <c r="D45" s="28"/>
      <c r="E45" s="28"/>
      <c r="F45" s="28"/>
      <c r="G45" s="28"/>
      <c r="H45" s="28"/>
      <c r="I45" s="28"/>
      <c r="J45" s="28"/>
      <c r="K45" s="28"/>
      <c r="L45" s="4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5" t="s">
        <v>24</v>
      </c>
      <c r="AJ45" s="28"/>
      <c r="AK45" s="28"/>
      <c r="AL45" s="28"/>
      <c r="AM45" s="200"/>
      <c r="AN45" s="201"/>
      <c r="AO45" s="201"/>
      <c r="AP45" s="201"/>
      <c r="AQ45" s="28"/>
      <c r="AR45" s="29"/>
      <c r="AS45" s="207" t="s">
        <v>41</v>
      </c>
      <c r="AT45" s="208"/>
      <c r="AU45" s="47"/>
      <c r="AV45" s="47"/>
      <c r="AW45" s="47"/>
      <c r="AX45" s="47"/>
      <c r="AY45" s="47"/>
      <c r="AZ45" s="47"/>
      <c r="BA45" s="47"/>
      <c r="BB45" s="47"/>
      <c r="BC45" s="47"/>
      <c r="BD45" s="48"/>
      <c r="BE45" s="28"/>
    </row>
    <row r="46" spans="1:57" s="2" customFormat="1" ht="15.2" customHeight="1">
      <c r="A46" s="28"/>
      <c r="B46" s="29"/>
      <c r="C46" s="25" t="s">
        <v>22</v>
      </c>
      <c r="D46" s="28"/>
      <c r="E46" s="28"/>
      <c r="F46" s="28"/>
      <c r="G46" s="28"/>
      <c r="H46" s="28"/>
      <c r="I46" s="28"/>
      <c r="J46" s="28"/>
      <c r="K46" s="28"/>
      <c r="L46" s="4" t="str">
        <f>IF(E14="","",E14)</f>
        <v xml:space="preserve"> 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5" t="s">
        <v>26</v>
      </c>
      <c r="AJ46" s="28"/>
      <c r="AK46" s="28"/>
      <c r="AL46" s="28"/>
      <c r="AM46" s="200" t="str">
        <f>IF(E20="","",E20)</f>
        <v xml:space="preserve"> </v>
      </c>
      <c r="AN46" s="201"/>
      <c r="AO46" s="201"/>
      <c r="AP46" s="201"/>
      <c r="AQ46" s="28"/>
      <c r="AR46" s="29"/>
      <c r="AS46" s="209"/>
      <c r="AT46" s="210"/>
      <c r="AU46" s="49"/>
      <c r="AV46" s="49"/>
      <c r="AW46" s="49"/>
      <c r="AX46" s="49"/>
      <c r="AY46" s="49"/>
      <c r="AZ46" s="49"/>
      <c r="BA46" s="49"/>
      <c r="BB46" s="49"/>
      <c r="BC46" s="49"/>
      <c r="BD46" s="50"/>
      <c r="BE46" s="28"/>
    </row>
    <row r="47" spans="1:57" s="2" customFormat="1" ht="10.9" customHeight="1">
      <c r="A47" s="28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9"/>
      <c r="AS47" s="209"/>
      <c r="AT47" s="210"/>
      <c r="AU47" s="49"/>
      <c r="AV47" s="49"/>
      <c r="AW47" s="49"/>
      <c r="AX47" s="49"/>
      <c r="AY47" s="49"/>
      <c r="AZ47" s="49"/>
      <c r="BA47" s="49"/>
      <c r="BB47" s="49"/>
      <c r="BC47" s="49"/>
      <c r="BD47" s="50"/>
      <c r="BE47" s="28"/>
    </row>
    <row r="48" spans="1:57" s="2" customFormat="1" ht="29.25" customHeight="1">
      <c r="A48" s="28"/>
      <c r="B48" s="29"/>
      <c r="C48" s="211" t="s">
        <v>42</v>
      </c>
      <c r="D48" s="212"/>
      <c r="E48" s="212"/>
      <c r="F48" s="212"/>
      <c r="G48" s="212"/>
      <c r="H48" s="51"/>
      <c r="I48" s="213" t="s">
        <v>43</v>
      </c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5" t="s">
        <v>44</v>
      </c>
      <c r="AH48" s="212"/>
      <c r="AI48" s="212"/>
      <c r="AJ48" s="212"/>
      <c r="AK48" s="212"/>
      <c r="AL48" s="212"/>
      <c r="AM48" s="212"/>
      <c r="AN48" s="213" t="s">
        <v>45</v>
      </c>
      <c r="AO48" s="212"/>
      <c r="AP48" s="214"/>
      <c r="AQ48" s="52" t="s">
        <v>46</v>
      </c>
      <c r="AR48" s="29"/>
      <c r="AS48" s="53" t="s">
        <v>47</v>
      </c>
      <c r="AT48" s="54" t="s">
        <v>48</v>
      </c>
      <c r="AU48" s="54" t="s">
        <v>49</v>
      </c>
      <c r="AV48" s="54" t="s">
        <v>50</v>
      </c>
      <c r="AW48" s="54" t="s">
        <v>51</v>
      </c>
      <c r="AX48" s="54" t="s">
        <v>52</v>
      </c>
      <c r="AY48" s="54" t="s">
        <v>53</v>
      </c>
      <c r="AZ48" s="54" t="s">
        <v>54</v>
      </c>
      <c r="BA48" s="54" t="s">
        <v>55</v>
      </c>
      <c r="BB48" s="54" t="s">
        <v>56</v>
      </c>
      <c r="BC48" s="54" t="s">
        <v>57</v>
      </c>
      <c r="BD48" s="55" t="s">
        <v>58</v>
      </c>
      <c r="BE48" s="28"/>
    </row>
    <row r="49" spans="1:57" s="2" customFormat="1" ht="10.9" customHeight="1">
      <c r="A49" s="28"/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9"/>
      <c r="AS49" s="56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8"/>
      <c r="BE49" s="28"/>
    </row>
    <row r="50" spans="2:90" s="6" customFormat="1" ht="32.45" customHeight="1">
      <c r="B50" s="59"/>
      <c r="C50" s="60" t="s">
        <v>59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216">
        <f>AG51+AG52+AG54+AG53</f>
        <v>0</v>
      </c>
      <c r="AH50" s="216"/>
      <c r="AI50" s="216"/>
      <c r="AJ50" s="216"/>
      <c r="AK50" s="216"/>
      <c r="AL50" s="216"/>
      <c r="AM50" s="216"/>
      <c r="AN50" s="217"/>
      <c r="AO50" s="217"/>
      <c r="AP50" s="217"/>
      <c r="AQ50" s="63" t="s">
        <v>1</v>
      </c>
      <c r="AR50" s="59"/>
      <c r="AS50" s="64">
        <f>ROUND(SUM(AS51:AS53),2)</f>
        <v>0</v>
      </c>
      <c r="AT50" s="65" t="e">
        <f>ROUND(SUM(AV50:AW50),2)</f>
        <v>#REF!</v>
      </c>
      <c r="AU50" s="66" t="e">
        <f>ROUND(SUM(AU51:AU53),5)</f>
        <v>#REF!</v>
      </c>
      <c r="AV50" s="65" t="e">
        <f>ROUND(AZ50*L29,2)</f>
        <v>#REF!</v>
      </c>
      <c r="AW50" s="65" t="e">
        <f>ROUND(BA50*#REF!,2)</f>
        <v>#REF!</v>
      </c>
      <c r="AX50" s="65" t="e">
        <f>ROUND(BB50*L29,2)</f>
        <v>#REF!</v>
      </c>
      <c r="AY50" s="65" t="e">
        <f>ROUND(BC50*#REF!,2)</f>
        <v>#REF!</v>
      </c>
      <c r="AZ50" s="65" t="e">
        <f>ROUND(SUM(AZ51:AZ53),2)</f>
        <v>#REF!</v>
      </c>
      <c r="BA50" s="65" t="e">
        <f>ROUND(SUM(BA51:BA53),2)</f>
        <v>#REF!</v>
      </c>
      <c r="BB50" s="65" t="e">
        <f>ROUND(SUM(BB51:BB53),2)</f>
        <v>#REF!</v>
      </c>
      <c r="BC50" s="65" t="e">
        <f>ROUND(SUM(BC51:BC53),2)</f>
        <v>#REF!</v>
      </c>
      <c r="BD50" s="67" t="e">
        <f>ROUND(SUM(BD51:BD53),2)</f>
        <v>#REF!</v>
      </c>
      <c r="BS50" s="68" t="s">
        <v>60</v>
      </c>
      <c r="BT50" s="68" t="s">
        <v>61</v>
      </c>
      <c r="BU50" s="69" t="s">
        <v>62</v>
      </c>
      <c r="BV50" s="68" t="s">
        <v>63</v>
      </c>
      <c r="BW50" s="68" t="s">
        <v>4</v>
      </c>
      <c r="BX50" s="68" t="s">
        <v>64</v>
      </c>
      <c r="CL50" s="68" t="s">
        <v>1</v>
      </c>
    </row>
    <row r="51" spans="1:91" s="7" customFormat="1" ht="24.75" customHeight="1">
      <c r="A51" s="70" t="s">
        <v>65</v>
      </c>
      <c r="B51" s="71"/>
      <c r="C51" s="72"/>
      <c r="D51" s="204" t="s">
        <v>66</v>
      </c>
      <c r="E51" s="204"/>
      <c r="F51" s="204"/>
      <c r="G51" s="204"/>
      <c r="H51" s="204"/>
      <c r="I51" s="73"/>
      <c r="J51" s="204" t="s">
        <v>67</v>
      </c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5">
        <f>'SO - 01 - Stavební část'!J49</f>
        <v>0</v>
      </c>
      <c r="AH51" s="206"/>
      <c r="AI51" s="206"/>
      <c r="AJ51" s="206"/>
      <c r="AK51" s="206"/>
      <c r="AL51" s="206"/>
      <c r="AM51" s="206"/>
      <c r="AN51" s="202"/>
      <c r="AO51" s="203"/>
      <c r="AP51" s="203"/>
      <c r="AQ51" s="74" t="s">
        <v>68</v>
      </c>
      <c r="AR51" s="71"/>
      <c r="AS51" s="75">
        <v>0</v>
      </c>
      <c r="AT51" s="76" t="e">
        <f>ROUND(SUM(AV51:AW51),2)</f>
        <v>#REF!</v>
      </c>
      <c r="AU51" s="77" t="e">
        <f>'SO - 01 - Stavební část'!P49</f>
        <v>#REF!</v>
      </c>
      <c r="AV51" s="76" t="e">
        <f>#REF!</f>
        <v>#REF!</v>
      </c>
      <c r="AW51" s="76" t="e">
        <f>#REF!</f>
        <v>#REF!</v>
      </c>
      <c r="AX51" s="76" t="e">
        <f>#REF!</f>
        <v>#REF!</v>
      </c>
      <c r="AY51" s="76" t="e">
        <f>#REF!</f>
        <v>#REF!</v>
      </c>
      <c r="AZ51" s="76" t="e">
        <f>#REF!</f>
        <v>#REF!</v>
      </c>
      <c r="BA51" s="76" t="e">
        <f>#REF!</f>
        <v>#REF!</v>
      </c>
      <c r="BB51" s="76" t="e">
        <f>#REF!</f>
        <v>#REF!</v>
      </c>
      <c r="BC51" s="76" t="e">
        <f>#REF!</f>
        <v>#REF!</v>
      </c>
      <c r="BD51" s="78" t="e">
        <f>#REF!</f>
        <v>#REF!</v>
      </c>
      <c r="BT51" s="79" t="s">
        <v>69</v>
      </c>
      <c r="BV51" s="79" t="s">
        <v>63</v>
      </c>
      <c r="BW51" s="79" t="s">
        <v>70</v>
      </c>
      <c r="BX51" s="79" t="s">
        <v>4</v>
      </c>
      <c r="CL51" s="79" t="s">
        <v>1</v>
      </c>
      <c r="CM51" s="79" t="s">
        <v>71</v>
      </c>
    </row>
    <row r="52" spans="1:91" s="7" customFormat="1" ht="24.75" customHeight="1">
      <c r="A52" s="70" t="s">
        <v>65</v>
      </c>
      <c r="B52" s="71"/>
      <c r="C52" s="72"/>
      <c r="D52" s="204" t="s">
        <v>72</v>
      </c>
      <c r="E52" s="204"/>
      <c r="F52" s="204"/>
      <c r="G52" s="204"/>
      <c r="H52" s="204"/>
      <c r="I52" s="73"/>
      <c r="J52" s="204" t="s">
        <v>77</v>
      </c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5">
        <f>'SO - 02 - Zpevněné plochy'!J45</f>
        <v>0</v>
      </c>
      <c r="AH52" s="206"/>
      <c r="AI52" s="206"/>
      <c r="AJ52" s="206"/>
      <c r="AK52" s="206"/>
      <c r="AL52" s="206"/>
      <c r="AM52" s="206"/>
      <c r="AN52" s="202"/>
      <c r="AO52" s="203"/>
      <c r="AP52" s="203"/>
      <c r="AQ52" s="74" t="s">
        <v>68</v>
      </c>
      <c r="AR52" s="71"/>
      <c r="AS52" s="75">
        <v>0</v>
      </c>
      <c r="AT52" s="76" t="e">
        <f>ROUND(SUM(AV52:AW52),2)</f>
        <v>#REF!</v>
      </c>
      <c r="AU52" s="77">
        <f>'SO - 04 - VRN'!P48</f>
        <v>0</v>
      </c>
      <c r="AV52" s="76" t="e">
        <f>#REF!</f>
        <v>#REF!</v>
      </c>
      <c r="AW52" s="76" t="e">
        <f>#REF!</f>
        <v>#REF!</v>
      </c>
      <c r="AX52" s="76" t="e">
        <f>#REF!</f>
        <v>#REF!</v>
      </c>
      <c r="AY52" s="76" t="e">
        <f>#REF!</f>
        <v>#REF!</v>
      </c>
      <c r="AZ52" s="76" t="e">
        <f>#REF!</f>
        <v>#REF!</v>
      </c>
      <c r="BA52" s="76" t="e">
        <f>#REF!</f>
        <v>#REF!</v>
      </c>
      <c r="BB52" s="76" t="e">
        <f>#REF!</f>
        <v>#REF!</v>
      </c>
      <c r="BC52" s="76" t="e">
        <f>#REF!</f>
        <v>#REF!</v>
      </c>
      <c r="BD52" s="78" t="e">
        <f>#REF!</f>
        <v>#REF!</v>
      </c>
      <c r="BT52" s="79" t="s">
        <v>69</v>
      </c>
      <c r="BV52" s="79" t="s">
        <v>63</v>
      </c>
      <c r="BW52" s="79" t="s">
        <v>75</v>
      </c>
      <c r="BX52" s="79" t="s">
        <v>4</v>
      </c>
      <c r="CL52" s="79" t="s">
        <v>1</v>
      </c>
      <c r="CM52" s="79" t="s">
        <v>71</v>
      </c>
    </row>
    <row r="53" spans="1:91" s="7" customFormat="1" ht="24.75" customHeight="1">
      <c r="A53" s="70" t="s">
        <v>65</v>
      </c>
      <c r="B53" s="71"/>
      <c r="C53" s="72"/>
      <c r="D53" s="204" t="s">
        <v>76</v>
      </c>
      <c r="E53" s="204"/>
      <c r="F53" s="204"/>
      <c r="G53" s="204"/>
      <c r="H53" s="204"/>
      <c r="I53" s="168"/>
      <c r="J53" s="204" t="s">
        <v>490</v>
      </c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5">
        <f>'SO -03- technologické vybavení '!H1</f>
        <v>0</v>
      </c>
      <c r="AH53" s="206"/>
      <c r="AI53" s="206"/>
      <c r="AJ53" s="206"/>
      <c r="AK53" s="206"/>
      <c r="AL53" s="206"/>
      <c r="AM53" s="206"/>
      <c r="AN53" s="202"/>
      <c r="AO53" s="203"/>
      <c r="AP53" s="203"/>
      <c r="AQ53" s="74" t="s">
        <v>68</v>
      </c>
      <c r="AR53" s="71"/>
      <c r="AS53" s="80">
        <v>0</v>
      </c>
      <c r="AT53" s="81" t="e">
        <f>ROUND(SUM(AV53:AW53),2)</f>
        <v>#REF!</v>
      </c>
      <c r="AU53" s="82">
        <f>'SO - 02 - Zpevněné plochy'!P45</f>
        <v>49.139996000000004</v>
      </c>
      <c r="AV53" s="81" t="e">
        <f>#REF!</f>
        <v>#REF!</v>
      </c>
      <c r="AW53" s="81" t="e">
        <f>#REF!</f>
        <v>#REF!</v>
      </c>
      <c r="AX53" s="81" t="e">
        <f>#REF!</f>
        <v>#REF!</v>
      </c>
      <c r="AY53" s="81" t="e">
        <f>#REF!</f>
        <v>#REF!</v>
      </c>
      <c r="AZ53" s="81" t="e">
        <f>#REF!</f>
        <v>#REF!</v>
      </c>
      <c r="BA53" s="81" t="e">
        <f>#REF!</f>
        <v>#REF!</v>
      </c>
      <c r="BB53" s="81" t="e">
        <f>#REF!</f>
        <v>#REF!</v>
      </c>
      <c r="BC53" s="81" t="e">
        <f>#REF!</f>
        <v>#REF!</v>
      </c>
      <c r="BD53" s="83" t="e">
        <f>#REF!</f>
        <v>#REF!</v>
      </c>
      <c r="BT53" s="79" t="s">
        <v>69</v>
      </c>
      <c r="BV53" s="79" t="s">
        <v>63</v>
      </c>
      <c r="BW53" s="79" t="s">
        <v>78</v>
      </c>
      <c r="BX53" s="79" t="s">
        <v>4</v>
      </c>
      <c r="CL53" s="79" t="s">
        <v>1</v>
      </c>
      <c r="CM53" s="79" t="s">
        <v>71</v>
      </c>
    </row>
    <row r="54" spans="1:57" s="2" customFormat="1" ht="30" customHeight="1">
      <c r="A54" s="28"/>
      <c r="B54" s="29"/>
      <c r="C54" s="28"/>
      <c r="D54" s="204" t="s">
        <v>73</v>
      </c>
      <c r="E54" s="204"/>
      <c r="F54" s="204"/>
      <c r="G54" s="204"/>
      <c r="H54" s="204"/>
      <c r="I54" s="73"/>
      <c r="J54" s="204" t="s">
        <v>74</v>
      </c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5">
        <f>'SO - 04 - VRN'!J48</f>
        <v>0</v>
      </c>
      <c r="AH54" s="206"/>
      <c r="AI54" s="206"/>
      <c r="AJ54" s="206"/>
      <c r="AK54" s="206"/>
      <c r="AL54" s="206"/>
      <c r="AM54" s="206"/>
      <c r="AN54" s="28"/>
      <c r="AO54" s="28"/>
      <c r="AP54" s="28"/>
      <c r="AQ54" s="28"/>
      <c r="AR54" s="29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s="2" customFormat="1" ht="6.95" customHeight="1">
      <c r="A55" s="28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29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</sheetData>
  <mergeCells count="48">
    <mergeCell ref="AR2:BE2"/>
    <mergeCell ref="L32:P32"/>
    <mergeCell ref="W32:AE32"/>
    <mergeCell ref="AK32:AO32"/>
    <mergeCell ref="AK34:AO34"/>
    <mergeCell ref="X34:AB34"/>
    <mergeCell ref="W30:AE30"/>
    <mergeCell ref="AK30:AO30"/>
    <mergeCell ref="L30:P30"/>
    <mergeCell ref="L31:P31"/>
    <mergeCell ref="W31:AE31"/>
    <mergeCell ref="AK31:AO31"/>
    <mergeCell ref="L29:P29"/>
    <mergeCell ref="W29:AE29"/>
    <mergeCell ref="AK29:AO29"/>
    <mergeCell ref="K5:AO5"/>
    <mergeCell ref="K6:AO6"/>
    <mergeCell ref="E23:AN23"/>
    <mergeCell ref="AK26:AO26"/>
    <mergeCell ref="L28:P28"/>
    <mergeCell ref="W28:AE28"/>
    <mergeCell ref="AK28:AO28"/>
    <mergeCell ref="AG54:AM54"/>
    <mergeCell ref="J54:AF54"/>
    <mergeCell ref="D54:H54"/>
    <mergeCell ref="AG50:AM50"/>
    <mergeCell ref="AN50:AP50"/>
    <mergeCell ref="J52:AF52"/>
    <mergeCell ref="AG52:AM52"/>
    <mergeCell ref="D52:H52"/>
    <mergeCell ref="AN52:AP52"/>
    <mergeCell ref="D53:H53"/>
    <mergeCell ref="J53:AF53"/>
    <mergeCell ref="AG53:AM53"/>
    <mergeCell ref="AN53:AP53"/>
    <mergeCell ref="AS45:AT47"/>
    <mergeCell ref="AM46:AP46"/>
    <mergeCell ref="C48:G48"/>
    <mergeCell ref="AN48:AP48"/>
    <mergeCell ref="AG48:AM48"/>
    <mergeCell ref="I48:AF48"/>
    <mergeCell ref="L41:AO41"/>
    <mergeCell ref="AM43:AN43"/>
    <mergeCell ref="AM45:AP45"/>
    <mergeCell ref="AN51:AP51"/>
    <mergeCell ref="D51:H51"/>
    <mergeCell ref="AG51:AM51"/>
    <mergeCell ref="J51:AF51"/>
  </mergeCells>
  <hyperlinks>
    <hyperlink ref="A51" location="'SO - 01 - Stavební část'!C2" display="/"/>
    <hyperlink ref="A52" location="'SO - 04 - VRN'!C2" display="/"/>
    <hyperlink ref="A53" location="'SO - 03 - Zpevněné ploch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98"/>
  <sheetViews>
    <sheetView showGridLines="0" zoomScale="145" zoomScaleNormal="145" workbookViewId="0" topLeftCell="A175">
      <selection activeCell="X187" sqref="X1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6.28125" style="1" customWidth="1"/>
    <col min="23" max="23" width="12.28125" style="1" customWidth="1"/>
    <col min="24" max="24" width="15.00390625" style="1" customWidth="1"/>
    <col min="25" max="25" width="11.00390625" style="1" customWidth="1"/>
    <col min="26" max="26" width="15.00390625" style="1" customWidth="1"/>
    <col min="27" max="27" width="16.28125" style="1" customWidth="1"/>
    <col min="28" max="28" width="11.00390625" style="1" customWidth="1"/>
    <col min="29" max="29" width="15.00390625" style="1" customWidth="1"/>
    <col min="30" max="30" width="16.28125" style="1" customWidth="1"/>
    <col min="43" max="64" width="9.28125" style="1" hidden="1" customWidth="1"/>
  </cols>
  <sheetData>
    <row r="1" ht="12">
      <c r="A1" s="84"/>
    </row>
    <row r="2" spans="12:45" s="1" customFormat="1" ht="36.95" customHeight="1">
      <c r="L2" s="224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AS2" s="16" t="s">
        <v>70</v>
      </c>
    </row>
    <row r="3" spans="2:45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S3" s="16" t="s">
        <v>71</v>
      </c>
    </row>
    <row r="4" spans="2:45" s="1" customFormat="1" ht="24.95" customHeight="1">
      <c r="B4" s="19"/>
      <c r="D4" s="20" t="s">
        <v>79</v>
      </c>
      <c r="L4" s="19"/>
      <c r="M4" s="85" t="s">
        <v>10</v>
      </c>
      <c r="AS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33"/>
      <c r="F7" s="234"/>
      <c r="G7" s="234"/>
      <c r="H7" s="234"/>
      <c r="L7" s="19"/>
    </row>
    <row r="8" spans="1:30" s="2" customFormat="1" ht="12" customHeight="1">
      <c r="A8" s="28"/>
      <c r="B8" s="29"/>
      <c r="C8" s="28"/>
      <c r="D8" s="25" t="s">
        <v>80</v>
      </c>
      <c r="E8" s="28"/>
      <c r="F8" s="28"/>
      <c r="G8" s="28"/>
      <c r="H8" s="28"/>
      <c r="I8" s="28"/>
      <c r="J8" s="28"/>
      <c r="K8" s="28"/>
      <c r="L8" s="3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2" customFormat="1" ht="16.5" customHeight="1">
      <c r="A9" s="28"/>
      <c r="B9" s="29"/>
      <c r="C9" s="28"/>
      <c r="D9" s="28"/>
      <c r="E9" s="197" t="s">
        <v>81</v>
      </c>
      <c r="F9" s="235"/>
      <c r="G9" s="235"/>
      <c r="H9" s="235"/>
      <c r="I9" s="28"/>
      <c r="J9" s="28"/>
      <c r="K9" s="28"/>
      <c r="L9" s="3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2" customFormat="1" ht="12" customHeight="1">
      <c r="A12" s="28"/>
      <c r="B12" s="29"/>
      <c r="C12" s="28"/>
      <c r="D12" s="25" t="s">
        <v>17</v>
      </c>
      <c r="E12" s="28"/>
      <c r="F12" s="23"/>
      <c r="G12" s="28"/>
      <c r="H12" s="28"/>
      <c r="I12" s="25" t="s">
        <v>18</v>
      </c>
      <c r="J12" s="46"/>
      <c r="K12" s="28"/>
      <c r="L12" s="3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3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2" customFormat="1" ht="18" customHeight="1">
      <c r="A15" s="28"/>
      <c r="B15" s="29"/>
      <c r="C15" s="28"/>
      <c r="D15" s="28"/>
      <c r="E15" s="23"/>
      <c r="F15" s="28"/>
      <c r="G15" s="28"/>
      <c r="H15" s="28"/>
      <c r="I15" s="25" t="s">
        <v>21</v>
      </c>
      <c r="J15" s="23" t="s">
        <v>1</v>
      </c>
      <c r="K15" s="28"/>
      <c r="L15" s="3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2" customFormat="1" ht="12" customHeight="1">
      <c r="A17" s="28"/>
      <c r="B17" s="29"/>
      <c r="C17" s="28"/>
      <c r="D17" s="25" t="s">
        <v>22</v>
      </c>
      <c r="E17" s="28"/>
      <c r="F17" s="28"/>
      <c r="G17" s="28"/>
      <c r="H17" s="28"/>
      <c r="I17" s="25" t="s">
        <v>20</v>
      </c>
      <c r="J17" s="23" t="str">
        <f>'Rekapitulace stavby'!AN13</f>
        <v/>
      </c>
      <c r="K17" s="28"/>
      <c r="L17" s="3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30" s="2" customFormat="1" ht="18" customHeight="1">
      <c r="A18" s="28"/>
      <c r="B18" s="29"/>
      <c r="C18" s="28"/>
      <c r="D18" s="28"/>
      <c r="E18" s="232" t="str">
        <f>'Rekapitulace stavby'!E14</f>
        <v xml:space="preserve"> </v>
      </c>
      <c r="F18" s="232"/>
      <c r="G18" s="232"/>
      <c r="H18" s="232"/>
      <c r="I18" s="25" t="s">
        <v>21</v>
      </c>
      <c r="J18" s="23" t="str">
        <f>'Rekapitulace stavby'!AN14</f>
        <v/>
      </c>
      <c r="K18" s="28"/>
      <c r="L18" s="3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</row>
    <row r="19" spans="1:30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s="2" customFormat="1" ht="12" customHeight="1">
      <c r="A20" s="28"/>
      <c r="B20" s="29"/>
      <c r="C20" s="28"/>
      <c r="D20" s="25" t="s">
        <v>24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3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s="2" customFormat="1" ht="18" customHeight="1">
      <c r="A21" s="28"/>
      <c r="B21" s="29"/>
      <c r="C21" s="28"/>
      <c r="D21" s="28"/>
      <c r="E21" s="23"/>
      <c r="F21" s="28"/>
      <c r="G21" s="28"/>
      <c r="H21" s="28"/>
      <c r="I21" s="25" t="s">
        <v>21</v>
      </c>
      <c r="J21" s="23" t="s">
        <v>1</v>
      </c>
      <c r="K21" s="28"/>
      <c r="L21" s="3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s="2" customFormat="1" ht="12" customHeight="1">
      <c r="A23" s="28"/>
      <c r="B23" s="29"/>
      <c r="C23" s="28"/>
      <c r="D23" s="25" t="s">
        <v>26</v>
      </c>
      <c r="E23" s="28"/>
      <c r="F23" s="28"/>
      <c r="G23" s="28"/>
      <c r="H23" s="28"/>
      <c r="I23" s="25" t="s">
        <v>20</v>
      </c>
      <c r="J23" s="23" t="str">
        <f>IF('Rekapitulace stavby'!AN19="","",'Rekapitulace stavby'!AN19)</f>
        <v/>
      </c>
      <c r="K23" s="28"/>
      <c r="L23" s="3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21</v>
      </c>
      <c r="J24" s="23" t="str">
        <f>IF('Rekapitulace stavby'!AN20="","",'Rekapitulace stavby'!AN20)</f>
        <v/>
      </c>
      <c r="K24" s="28"/>
      <c r="L24" s="3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s="2" customFormat="1" ht="12" customHeight="1">
      <c r="A26" s="28"/>
      <c r="B26" s="29"/>
      <c r="C26" s="28"/>
      <c r="D26" s="25" t="s">
        <v>27</v>
      </c>
      <c r="E26" s="28"/>
      <c r="F26" s="28"/>
      <c r="G26" s="28"/>
      <c r="H26" s="28"/>
      <c r="I26" s="28"/>
      <c r="J26" s="28"/>
      <c r="K26" s="28"/>
      <c r="L26" s="3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s="8" customFormat="1" ht="16.5" customHeight="1">
      <c r="A27" s="86"/>
      <c r="B27" s="87"/>
      <c r="C27" s="86"/>
      <c r="D27" s="86"/>
      <c r="E27" s="220" t="s">
        <v>1</v>
      </c>
      <c r="F27" s="220"/>
      <c r="G27" s="220"/>
      <c r="H27" s="22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</row>
    <row r="28" spans="1:30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s="2" customFormat="1" ht="6.95" customHeight="1">
      <c r="A29" s="28"/>
      <c r="B29" s="29"/>
      <c r="C29" s="28"/>
      <c r="D29" s="57"/>
      <c r="E29" s="57"/>
      <c r="F29" s="57"/>
      <c r="G29" s="57"/>
      <c r="H29" s="57"/>
      <c r="I29" s="57"/>
      <c r="J29" s="57"/>
      <c r="K29" s="57"/>
      <c r="L29" s="3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s="2" customFormat="1" ht="25.35" customHeight="1">
      <c r="A30" s="28"/>
      <c r="B30" s="29"/>
      <c r="C30" s="28"/>
      <c r="D30" s="89" t="s">
        <v>28</v>
      </c>
      <c r="E30" s="28"/>
      <c r="F30" s="28"/>
      <c r="G30" s="28"/>
      <c r="H30" s="28"/>
      <c r="I30" s="28"/>
      <c r="J30" s="62">
        <f>ROUND(J49,2)</f>
        <v>0</v>
      </c>
      <c r="K30" s="28"/>
      <c r="L30" s="3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s="2" customFormat="1" ht="6.95" customHeight="1">
      <c r="A31" s="28"/>
      <c r="B31" s="29"/>
      <c r="C31" s="28"/>
      <c r="D31" s="57"/>
      <c r="E31" s="57"/>
      <c r="F31" s="57"/>
      <c r="G31" s="57"/>
      <c r="H31" s="57"/>
      <c r="I31" s="57"/>
      <c r="J31" s="57"/>
      <c r="K31" s="57"/>
      <c r="L31" s="3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s="2" customFormat="1" ht="14.45" customHeight="1">
      <c r="A32" s="28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3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5" spans="1:30" s="2" customFormat="1" ht="6.95" customHeight="1">
      <c r="A35" s="28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3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s="2" customFormat="1" ht="24.95" customHeight="1">
      <c r="A36" s="28"/>
      <c r="B36" s="29"/>
      <c r="C36" s="20" t="s">
        <v>92</v>
      </c>
      <c r="D36" s="28"/>
      <c r="E36" s="28"/>
      <c r="F36" s="28"/>
      <c r="G36" s="28"/>
      <c r="H36" s="28"/>
      <c r="I36" s="28"/>
      <c r="J36" s="28"/>
      <c r="K36" s="28"/>
      <c r="L36" s="3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3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" customFormat="1" ht="12" customHeight="1">
      <c r="A38" s="28"/>
      <c r="B38" s="29"/>
      <c r="C38" s="25" t="s">
        <v>14</v>
      </c>
      <c r="D38" s="28"/>
      <c r="E38" s="28"/>
      <c r="F38" s="28"/>
      <c r="G38" s="28"/>
      <c r="H38" s="28"/>
      <c r="I38" s="28"/>
      <c r="J38" s="28"/>
      <c r="K38" s="28"/>
      <c r="L38" s="3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" customFormat="1" ht="16.5" customHeight="1">
      <c r="A39" s="28"/>
      <c r="B39" s="29"/>
      <c r="C39" s="28"/>
      <c r="D39" s="28"/>
      <c r="E39" s="233"/>
      <c r="F39" s="234"/>
      <c r="G39" s="234"/>
      <c r="H39" s="234"/>
      <c r="I39" s="28"/>
      <c r="J39" s="28"/>
      <c r="K39" s="28"/>
      <c r="L39" s="3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" customFormat="1" ht="12" customHeight="1">
      <c r="A40" s="28"/>
      <c r="B40" s="29"/>
      <c r="C40" s="25" t="s">
        <v>80</v>
      </c>
      <c r="D40" s="28"/>
      <c r="E40" s="28"/>
      <c r="F40" s="28"/>
      <c r="G40" s="28"/>
      <c r="H40" s="28"/>
      <c r="I40" s="28"/>
      <c r="J40" s="28"/>
      <c r="K40" s="28"/>
      <c r="L40" s="3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" customFormat="1" ht="16.5" customHeight="1">
      <c r="A41" s="28"/>
      <c r="B41" s="29"/>
      <c r="C41" s="28"/>
      <c r="D41" s="28"/>
      <c r="E41" s="197" t="str">
        <f>E9</f>
        <v>SO - 01 - Stavební část</v>
      </c>
      <c r="F41" s="235"/>
      <c r="G41" s="235"/>
      <c r="H41" s="235"/>
      <c r="I41" s="28"/>
      <c r="J41" s="28"/>
      <c r="K41" s="28"/>
      <c r="L41" s="3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" customFormat="1" ht="6.95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" customFormat="1" ht="12" customHeight="1">
      <c r="A43" s="28"/>
      <c r="B43" s="29"/>
      <c r="C43" s="25" t="s">
        <v>17</v>
      </c>
      <c r="D43" s="28"/>
      <c r="E43" s="28"/>
      <c r="F43" s="169"/>
      <c r="G43" s="28"/>
      <c r="H43" s="28"/>
      <c r="I43" s="25" t="s">
        <v>18</v>
      </c>
      <c r="J43" s="46"/>
      <c r="K43" s="28"/>
      <c r="L43" s="3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2" customFormat="1" ht="6.95" customHeight="1">
      <c r="A44" s="28"/>
      <c r="B44" s="29"/>
      <c r="C44" s="28"/>
      <c r="D44" s="28"/>
      <c r="E44" s="28"/>
      <c r="F44" s="28"/>
      <c r="G44" s="28"/>
      <c r="H44" s="28"/>
      <c r="I44" s="28"/>
      <c r="J44" s="28"/>
      <c r="K44" s="28"/>
      <c r="L44" s="3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s="2" customFormat="1" ht="25.7" customHeight="1">
      <c r="A45" s="28"/>
      <c r="B45" s="29"/>
      <c r="C45" s="25" t="s">
        <v>19</v>
      </c>
      <c r="D45" s="28"/>
      <c r="E45" s="28"/>
      <c r="F45" s="23"/>
      <c r="G45" s="28"/>
      <c r="H45" s="28"/>
      <c r="I45" s="25" t="s">
        <v>24</v>
      </c>
      <c r="J45" s="26"/>
      <c r="K45" s="28"/>
      <c r="L45" s="3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2" customFormat="1" ht="15.2" customHeight="1">
      <c r="A46" s="28"/>
      <c r="B46" s="29"/>
      <c r="C46" s="25" t="s">
        <v>22</v>
      </c>
      <c r="D46" s="28"/>
      <c r="E46" s="28"/>
      <c r="F46" s="23" t="str">
        <f>IF(E18="","",E18)</f>
        <v xml:space="preserve"> </v>
      </c>
      <c r="G46" s="28"/>
      <c r="H46" s="28"/>
      <c r="I46" s="25" t="s">
        <v>26</v>
      </c>
      <c r="J46" s="26" t="str">
        <f>E24</f>
        <v xml:space="preserve"> </v>
      </c>
      <c r="K46" s="28"/>
      <c r="L46" s="3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2" customFormat="1" ht="10.35" customHeight="1">
      <c r="A47" s="28"/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3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11" customFormat="1" ht="29.25" customHeight="1">
      <c r="A48" s="102"/>
      <c r="B48" s="103"/>
      <c r="C48" s="104" t="s">
        <v>93</v>
      </c>
      <c r="D48" s="105" t="s">
        <v>46</v>
      </c>
      <c r="E48" s="105" t="s">
        <v>42</v>
      </c>
      <c r="F48" s="105" t="s">
        <v>43</v>
      </c>
      <c r="G48" s="105" t="s">
        <v>94</v>
      </c>
      <c r="H48" s="105" t="s">
        <v>95</v>
      </c>
      <c r="I48" s="105" t="s">
        <v>96</v>
      </c>
      <c r="J48" s="106" t="s">
        <v>84</v>
      </c>
      <c r="K48" s="107" t="s">
        <v>97</v>
      </c>
      <c r="L48" s="108"/>
      <c r="M48" s="53" t="s">
        <v>1</v>
      </c>
      <c r="N48" s="54" t="s">
        <v>32</v>
      </c>
      <c r="O48" s="54" t="s">
        <v>98</v>
      </c>
      <c r="P48" s="54" t="s">
        <v>99</v>
      </c>
      <c r="Q48" s="54" t="s">
        <v>100</v>
      </c>
      <c r="R48" s="54" t="s">
        <v>101</v>
      </c>
      <c r="S48" s="54" t="s">
        <v>102</v>
      </c>
      <c r="T48" s="55" t="s">
        <v>103</v>
      </c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</row>
    <row r="49" spans="1:62" s="2" customFormat="1" ht="22.9" customHeight="1">
      <c r="A49" s="28"/>
      <c r="B49" s="29"/>
      <c r="C49" s="60" t="s">
        <v>104</v>
      </c>
      <c r="D49" s="28"/>
      <c r="E49" s="28"/>
      <c r="F49" s="28"/>
      <c r="G49" s="28"/>
      <c r="H49" s="28"/>
      <c r="I49" s="28"/>
      <c r="J49" s="109">
        <f>J50+J154</f>
        <v>0</v>
      </c>
      <c r="K49" s="28"/>
      <c r="L49" s="29"/>
      <c r="M49" s="56"/>
      <c r="N49" s="47"/>
      <c r="O49" s="57"/>
      <c r="P49" s="110" t="e">
        <f>P50+P154+#REF!</f>
        <v>#REF!</v>
      </c>
      <c r="Q49" s="57"/>
      <c r="R49" s="110" t="e">
        <f>R50+R154+#REF!</f>
        <v>#REF!</v>
      </c>
      <c r="S49" s="57"/>
      <c r="T49" s="111" t="e">
        <f>T50+T154+#REF!</f>
        <v>#REF!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S49" s="16" t="s">
        <v>60</v>
      </c>
      <c r="AT49" s="16" t="s">
        <v>86</v>
      </c>
      <c r="BJ49" s="112" t="e">
        <f>BJ50+BJ154+'SO -03- technologické vybavení '!AZ1</f>
        <v>#REF!</v>
      </c>
    </row>
    <row r="50" spans="2:62" s="12" customFormat="1" ht="25.9" customHeight="1">
      <c r="B50" s="113"/>
      <c r="D50" s="114" t="s">
        <v>60</v>
      </c>
      <c r="E50" s="115" t="s">
        <v>105</v>
      </c>
      <c r="F50" s="115" t="s">
        <v>106</v>
      </c>
      <c r="J50" s="116">
        <f>J51+J63+J79+J133+J147+J152+J87+J102</f>
        <v>0</v>
      </c>
      <c r="L50" s="113"/>
      <c r="M50" s="117"/>
      <c r="N50" s="118"/>
      <c r="O50" s="118"/>
      <c r="P50" s="119">
        <f>P51+P63+P79+P87+P102+P133+P147+P152</f>
        <v>401.36918225000005</v>
      </c>
      <c r="Q50" s="118"/>
      <c r="R50" s="119">
        <f>R51+R63+R79+R87+R102+R133+R147+R152</f>
        <v>59.95405664374999</v>
      </c>
      <c r="S50" s="118"/>
      <c r="T50" s="120">
        <f>T51+T63+T79+T87+T102+T133+T147+T152</f>
        <v>4.053</v>
      </c>
      <c r="AQ50" s="114" t="s">
        <v>69</v>
      </c>
      <c r="AS50" s="121" t="s">
        <v>60</v>
      </c>
      <c r="AT50" s="121" t="s">
        <v>61</v>
      </c>
      <c r="AX50" s="114" t="s">
        <v>107</v>
      </c>
      <c r="BJ50" s="122">
        <f>BJ51+BJ63+BJ79+BJ87+BJ102+BJ133+BJ147+BJ152</f>
        <v>0</v>
      </c>
    </row>
    <row r="51" spans="2:62" s="12" customFormat="1" ht="22.9" customHeight="1">
      <c r="B51" s="113"/>
      <c r="D51" s="114" t="s">
        <v>60</v>
      </c>
      <c r="E51" s="123" t="s">
        <v>69</v>
      </c>
      <c r="F51" s="123" t="s">
        <v>108</v>
      </c>
      <c r="J51" s="124">
        <f>SUM(J52:J61)</f>
        <v>0</v>
      </c>
      <c r="L51" s="113"/>
      <c r="M51" s="117"/>
      <c r="N51" s="118"/>
      <c r="O51" s="118"/>
      <c r="P51" s="119">
        <f>SUM(P52:P62)</f>
        <v>75.82600000000001</v>
      </c>
      <c r="Q51" s="118"/>
      <c r="R51" s="119">
        <f>SUM(R52:R62)</f>
        <v>0</v>
      </c>
      <c r="S51" s="118"/>
      <c r="T51" s="120">
        <f>SUM(T52:T62)</f>
        <v>0</v>
      </c>
      <c r="AQ51" s="114" t="s">
        <v>69</v>
      </c>
      <c r="AS51" s="121" t="s">
        <v>60</v>
      </c>
      <c r="AT51" s="121" t="s">
        <v>69</v>
      </c>
      <c r="AX51" s="114" t="s">
        <v>107</v>
      </c>
      <c r="BJ51" s="122">
        <f>SUM(BJ52:BJ62)</f>
        <v>0</v>
      </c>
    </row>
    <row r="52" spans="1:64" s="2" customFormat="1" ht="33" customHeight="1">
      <c r="A52" s="28"/>
      <c r="B52" s="125"/>
      <c r="C52" s="126" t="s">
        <v>69</v>
      </c>
      <c r="D52" s="126" t="s">
        <v>109</v>
      </c>
      <c r="E52" s="127" t="s">
        <v>110</v>
      </c>
      <c r="F52" s="128" t="s">
        <v>111</v>
      </c>
      <c r="G52" s="129" t="s">
        <v>112</v>
      </c>
      <c r="H52" s="130">
        <v>10</v>
      </c>
      <c r="I52" s="131">
        <v>0</v>
      </c>
      <c r="J52" s="131">
        <f>ROUND(I52*H52,2)</f>
        <v>0</v>
      </c>
      <c r="K52" s="132"/>
      <c r="L52" s="29"/>
      <c r="M52" s="133" t="s">
        <v>1</v>
      </c>
      <c r="N52" s="134" t="s">
        <v>33</v>
      </c>
      <c r="O52" s="135">
        <v>7.133</v>
      </c>
      <c r="P52" s="135">
        <f>O52*H52</f>
        <v>71.33</v>
      </c>
      <c r="Q52" s="135">
        <v>0</v>
      </c>
      <c r="R52" s="135">
        <f>Q52*H52</f>
        <v>0</v>
      </c>
      <c r="S52" s="135">
        <v>0</v>
      </c>
      <c r="T52" s="136">
        <f>S52*H52</f>
        <v>0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Q52" s="137" t="s">
        <v>113</v>
      </c>
      <c r="AS52" s="137" t="s">
        <v>109</v>
      </c>
      <c r="AT52" s="137" t="s">
        <v>71</v>
      </c>
      <c r="AX52" s="16" t="s">
        <v>107</v>
      </c>
      <c r="BD52" s="138">
        <f>IF(N52="základní",J52,0)</f>
        <v>0</v>
      </c>
      <c r="BE52" s="138">
        <f>IF(N52="snížená",J52,0)</f>
        <v>0</v>
      </c>
      <c r="BF52" s="138">
        <f>IF(N52="zákl. přenesená",J52,0)</f>
        <v>0</v>
      </c>
      <c r="BG52" s="138">
        <f>IF(N52="sníž. přenesená",J52,0)</f>
        <v>0</v>
      </c>
      <c r="BH52" s="138">
        <f>IF(N52="nulová",J52,0)</f>
        <v>0</v>
      </c>
      <c r="BI52" s="16" t="s">
        <v>69</v>
      </c>
      <c r="BJ52" s="138">
        <f>ROUND(I52*H52,2)</f>
        <v>0</v>
      </c>
      <c r="BK52" s="16" t="s">
        <v>113</v>
      </c>
      <c r="BL52" s="137" t="s">
        <v>114</v>
      </c>
    </row>
    <row r="53" spans="2:50" s="13" customFormat="1" ht="12">
      <c r="B53" s="139"/>
      <c r="D53" s="140" t="s">
        <v>115</v>
      </c>
      <c r="E53" s="141" t="s">
        <v>1</v>
      </c>
      <c r="F53" s="142"/>
      <c r="H53" s="143"/>
      <c r="L53" s="139"/>
      <c r="M53" s="144"/>
      <c r="N53" s="145"/>
      <c r="O53" s="145"/>
      <c r="P53" s="145"/>
      <c r="Q53" s="145"/>
      <c r="R53" s="145"/>
      <c r="S53" s="145"/>
      <c r="T53" s="146"/>
      <c r="AS53" s="141" t="s">
        <v>115</v>
      </c>
      <c r="AT53" s="141" t="s">
        <v>71</v>
      </c>
      <c r="AU53" s="13" t="s">
        <v>71</v>
      </c>
      <c r="AV53" s="13" t="s">
        <v>25</v>
      </c>
      <c r="AW53" s="13" t="s">
        <v>69</v>
      </c>
      <c r="AX53" s="141" t="s">
        <v>107</v>
      </c>
    </row>
    <row r="54" spans="1:64" s="2" customFormat="1" ht="37.9" customHeight="1">
      <c r="A54" s="28"/>
      <c r="B54" s="125"/>
      <c r="C54" s="126" t="s">
        <v>116</v>
      </c>
      <c r="D54" s="126" t="s">
        <v>109</v>
      </c>
      <c r="E54" s="127" t="s">
        <v>117</v>
      </c>
      <c r="F54" s="128" t="s">
        <v>118</v>
      </c>
      <c r="G54" s="129" t="s">
        <v>112</v>
      </c>
      <c r="H54" s="130">
        <v>10</v>
      </c>
      <c r="I54" s="131">
        <v>0</v>
      </c>
      <c r="J54" s="131">
        <f>ROUND(I54*H54,2)</f>
        <v>0</v>
      </c>
      <c r="K54" s="132"/>
      <c r="L54" s="29"/>
      <c r="M54" s="133" t="s">
        <v>1</v>
      </c>
      <c r="N54" s="134" t="s">
        <v>33</v>
      </c>
      <c r="O54" s="135">
        <v>0.087</v>
      </c>
      <c r="P54" s="135">
        <f>O54*H54</f>
        <v>0.8699999999999999</v>
      </c>
      <c r="Q54" s="135">
        <v>0</v>
      </c>
      <c r="R54" s="135">
        <f>Q54*H54</f>
        <v>0</v>
      </c>
      <c r="S54" s="135">
        <v>0</v>
      </c>
      <c r="T54" s="136">
        <f>S54*H54</f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Q54" s="137" t="s">
        <v>113</v>
      </c>
      <c r="AS54" s="137" t="s">
        <v>109</v>
      </c>
      <c r="AT54" s="137" t="s">
        <v>71</v>
      </c>
      <c r="AX54" s="16" t="s">
        <v>107</v>
      </c>
      <c r="BD54" s="138">
        <f>IF(N54="základní",J54,0)</f>
        <v>0</v>
      </c>
      <c r="BE54" s="138">
        <f>IF(N54="snížená",J54,0)</f>
        <v>0</v>
      </c>
      <c r="BF54" s="138">
        <f>IF(N54="zákl. přenesená",J54,0)</f>
        <v>0</v>
      </c>
      <c r="BG54" s="138">
        <f>IF(N54="sníž. přenesená",J54,0)</f>
        <v>0</v>
      </c>
      <c r="BH54" s="138">
        <f>IF(N54="nulová",J54,0)</f>
        <v>0</v>
      </c>
      <c r="BI54" s="16" t="s">
        <v>69</v>
      </c>
      <c r="BJ54" s="138">
        <f>ROUND(I54*H54,2)</f>
        <v>0</v>
      </c>
      <c r="BK54" s="16" t="s">
        <v>113</v>
      </c>
      <c r="BL54" s="137" t="s">
        <v>119</v>
      </c>
    </row>
    <row r="55" spans="2:50" s="13" customFormat="1" ht="12">
      <c r="B55" s="139"/>
      <c r="D55" s="140" t="s">
        <v>115</v>
      </c>
      <c r="E55" s="141" t="s">
        <v>1</v>
      </c>
      <c r="F55" s="142"/>
      <c r="H55" s="143"/>
      <c r="L55" s="139"/>
      <c r="M55" s="144"/>
      <c r="N55" s="145"/>
      <c r="O55" s="145"/>
      <c r="P55" s="145"/>
      <c r="Q55" s="145"/>
      <c r="R55" s="145"/>
      <c r="S55" s="145"/>
      <c r="T55" s="146"/>
      <c r="AS55" s="141" t="s">
        <v>115</v>
      </c>
      <c r="AT55" s="141" t="s">
        <v>71</v>
      </c>
      <c r="AU55" s="13" t="s">
        <v>71</v>
      </c>
      <c r="AV55" s="13" t="s">
        <v>25</v>
      </c>
      <c r="AW55" s="13" t="s">
        <v>69</v>
      </c>
      <c r="AX55" s="141" t="s">
        <v>107</v>
      </c>
    </row>
    <row r="56" spans="1:64" s="2" customFormat="1" ht="33" customHeight="1">
      <c r="A56" s="28"/>
      <c r="B56" s="125"/>
      <c r="C56" s="126" t="s">
        <v>113</v>
      </c>
      <c r="D56" s="126" t="s">
        <v>109</v>
      </c>
      <c r="E56" s="127" t="s">
        <v>120</v>
      </c>
      <c r="F56" s="128" t="s">
        <v>121</v>
      </c>
      <c r="G56" s="129" t="s">
        <v>122</v>
      </c>
      <c r="H56" s="130">
        <f>H54*1.8</f>
        <v>18</v>
      </c>
      <c r="I56" s="131">
        <v>0</v>
      </c>
      <c r="J56" s="131">
        <f>ROUND(I56*H56,2)</f>
        <v>0</v>
      </c>
      <c r="K56" s="132"/>
      <c r="L56" s="29"/>
      <c r="M56" s="133" t="s">
        <v>1</v>
      </c>
      <c r="N56" s="134" t="s">
        <v>33</v>
      </c>
      <c r="O56" s="135">
        <v>0</v>
      </c>
      <c r="P56" s="135">
        <f>O56*H56</f>
        <v>0</v>
      </c>
      <c r="Q56" s="135">
        <v>0</v>
      </c>
      <c r="R56" s="135">
        <f>Q56*H56</f>
        <v>0</v>
      </c>
      <c r="S56" s="135">
        <v>0</v>
      </c>
      <c r="T56" s="136">
        <f>S56*H56</f>
        <v>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Q56" s="137" t="s">
        <v>113</v>
      </c>
      <c r="AS56" s="137" t="s">
        <v>109</v>
      </c>
      <c r="AT56" s="137" t="s">
        <v>71</v>
      </c>
      <c r="AX56" s="16" t="s">
        <v>107</v>
      </c>
      <c r="BD56" s="138">
        <f>IF(N56="základní",J56,0)</f>
        <v>0</v>
      </c>
      <c r="BE56" s="138">
        <f>IF(N56="snížená",J56,0)</f>
        <v>0</v>
      </c>
      <c r="BF56" s="138">
        <f>IF(N56="zákl. přenesená",J56,0)</f>
        <v>0</v>
      </c>
      <c r="BG56" s="138">
        <f>IF(N56="sníž. přenesená",J56,0)</f>
        <v>0</v>
      </c>
      <c r="BH56" s="138">
        <f>IF(N56="nulová",J56,0)</f>
        <v>0</v>
      </c>
      <c r="BI56" s="16" t="s">
        <v>69</v>
      </c>
      <c r="BJ56" s="138">
        <f>ROUND(I56*H56,2)</f>
        <v>0</v>
      </c>
      <c r="BK56" s="16" t="s">
        <v>113</v>
      </c>
      <c r="BL56" s="137" t="s">
        <v>123</v>
      </c>
    </row>
    <row r="57" spans="2:50" s="13" customFormat="1" ht="12">
      <c r="B57" s="139"/>
      <c r="D57" s="140" t="s">
        <v>115</v>
      </c>
      <c r="E57" s="141" t="s">
        <v>1</v>
      </c>
      <c r="F57" s="142"/>
      <c r="H57" s="143"/>
      <c r="L57" s="139"/>
      <c r="M57" s="144"/>
      <c r="N57" s="145"/>
      <c r="O57" s="145"/>
      <c r="P57" s="145"/>
      <c r="Q57" s="145"/>
      <c r="R57" s="145"/>
      <c r="S57" s="145"/>
      <c r="T57" s="146"/>
      <c r="AS57" s="141" t="s">
        <v>115</v>
      </c>
      <c r="AT57" s="141" t="s">
        <v>71</v>
      </c>
      <c r="AU57" s="13" t="s">
        <v>71</v>
      </c>
      <c r="AV57" s="13" t="s">
        <v>25</v>
      </c>
      <c r="AW57" s="13" t="s">
        <v>69</v>
      </c>
      <c r="AX57" s="141" t="s">
        <v>107</v>
      </c>
    </row>
    <row r="58" spans="1:64" s="2" customFormat="1" ht="16.5" customHeight="1">
      <c r="A58" s="28"/>
      <c r="B58" s="125"/>
      <c r="C58" s="126" t="s">
        <v>124</v>
      </c>
      <c r="D58" s="126" t="s">
        <v>109</v>
      </c>
      <c r="E58" s="127" t="s">
        <v>125</v>
      </c>
      <c r="F58" s="128" t="s">
        <v>126</v>
      </c>
      <c r="G58" s="129" t="s">
        <v>112</v>
      </c>
      <c r="H58" s="130">
        <f>H54</f>
        <v>10</v>
      </c>
      <c r="I58" s="131">
        <v>0</v>
      </c>
      <c r="J58" s="131">
        <f>ROUND(I58*H58,2)</f>
        <v>0</v>
      </c>
      <c r="K58" s="132"/>
      <c r="L58" s="29"/>
      <c r="M58" s="133" t="s">
        <v>1</v>
      </c>
      <c r="N58" s="134" t="s">
        <v>33</v>
      </c>
      <c r="O58" s="135">
        <v>0.009</v>
      </c>
      <c r="P58" s="135">
        <f>O58*H58</f>
        <v>0.09</v>
      </c>
      <c r="Q58" s="135">
        <v>0</v>
      </c>
      <c r="R58" s="135">
        <f>Q58*H58</f>
        <v>0</v>
      </c>
      <c r="S58" s="135">
        <v>0</v>
      </c>
      <c r="T58" s="136">
        <f>S58*H58</f>
        <v>0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  <c r="AQ58" s="137" t="s">
        <v>113</v>
      </c>
      <c r="AS58" s="137" t="s">
        <v>109</v>
      </c>
      <c r="AT58" s="137" t="s">
        <v>71</v>
      </c>
      <c r="AX58" s="16" t="s">
        <v>107</v>
      </c>
      <c r="BD58" s="138">
        <f>IF(N58="základní",J58,0)</f>
        <v>0</v>
      </c>
      <c r="BE58" s="138">
        <f>IF(N58="snížená",J58,0)</f>
        <v>0</v>
      </c>
      <c r="BF58" s="138">
        <f>IF(N58="zákl. přenesená",J58,0)</f>
        <v>0</v>
      </c>
      <c r="BG58" s="138">
        <f>IF(N58="sníž. přenesená",J58,0)</f>
        <v>0</v>
      </c>
      <c r="BH58" s="138">
        <f>IF(N58="nulová",J58,0)</f>
        <v>0</v>
      </c>
      <c r="BI58" s="16" t="s">
        <v>69</v>
      </c>
      <c r="BJ58" s="138">
        <f>ROUND(I58*H58,2)</f>
        <v>0</v>
      </c>
      <c r="BK58" s="16" t="s">
        <v>113</v>
      </c>
      <c r="BL58" s="137" t="s">
        <v>127</v>
      </c>
    </row>
    <row r="59" spans="1:64" s="2" customFormat="1" ht="24.2" customHeight="1">
      <c r="A59" s="28"/>
      <c r="B59" s="125"/>
      <c r="C59" s="126" t="s">
        <v>128</v>
      </c>
      <c r="D59" s="126" t="s">
        <v>109</v>
      </c>
      <c r="E59" s="127" t="s">
        <v>129</v>
      </c>
      <c r="F59" s="128" t="s">
        <v>130</v>
      </c>
      <c r="G59" s="129" t="s">
        <v>112</v>
      </c>
      <c r="H59" s="130">
        <v>3</v>
      </c>
      <c r="I59" s="131">
        <v>0</v>
      </c>
      <c r="J59" s="131">
        <f>ROUND(I59*H59,2)</f>
        <v>0</v>
      </c>
      <c r="K59" s="132"/>
      <c r="L59" s="29"/>
      <c r="M59" s="133" t="s">
        <v>1</v>
      </c>
      <c r="N59" s="134" t="s">
        <v>33</v>
      </c>
      <c r="O59" s="135">
        <v>0.632</v>
      </c>
      <c r="P59" s="135">
        <f>O59*H59</f>
        <v>1.896</v>
      </c>
      <c r="Q59" s="135">
        <v>0</v>
      </c>
      <c r="R59" s="135">
        <f>Q59*H59</f>
        <v>0</v>
      </c>
      <c r="S59" s="135">
        <v>0</v>
      </c>
      <c r="T59" s="136">
        <f>S59*H59</f>
        <v>0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  <c r="AQ59" s="137" t="s">
        <v>113</v>
      </c>
      <c r="AS59" s="137" t="s">
        <v>109</v>
      </c>
      <c r="AT59" s="137" t="s">
        <v>71</v>
      </c>
      <c r="AX59" s="16" t="s">
        <v>107</v>
      </c>
      <c r="BD59" s="138">
        <f>IF(N59="základní",J59,0)</f>
        <v>0</v>
      </c>
      <c r="BE59" s="138">
        <f>IF(N59="snížená",J59,0)</f>
        <v>0</v>
      </c>
      <c r="BF59" s="138">
        <f>IF(N59="zákl. přenesená",J59,0)</f>
        <v>0</v>
      </c>
      <c r="BG59" s="138">
        <f>IF(N59="sníž. přenesená",J59,0)</f>
        <v>0</v>
      </c>
      <c r="BH59" s="138">
        <f>IF(N59="nulová",J59,0)</f>
        <v>0</v>
      </c>
      <c r="BI59" s="16" t="s">
        <v>69</v>
      </c>
      <c r="BJ59" s="138">
        <f>ROUND(I59*H59,2)</f>
        <v>0</v>
      </c>
      <c r="BK59" s="16" t="s">
        <v>113</v>
      </c>
      <c r="BL59" s="137" t="s">
        <v>131</v>
      </c>
    </row>
    <row r="60" spans="2:50" s="13" customFormat="1" ht="12">
      <c r="B60" s="139"/>
      <c r="D60" s="140" t="s">
        <v>115</v>
      </c>
      <c r="E60" s="141" t="s">
        <v>1</v>
      </c>
      <c r="F60" s="142"/>
      <c r="H60" s="143"/>
      <c r="L60" s="139"/>
      <c r="M60" s="144"/>
      <c r="N60" s="145"/>
      <c r="O60" s="145"/>
      <c r="P60" s="145"/>
      <c r="Q60" s="145"/>
      <c r="R60" s="145"/>
      <c r="S60" s="145"/>
      <c r="T60" s="146"/>
      <c r="AS60" s="141" t="s">
        <v>115</v>
      </c>
      <c r="AT60" s="141" t="s">
        <v>71</v>
      </c>
      <c r="AU60" s="13" t="s">
        <v>71</v>
      </c>
      <c r="AV60" s="13" t="s">
        <v>25</v>
      </c>
      <c r="AW60" s="13" t="s">
        <v>69</v>
      </c>
      <c r="AX60" s="141" t="s">
        <v>107</v>
      </c>
    </row>
    <row r="61" spans="1:64" s="2" customFormat="1" ht="24.2" customHeight="1">
      <c r="A61" s="28"/>
      <c r="B61" s="125"/>
      <c r="C61" s="126" t="s">
        <v>132</v>
      </c>
      <c r="D61" s="126" t="s">
        <v>109</v>
      </c>
      <c r="E61" s="127" t="s">
        <v>133</v>
      </c>
      <c r="F61" s="128" t="s">
        <v>134</v>
      </c>
      <c r="G61" s="129" t="s">
        <v>112</v>
      </c>
      <c r="H61" s="130">
        <v>5</v>
      </c>
      <c r="I61" s="131">
        <v>0</v>
      </c>
      <c r="J61" s="131">
        <f>ROUND(I61*H61,2)</f>
        <v>0</v>
      </c>
      <c r="K61" s="132"/>
      <c r="L61" s="29"/>
      <c r="M61" s="133" t="s">
        <v>1</v>
      </c>
      <c r="N61" s="134" t="s">
        <v>33</v>
      </c>
      <c r="O61" s="135">
        <v>0.328</v>
      </c>
      <c r="P61" s="135">
        <f>O61*H61</f>
        <v>1.6400000000000001</v>
      </c>
      <c r="Q61" s="135">
        <v>0</v>
      </c>
      <c r="R61" s="135">
        <f>Q61*H61</f>
        <v>0</v>
      </c>
      <c r="S61" s="135">
        <v>0</v>
      </c>
      <c r="T61" s="136">
        <f>S61*H61</f>
        <v>0</v>
      </c>
      <c r="U61" s="28"/>
      <c r="V61" s="28"/>
      <c r="W61" s="28"/>
      <c r="X61" s="28"/>
      <c r="Y61" s="28"/>
      <c r="Z61" s="28"/>
      <c r="AA61" s="28"/>
      <c r="AB61" s="28"/>
      <c r="AC61" s="28"/>
      <c r="AD61" s="28"/>
      <c r="AQ61" s="137" t="s">
        <v>113</v>
      </c>
      <c r="AS61" s="137" t="s">
        <v>109</v>
      </c>
      <c r="AT61" s="137" t="s">
        <v>71</v>
      </c>
      <c r="AX61" s="16" t="s">
        <v>107</v>
      </c>
      <c r="BD61" s="138">
        <f>IF(N61="základní",J61,0)</f>
        <v>0</v>
      </c>
      <c r="BE61" s="138">
        <f>IF(N61="snížená",J61,0)</f>
        <v>0</v>
      </c>
      <c r="BF61" s="138">
        <f>IF(N61="zákl. přenesená",J61,0)</f>
        <v>0</v>
      </c>
      <c r="BG61" s="138">
        <f>IF(N61="sníž. přenesená",J61,0)</f>
        <v>0</v>
      </c>
      <c r="BH61" s="138">
        <f>IF(N61="nulová",J61,0)</f>
        <v>0</v>
      </c>
      <c r="BI61" s="16" t="s">
        <v>69</v>
      </c>
      <c r="BJ61" s="138">
        <f>ROUND(I61*H61,2)</f>
        <v>0</v>
      </c>
      <c r="BK61" s="16" t="s">
        <v>113</v>
      </c>
      <c r="BL61" s="137" t="s">
        <v>135</v>
      </c>
    </row>
    <row r="62" spans="2:50" s="13" customFormat="1" ht="12">
      <c r="B62" s="139"/>
      <c r="D62" s="140" t="s">
        <v>115</v>
      </c>
      <c r="E62" s="141" t="s">
        <v>1</v>
      </c>
      <c r="F62" s="142"/>
      <c r="H62" s="143"/>
      <c r="L62" s="139"/>
      <c r="M62" s="144"/>
      <c r="N62" s="145"/>
      <c r="O62" s="145"/>
      <c r="P62" s="145"/>
      <c r="Q62" s="145"/>
      <c r="R62" s="145"/>
      <c r="S62" s="145"/>
      <c r="T62" s="146"/>
      <c r="AS62" s="141" t="s">
        <v>115</v>
      </c>
      <c r="AT62" s="141" t="s">
        <v>71</v>
      </c>
      <c r="AU62" s="13" t="s">
        <v>71</v>
      </c>
      <c r="AV62" s="13" t="s">
        <v>25</v>
      </c>
      <c r="AW62" s="13" t="s">
        <v>69</v>
      </c>
      <c r="AX62" s="141" t="s">
        <v>107</v>
      </c>
    </row>
    <row r="63" spans="2:62" s="12" customFormat="1" ht="22.9" customHeight="1">
      <c r="B63" s="113"/>
      <c r="D63" s="114" t="s">
        <v>60</v>
      </c>
      <c r="E63" s="123" t="s">
        <v>71</v>
      </c>
      <c r="F63" s="123" t="s">
        <v>136</v>
      </c>
      <c r="J63" s="124">
        <f>SUM(J64:J77)</f>
        <v>0</v>
      </c>
      <c r="L63" s="113"/>
      <c r="M63" s="117"/>
      <c r="N63" s="118"/>
      <c r="O63" s="118"/>
      <c r="P63" s="119">
        <f>SUM(P64:P78)</f>
        <v>60.072821250000004</v>
      </c>
      <c r="Q63" s="118"/>
      <c r="R63" s="119">
        <f>SUM(R64:R78)</f>
        <v>14.23578904375</v>
      </c>
      <c r="S63" s="118"/>
      <c r="T63" s="120">
        <f>SUM(T64:T78)</f>
        <v>0</v>
      </c>
      <c r="AQ63" s="114" t="s">
        <v>69</v>
      </c>
      <c r="AS63" s="121" t="s">
        <v>60</v>
      </c>
      <c r="AT63" s="121" t="s">
        <v>69</v>
      </c>
      <c r="AX63" s="114" t="s">
        <v>107</v>
      </c>
      <c r="BJ63" s="122">
        <f>SUM(BJ64:BJ78)</f>
        <v>0</v>
      </c>
    </row>
    <row r="64" spans="1:64" s="2" customFormat="1" ht="24.2" customHeight="1">
      <c r="A64" s="28"/>
      <c r="B64" s="125"/>
      <c r="C64" s="126" t="s">
        <v>137</v>
      </c>
      <c r="D64" s="126" t="s">
        <v>109</v>
      </c>
      <c r="E64" s="127" t="s">
        <v>138</v>
      </c>
      <c r="F64" s="128" t="s">
        <v>139</v>
      </c>
      <c r="G64" s="129" t="s">
        <v>112</v>
      </c>
      <c r="H64" s="130">
        <v>0.5</v>
      </c>
      <c r="I64" s="131">
        <v>0</v>
      </c>
      <c r="J64" s="131">
        <f>ROUND(I64*H64,2)</f>
        <v>0</v>
      </c>
      <c r="K64" s="132"/>
      <c r="L64" s="29"/>
      <c r="M64" s="133" t="s">
        <v>1</v>
      </c>
      <c r="N64" s="134" t="s">
        <v>33</v>
      </c>
      <c r="O64" s="135">
        <v>1.025</v>
      </c>
      <c r="P64" s="135">
        <f>O64*H64</f>
        <v>0.5125</v>
      </c>
      <c r="Q64" s="135">
        <v>2.16</v>
      </c>
      <c r="R64" s="135">
        <f>Q64*H64</f>
        <v>1.08</v>
      </c>
      <c r="S64" s="135">
        <v>0</v>
      </c>
      <c r="T64" s="136">
        <f>S64*H64</f>
        <v>0</v>
      </c>
      <c r="U64" s="28"/>
      <c r="V64" s="28"/>
      <c r="W64" s="28"/>
      <c r="X64" s="28"/>
      <c r="Y64" s="28"/>
      <c r="Z64" s="28"/>
      <c r="AA64" s="28"/>
      <c r="AB64" s="28"/>
      <c r="AC64" s="28"/>
      <c r="AD64" s="28"/>
      <c r="AQ64" s="137" t="s">
        <v>113</v>
      </c>
      <c r="AS64" s="137" t="s">
        <v>109</v>
      </c>
      <c r="AT64" s="137" t="s">
        <v>71</v>
      </c>
      <c r="AX64" s="16" t="s">
        <v>107</v>
      </c>
      <c r="BD64" s="138">
        <f>IF(N64="základní",J64,0)</f>
        <v>0</v>
      </c>
      <c r="BE64" s="138">
        <f>IF(N64="snížená",J64,0)</f>
        <v>0</v>
      </c>
      <c r="BF64" s="138">
        <f>IF(N64="zákl. přenesená",J64,0)</f>
        <v>0</v>
      </c>
      <c r="BG64" s="138">
        <f>IF(N64="sníž. přenesená",J64,0)</f>
        <v>0</v>
      </c>
      <c r="BH64" s="138">
        <f>IF(N64="nulová",J64,0)</f>
        <v>0</v>
      </c>
      <c r="BI64" s="16" t="s">
        <v>69</v>
      </c>
      <c r="BJ64" s="138">
        <f>ROUND(I64*H64,2)</f>
        <v>0</v>
      </c>
      <c r="BK64" s="16" t="s">
        <v>113</v>
      </c>
      <c r="BL64" s="137" t="s">
        <v>140</v>
      </c>
    </row>
    <row r="65" spans="2:50" s="13" customFormat="1" ht="12">
      <c r="B65" s="139"/>
      <c r="D65" s="140"/>
      <c r="E65" s="141" t="s">
        <v>1</v>
      </c>
      <c r="F65" s="142"/>
      <c r="H65" s="143"/>
      <c r="L65" s="139"/>
      <c r="M65" s="144"/>
      <c r="N65" s="145"/>
      <c r="O65" s="145"/>
      <c r="P65" s="145"/>
      <c r="Q65" s="145"/>
      <c r="R65" s="145"/>
      <c r="S65" s="145"/>
      <c r="T65" s="146"/>
      <c r="AS65" s="141" t="s">
        <v>115</v>
      </c>
      <c r="AT65" s="141" t="s">
        <v>71</v>
      </c>
      <c r="AU65" s="13" t="s">
        <v>71</v>
      </c>
      <c r="AV65" s="13" t="s">
        <v>25</v>
      </c>
      <c r="AW65" s="13" t="s">
        <v>61</v>
      </c>
      <c r="AX65" s="141" t="s">
        <v>107</v>
      </c>
    </row>
    <row r="66" spans="2:50" s="13" customFormat="1" ht="12">
      <c r="B66" s="139"/>
      <c r="D66" s="140"/>
      <c r="E66" s="141" t="s">
        <v>1</v>
      </c>
      <c r="F66" s="142"/>
      <c r="H66" s="143"/>
      <c r="L66" s="139"/>
      <c r="M66" s="144"/>
      <c r="N66" s="145"/>
      <c r="O66" s="145"/>
      <c r="P66" s="145"/>
      <c r="Q66" s="145"/>
      <c r="R66" s="145"/>
      <c r="S66" s="145"/>
      <c r="T66" s="146"/>
      <c r="AS66" s="141" t="s">
        <v>115</v>
      </c>
      <c r="AT66" s="141" t="s">
        <v>71</v>
      </c>
      <c r="AU66" s="13" t="s">
        <v>71</v>
      </c>
      <c r="AV66" s="13" t="s">
        <v>25</v>
      </c>
      <c r="AW66" s="13" t="s">
        <v>61</v>
      </c>
      <c r="AX66" s="141" t="s">
        <v>107</v>
      </c>
    </row>
    <row r="67" spans="2:50" s="13" customFormat="1" ht="12">
      <c r="B67" s="139"/>
      <c r="D67" s="140"/>
      <c r="E67" s="141" t="s">
        <v>1</v>
      </c>
      <c r="F67" s="142"/>
      <c r="H67" s="143"/>
      <c r="L67" s="139"/>
      <c r="M67" s="144"/>
      <c r="N67" s="145"/>
      <c r="O67" s="145"/>
      <c r="P67" s="145"/>
      <c r="Q67" s="145"/>
      <c r="R67" s="145"/>
      <c r="S67" s="145"/>
      <c r="T67" s="146"/>
      <c r="AS67" s="141" t="s">
        <v>115</v>
      </c>
      <c r="AT67" s="141" t="s">
        <v>71</v>
      </c>
      <c r="AU67" s="13" t="s">
        <v>71</v>
      </c>
      <c r="AV67" s="13" t="s">
        <v>25</v>
      </c>
      <c r="AW67" s="13" t="s">
        <v>61</v>
      </c>
      <c r="AX67" s="141" t="s">
        <v>107</v>
      </c>
    </row>
    <row r="68" spans="2:50" s="14" customFormat="1" ht="12">
      <c r="B68" s="147"/>
      <c r="D68" s="140"/>
      <c r="E68" s="148" t="s">
        <v>1</v>
      </c>
      <c r="F68" s="149"/>
      <c r="H68" s="150"/>
      <c r="L68" s="147"/>
      <c r="M68" s="151"/>
      <c r="N68" s="152"/>
      <c r="O68" s="152"/>
      <c r="P68" s="152"/>
      <c r="Q68" s="152"/>
      <c r="R68" s="152"/>
      <c r="S68" s="152"/>
      <c r="T68" s="153"/>
      <c r="AS68" s="148" t="s">
        <v>115</v>
      </c>
      <c r="AT68" s="148" t="s">
        <v>71</v>
      </c>
      <c r="AU68" s="14" t="s">
        <v>113</v>
      </c>
      <c r="AV68" s="14" t="s">
        <v>25</v>
      </c>
      <c r="AW68" s="14" t="s">
        <v>69</v>
      </c>
      <c r="AX68" s="148" t="s">
        <v>107</v>
      </c>
    </row>
    <row r="69" spans="1:64" s="2" customFormat="1" ht="24.2" customHeight="1">
      <c r="A69" s="28"/>
      <c r="B69" s="125"/>
      <c r="C69" s="126" t="s">
        <v>141</v>
      </c>
      <c r="D69" s="126" t="s">
        <v>109</v>
      </c>
      <c r="E69" s="127" t="s">
        <v>142</v>
      </c>
      <c r="F69" s="128" t="s">
        <v>143</v>
      </c>
      <c r="G69" s="129" t="s">
        <v>112</v>
      </c>
      <c r="H69" s="130">
        <f>2.5*2.5*0.3*1.15</f>
        <v>2.15625</v>
      </c>
      <c r="I69" s="131">
        <v>0</v>
      </c>
      <c r="J69" s="131">
        <f>ROUND(I69*H69,2)</f>
        <v>0</v>
      </c>
      <c r="K69" s="132"/>
      <c r="L69" s="29"/>
      <c r="M69" s="133" t="s">
        <v>1</v>
      </c>
      <c r="N69" s="134" t="s">
        <v>33</v>
      </c>
      <c r="O69" s="135">
        <v>0.629</v>
      </c>
      <c r="P69" s="135">
        <f>O69*H69</f>
        <v>1.35628125</v>
      </c>
      <c r="Q69" s="135">
        <v>2.30102</v>
      </c>
      <c r="R69" s="135">
        <f>Q69*H69</f>
        <v>4.961574375</v>
      </c>
      <c r="S69" s="135">
        <v>0</v>
      </c>
      <c r="T69" s="136">
        <f>S69*H69</f>
        <v>0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  <c r="AQ69" s="137" t="s">
        <v>113</v>
      </c>
      <c r="AS69" s="137" t="s">
        <v>109</v>
      </c>
      <c r="AT69" s="137" t="s">
        <v>71</v>
      </c>
      <c r="AX69" s="16" t="s">
        <v>107</v>
      </c>
      <c r="BD69" s="138">
        <f>IF(N69="základní",J69,0)</f>
        <v>0</v>
      </c>
      <c r="BE69" s="138">
        <f>IF(N69="snížená",J69,0)</f>
        <v>0</v>
      </c>
      <c r="BF69" s="138">
        <f>IF(N69="zákl. přenesená",J69,0)</f>
        <v>0</v>
      </c>
      <c r="BG69" s="138">
        <f>IF(N69="sníž. přenesená",J69,0)</f>
        <v>0</v>
      </c>
      <c r="BH69" s="138">
        <f>IF(N69="nulová",J69,0)</f>
        <v>0</v>
      </c>
      <c r="BI69" s="16" t="s">
        <v>69</v>
      </c>
      <c r="BJ69" s="138">
        <f>ROUND(I69*H69,2)</f>
        <v>0</v>
      </c>
      <c r="BK69" s="16" t="s">
        <v>113</v>
      </c>
      <c r="BL69" s="137" t="s">
        <v>144</v>
      </c>
    </row>
    <row r="70" spans="2:50" s="13" customFormat="1" ht="12">
      <c r="B70" s="139"/>
      <c r="D70" s="140" t="s">
        <v>115</v>
      </c>
      <c r="E70" s="141" t="s">
        <v>1</v>
      </c>
      <c r="F70" s="142"/>
      <c r="H70" s="143"/>
      <c r="L70" s="139"/>
      <c r="M70" s="144"/>
      <c r="N70" s="145"/>
      <c r="O70" s="145"/>
      <c r="P70" s="145"/>
      <c r="Q70" s="145"/>
      <c r="R70" s="145"/>
      <c r="S70" s="145"/>
      <c r="T70" s="146"/>
      <c r="AS70" s="141" t="s">
        <v>115</v>
      </c>
      <c r="AT70" s="141" t="s">
        <v>71</v>
      </c>
      <c r="AU70" s="13" t="s">
        <v>71</v>
      </c>
      <c r="AV70" s="13" t="s">
        <v>25</v>
      </c>
      <c r="AW70" s="13" t="s">
        <v>69</v>
      </c>
      <c r="AX70" s="141" t="s">
        <v>107</v>
      </c>
    </row>
    <row r="71" spans="2:50" s="13" customFormat="1" ht="12">
      <c r="B71" s="139"/>
      <c r="D71" s="140" t="s">
        <v>115</v>
      </c>
      <c r="F71" s="142"/>
      <c r="H71" s="143"/>
      <c r="L71" s="139"/>
      <c r="M71" s="144"/>
      <c r="N71" s="145"/>
      <c r="O71" s="145"/>
      <c r="P71" s="145"/>
      <c r="Q71" s="145"/>
      <c r="R71" s="145"/>
      <c r="S71" s="145"/>
      <c r="T71" s="146"/>
      <c r="AS71" s="141" t="s">
        <v>115</v>
      </c>
      <c r="AT71" s="141" t="s">
        <v>71</v>
      </c>
      <c r="AU71" s="13" t="s">
        <v>71</v>
      </c>
      <c r="AV71" s="13" t="s">
        <v>3</v>
      </c>
      <c r="AW71" s="13" t="s">
        <v>69</v>
      </c>
      <c r="AX71" s="141" t="s">
        <v>107</v>
      </c>
    </row>
    <row r="72" spans="1:64" s="2" customFormat="1" ht="16.5" customHeight="1">
      <c r="A72" s="28"/>
      <c r="B72" s="125"/>
      <c r="C72" s="126" t="s">
        <v>145</v>
      </c>
      <c r="D72" s="126" t="s">
        <v>109</v>
      </c>
      <c r="E72" s="127" t="s">
        <v>146</v>
      </c>
      <c r="F72" s="128" t="s">
        <v>147</v>
      </c>
      <c r="G72" s="129" t="s">
        <v>148</v>
      </c>
      <c r="H72" s="130">
        <f>2.5+2.5+0.5</f>
        <v>5.5</v>
      </c>
      <c r="I72" s="131">
        <v>0</v>
      </c>
      <c r="J72" s="131">
        <f>ROUND(I72*H72,2)</f>
        <v>0</v>
      </c>
      <c r="K72" s="132"/>
      <c r="L72" s="29"/>
      <c r="M72" s="133" t="s">
        <v>1</v>
      </c>
      <c r="N72" s="134" t="s">
        <v>33</v>
      </c>
      <c r="O72" s="135">
        <v>0.3</v>
      </c>
      <c r="P72" s="135">
        <f>O72*H72</f>
        <v>1.65</v>
      </c>
      <c r="Q72" s="135">
        <v>0.00247</v>
      </c>
      <c r="R72" s="135">
        <f>Q72*H72</f>
        <v>0.013585</v>
      </c>
      <c r="S72" s="135">
        <v>0</v>
      </c>
      <c r="T72" s="136">
        <f>S72*H72</f>
        <v>0</v>
      </c>
      <c r="U72" s="28"/>
      <c r="V72" s="28"/>
      <c r="W72" s="28"/>
      <c r="X72" s="28"/>
      <c r="Y72" s="28"/>
      <c r="Z72" s="28"/>
      <c r="AA72" s="28"/>
      <c r="AB72" s="28"/>
      <c r="AC72" s="28"/>
      <c r="AD72" s="28"/>
      <c r="AQ72" s="137" t="s">
        <v>113</v>
      </c>
      <c r="AS72" s="137" t="s">
        <v>109</v>
      </c>
      <c r="AT72" s="137" t="s">
        <v>71</v>
      </c>
      <c r="AX72" s="16" t="s">
        <v>107</v>
      </c>
      <c r="BD72" s="138">
        <f>IF(N72="základní",J72,0)</f>
        <v>0</v>
      </c>
      <c r="BE72" s="138">
        <f>IF(N72="snížená",J72,0)</f>
        <v>0</v>
      </c>
      <c r="BF72" s="138">
        <f>IF(N72="zákl. přenesená",J72,0)</f>
        <v>0</v>
      </c>
      <c r="BG72" s="138">
        <f>IF(N72="sníž. přenesená",J72,0)</f>
        <v>0</v>
      </c>
      <c r="BH72" s="138">
        <f>IF(N72="nulová",J72,0)</f>
        <v>0</v>
      </c>
      <c r="BI72" s="16" t="s">
        <v>69</v>
      </c>
      <c r="BJ72" s="138">
        <f>ROUND(I72*H72,2)</f>
        <v>0</v>
      </c>
      <c r="BK72" s="16" t="s">
        <v>113</v>
      </c>
      <c r="BL72" s="137" t="s">
        <v>149</v>
      </c>
    </row>
    <row r="73" spans="2:50" s="13" customFormat="1" ht="12">
      <c r="B73" s="139"/>
      <c r="D73" s="140" t="s">
        <v>115</v>
      </c>
      <c r="E73" s="141" t="s">
        <v>1</v>
      </c>
      <c r="F73" s="142"/>
      <c r="H73" s="143"/>
      <c r="L73" s="139"/>
      <c r="M73" s="144"/>
      <c r="N73" s="145"/>
      <c r="O73" s="145"/>
      <c r="P73" s="145"/>
      <c r="Q73" s="145"/>
      <c r="R73" s="145"/>
      <c r="S73" s="145"/>
      <c r="T73" s="146"/>
      <c r="AS73" s="141" t="s">
        <v>115</v>
      </c>
      <c r="AT73" s="141" t="s">
        <v>71</v>
      </c>
      <c r="AU73" s="13" t="s">
        <v>71</v>
      </c>
      <c r="AV73" s="13" t="s">
        <v>25</v>
      </c>
      <c r="AW73" s="13" t="s">
        <v>69</v>
      </c>
      <c r="AX73" s="141" t="s">
        <v>107</v>
      </c>
    </row>
    <row r="74" spans="1:64" s="2" customFormat="1" ht="16.5" customHeight="1">
      <c r="A74" s="28"/>
      <c r="B74" s="125"/>
      <c r="C74" s="126" t="s">
        <v>150</v>
      </c>
      <c r="D74" s="126" t="s">
        <v>109</v>
      </c>
      <c r="E74" s="127" t="s">
        <v>151</v>
      </c>
      <c r="F74" s="128" t="s">
        <v>152</v>
      </c>
      <c r="G74" s="129" t="s">
        <v>148</v>
      </c>
      <c r="H74" s="130">
        <f>H72</f>
        <v>5.5</v>
      </c>
      <c r="I74" s="131">
        <v>0</v>
      </c>
      <c r="J74" s="131">
        <f>ROUND(I74*H74,2)</f>
        <v>0</v>
      </c>
      <c r="K74" s="132"/>
      <c r="L74" s="29"/>
      <c r="M74" s="133" t="s">
        <v>1</v>
      </c>
      <c r="N74" s="134" t="s">
        <v>33</v>
      </c>
      <c r="O74" s="135">
        <v>0.152</v>
      </c>
      <c r="P74" s="135">
        <f>O74*H74</f>
        <v>0.836</v>
      </c>
      <c r="Q74" s="135">
        <v>0</v>
      </c>
      <c r="R74" s="135">
        <f>Q74*H74</f>
        <v>0</v>
      </c>
      <c r="S74" s="135">
        <v>0</v>
      </c>
      <c r="T74" s="136">
        <f>S74*H74</f>
        <v>0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Q74" s="137" t="s">
        <v>113</v>
      </c>
      <c r="AS74" s="137" t="s">
        <v>109</v>
      </c>
      <c r="AT74" s="137" t="s">
        <v>71</v>
      </c>
      <c r="AX74" s="16" t="s">
        <v>107</v>
      </c>
      <c r="BD74" s="138">
        <f>IF(N74="základní",J74,0)</f>
        <v>0</v>
      </c>
      <c r="BE74" s="138">
        <f>IF(N74="snížená",J74,0)</f>
        <v>0</v>
      </c>
      <c r="BF74" s="138">
        <f>IF(N74="zákl. přenesená",J74,0)</f>
        <v>0</v>
      </c>
      <c r="BG74" s="138">
        <f>IF(N74="sníž. přenesená",J74,0)</f>
        <v>0</v>
      </c>
      <c r="BH74" s="138">
        <f>IF(N74="nulová",J74,0)</f>
        <v>0</v>
      </c>
      <c r="BI74" s="16" t="s">
        <v>69</v>
      </c>
      <c r="BJ74" s="138">
        <f>ROUND(I74*H74,2)</f>
        <v>0</v>
      </c>
      <c r="BK74" s="16" t="s">
        <v>113</v>
      </c>
      <c r="BL74" s="137" t="s">
        <v>153</v>
      </c>
    </row>
    <row r="75" spans="1:64" s="2" customFormat="1" ht="21.75" customHeight="1">
      <c r="A75" s="28"/>
      <c r="B75" s="125"/>
      <c r="C75" s="126" t="s">
        <v>154</v>
      </c>
      <c r="D75" s="126" t="s">
        <v>109</v>
      </c>
      <c r="E75" s="127" t="s">
        <v>155</v>
      </c>
      <c r="F75" s="128" t="s">
        <v>156</v>
      </c>
      <c r="G75" s="129" t="s">
        <v>122</v>
      </c>
      <c r="H75" s="130">
        <f>H69*1.05</f>
        <v>2.2640625</v>
      </c>
      <c r="I75" s="131">
        <v>0</v>
      </c>
      <c r="J75" s="131">
        <f>ROUND(I75*H75,2)</f>
        <v>0</v>
      </c>
      <c r="K75" s="132"/>
      <c r="L75" s="29"/>
      <c r="M75" s="133" t="s">
        <v>1</v>
      </c>
      <c r="N75" s="134" t="s">
        <v>33</v>
      </c>
      <c r="O75" s="135">
        <v>23.968</v>
      </c>
      <c r="P75" s="135">
        <f>O75*H75</f>
        <v>54.26505</v>
      </c>
      <c r="Q75" s="135">
        <v>1.06062</v>
      </c>
      <c r="R75" s="135">
        <f>Q75*H75</f>
        <v>2.4013099687499997</v>
      </c>
      <c r="S75" s="135">
        <v>0</v>
      </c>
      <c r="T75" s="136">
        <f>S75*H75</f>
        <v>0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Q75" s="137" t="s">
        <v>113</v>
      </c>
      <c r="AS75" s="137" t="s">
        <v>109</v>
      </c>
      <c r="AT75" s="137" t="s">
        <v>71</v>
      </c>
      <c r="AX75" s="16" t="s">
        <v>107</v>
      </c>
      <c r="BD75" s="138">
        <f>IF(N75="základní",J75,0)</f>
        <v>0</v>
      </c>
      <c r="BE75" s="138">
        <f>IF(N75="snížená",J75,0)</f>
        <v>0</v>
      </c>
      <c r="BF75" s="138">
        <f>IF(N75="zákl. přenesená",J75,0)</f>
        <v>0</v>
      </c>
      <c r="BG75" s="138">
        <f>IF(N75="sníž. přenesená",J75,0)</f>
        <v>0</v>
      </c>
      <c r="BH75" s="138">
        <f>IF(N75="nulová",J75,0)</f>
        <v>0</v>
      </c>
      <c r="BI75" s="16" t="s">
        <v>69</v>
      </c>
      <c r="BJ75" s="138">
        <f>ROUND(I75*H75,2)</f>
        <v>0</v>
      </c>
      <c r="BK75" s="16" t="s">
        <v>113</v>
      </c>
      <c r="BL75" s="137" t="s">
        <v>157</v>
      </c>
    </row>
    <row r="76" spans="2:50" s="13" customFormat="1" ht="12">
      <c r="B76" s="139"/>
      <c r="D76" s="140" t="s">
        <v>115</v>
      </c>
      <c r="E76" s="141" t="s">
        <v>1</v>
      </c>
      <c r="F76" s="142"/>
      <c r="H76" s="143"/>
      <c r="L76" s="139"/>
      <c r="M76" s="144"/>
      <c r="N76" s="145"/>
      <c r="O76" s="145"/>
      <c r="P76" s="145"/>
      <c r="Q76" s="145"/>
      <c r="R76" s="145"/>
      <c r="S76" s="145"/>
      <c r="T76" s="146"/>
      <c r="AS76" s="141" t="s">
        <v>115</v>
      </c>
      <c r="AT76" s="141" t="s">
        <v>71</v>
      </c>
      <c r="AU76" s="13" t="s">
        <v>71</v>
      </c>
      <c r="AV76" s="13" t="s">
        <v>25</v>
      </c>
      <c r="AW76" s="13" t="s">
        <v>69</v>
      </c>
      <c r="AX76" s="141" t="s">
        <v>107</v>
      </c>
    </row>
    <row r="77" spans="1:64" s="2" customFormat="1" ht="24.2" customHeight="1">
      <c r="A77" s="28"/>
      <c r="B77" s="125"/>
      <c r="C77" s="126" t="s">
        <v>158</v>
      </c>
      <c r="D77" s="126" t="s">
        <v>109</v>
      </c>
      <c r="E77" s="127" t="s">
        <v>159</v>
      </c>
      <c r="F77" s="128" t="s">
        <v>160</v>
      </c>
      <c r="G77" s="129" t="s">
        <v>112</v>
      </c>
      <c r="H77" s="130">
        <v>2.31</v>
      </c>
      <c r="I77" s="131">
        <v>0</v>
      </c>
      <c r="J77" s="131">
        <f>ROUND(I77*H77,2)</f>
        <v>0</v>
      </c>
      <c r="K77" s="132"/>
      <c r="L77" s="29"/>
      <c r="M77" s="133" t="s">
        <v>1</v>
      </c>
      <c r="N77" s="134" t="s">
        <v>33</v>
      </c>
      <c r="O77" s="135">
        <v>0.629</v>
      </c>
      <c r="P77" s="135">
        <f>O77*H77</f>
        <v>1.45299</v>
      </c>
      <c r="Q77" s="135">
        <v>2.50187</v>
      </c>
      <c r="R77" s="135">
        <f>Q77*H77</f>
        <v>5.779319699999999</v>
      </c>
      <c r="S77" s="135">
        <v>0</v>
      </c>
      <c r="T77" s="136">
        <f>S77*H77</f>
        <v>0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Q77" s="137" t="s">
        <v>113</v>
      </c>
      <c r="AS77" s="137" t="s">
        <v>109</v>
      </c>
      <c r="AT77" s="137" t="s">
        <v>71</v>
      </c>
      <c r="AX77" s="16" t="s">
        <v>107</v>
      </c>
      <c r="BD77" s="138">
        <f>IF(N77="základní",J77,0)</f>
        <v>0</v>
      </c>
      <c r="BE77" s="138">
        <f>IF(N77="snížená",J77,0)</f>
        <v>0</v>
      </c>
      <c r="BF77" s="138">
        <f>IF(N77="zákl. přenesená",J77,0)</f>
        <v>0</v>
      </c>
      <c r="BG77" s="138">
        <f>IF(N77="sníž. přenesená",J77,0)</f>
        <v>0</v>
      </c>
      <c r="BH77" s="138">
        <f>IF(N77="nulová",J77,0)</f>
        <v>0</v>
      </c>
      <c r="BI77" s="16" t="s">
        <v>69</v>
      </c>
      <c r="BJ77" s="138">
        <f>ROUND(I77*H77,2)</f>
        <v>0</v>
      </c>
      <c r="BK77" s="16" t="s">
        <v>113</v>
      </c>
      <c r="BL77" s="137" t="s">
        <v>161</v>
      </c>
    </row>
    <row r="78" spans="2:50" s="14" customFormat="1" ht="12">
      <c r="B78" s="147"/>
      <c r="D78" s="140"/>
      <c r="E78" s="148" t="s">
        <v>1</v>
      </c>
      <c r="F78" s="149"/>
      <c r="H78" s="150"/>
      <c r="L78" s="147"/>
      <c r="M78" s="151"/>
      <c r="N78" s="152"/>
      <c r="O78" s="152"/>
      <c r="P78" s="152"/>
      <c r="Q78" s="152"/>
      <c r="R78" s="152"/>
      <c r="S78" s="152"/>
      <c r="T78" s="153"/>
      <c r="AS78" s="148" t="s">
        <v>115</v>
      </c>
      <c r="AT78" s="148" t="s">
        <v>71</v>
      </c>
      <c r="AU78" s="14" t="s">
        <v>113</v>
      </c>
      <c r="AV78" s="14" t="s">
        <v>25</v>
      </c>
      <c r="AW78" s="14" t="s">
        <v>69</v>
      </c>
      <c r="AX78" s="148" t="s">
        <v>107</v>
      </c>
    </row>
    <row r="79" spans="2:62" s="12" customFormat="1" ht="22.9" customHeight="1">
      <c r="B79" s="113"/>
      <c r="D79" s="114" t="s">
        <v>60</v>
      </c>
      <c r="E79" s="123" t="s">
        <v>116</v>
      </c>
      <c r="F79" s="123" t="s">
        <v>163</v>
      </c>
      <c r="J79" s="124">
        <f>SUM(J80:J86)</f>
        <v>0</v>
      </c>
      <c r="L79" s="113"/>
      <c r="M79" s="117"/>
      <c r="N79" s="118"/>
      <c r="O79" s="118"/>
      <c r="P79" s="119">
        <f>SUM(P80:P86)</f>
        <v>62.196</v>
      </c>
      <c r="Q79" s="118"/>
      <c r="R79" s="119">
        <f>SUM(R80:R86)</f>
        <v>36.41576</v>
      </c>
      <c r="S79" s="118"/>
      <c r="T79" s="120">
        <f>SUM(T80:T86)</f>
        <v>0</v>
      </c>
      <c r="AQ79" s="114" t="s">
        <v>69</v>
      </c>
      <c r="AS79" s="121" t="s">
        <v>60</v>
      </c>
      <c r="AT79" s="121" t="s">
        <v>69</v>
      </c>
      <c r="AX79" s="114" t="s">
        <v>107</v>
      </c>
      <c r="BJ79" s="122">
        <f>SUM(BJ80:BJ86)</f>
        <v>0</v>
      </c>
    </row>
    <row r="80" spans="1:64" s="2" customFormat="1" ht="45.75" customHeight="1">
      <c r="A80" s="28"/>
      <c r="B80" s="125"/>
      <c r="C80" s="126" t="s">
        <v>165</v>
      </c>
      <c r="D80" s="126" t="s">
        <v>109</v>
      </c>
      <c r="E80" s="127" t="s">
        <v>166</v>
      </c>
      <c r="F80" s="128" t="s">
        <v>494</v>
      </c>
      <c r="G80" s="129" t="s">
        <v>148</v>
      </c>
      <c r="H80" s="130">
        <v>80</v>
      </c>
      <c r="I80" s="131">
        <v>0</v>
      </c>
      <c r="J80" s="131">
        <f>ROUND(I80*H80,2)</f>
        <v>0</v>
      </c>
      <c r="K80" s="132"/>
      <c r="L80" s="29"/>
      <c r="M80" s="133" t="s">
        <v>1</v>
      </c>
      <c r="N80" s="134" t="s">
        <v>33</v>
      </c>
      <c r="O80" s="135">
        <v>0.762</v>
      </c>
      <c r="P80" s="135">
        <f>O80*H80</f>
        <v>60.96</v>
      </c>
      <c r="Q80" s="135">
        <v>0.45195</v>
      </c>
      <c r="R80" s="135">
        <f>Q80*H80</f>
        <v>36.156</v>
      </c>
      <c r="S80" s="135">
        <v>0</v>
      </c>
      <c r="T80" s="136">
        <f>S80*H80</f>
        <v>0</v>
      </c>
      <c r="U80" s="28"/>
      <c r="V80" s="28"/>
      <c r="W80" s="28"/>
      <c r="X80" s="28"/>
      <c r="Y80" s="28"/>
      <c r="Z80" s="28"/>
      <c r="AA80" s="28"/>
      <c r="AB80" s="28"/>
      <c r="AC80" s="28"/>
      <c r="AD80" s="28"/>
      <c r="AQ80" s="137" t="s">
        <v>113</v>
      </c>
      <c r="AS80" s="137" t="s">
        <v>109</v>
      </c>
      <c r="AT80" s="137" t="s">
        <v>71</v>
      </c>
      <c r="AX80" s="16" t="s">
        <v>107</v>
      </c>
      <c r="BD80" s="138">
        <f>IF(N80="základní",J80,0)</f>
        <v>0</v>
      </c>
      <c r="BE80" s="138">
        <f>IF(N80="snížená",J80,0)</f>
        <v>0</v>
      </c>
      <c r="BF80" s="138">
        <f>IF(N80="zákl. přenesená",J80,0)</f>
        <v>0</v>
      </c>
      <c r="BG80" s="138">
        <f>IF(N80="sníž. přenesená",J80,0)</f>
        <v>0</v>
      </c>
      <c r="BH80" s="138">
        <f>IF(N80="nulová",J80,0)</f>
        <v>0</v>
      </c>
      <c r="BI80" s="16" t="s">
        <v>69</v>
      </c>
      <c r="BJ80" s="138">
        <f>ROUND(I80*H80,2)</f>
        <v>0</v>
      </c>
      <c r="BK80" s="16" t="s">
        <v>113</v>
      </c>
      <c r="BL80" s="137" t="s">
        <v>167</v>
      </c>
    </row>
    <row r="81" spans="2:50" s="13" customFormat="1" ht="12">
      <c r="B81" s="139"/>
      <c r="D81" s="140"/>
      <c r="E81" s="141" t="s">
        <v>1</v>
      </c>
      <c r="F81" s="142"/>
      <c r="H81" s="143"/>
      <c r="L81" s="139"/>
      <c r="M81" s="144"/>
      <c r="N81" s="145"/>
      <c r="O81" s="145"/>
      <c r="P81" s="145"/>
      <c r="Q81" s="145"/>
      <c r="R81" s="145"/>
      <c r="S81" s="145"/>
      <c r="T81" s="146"/>
      <c r="AS81" s="141" t="s">
        <v>115</v>
      </c>
      <c r="AT81" s="141" t="s">
        <v>71</v>
      </c>
      <c r="AU81" s="13" t="s">
        <v>71</v>
      </c>
      <c r="AV81" s="13" t="s">
        <v>25</v>
      </c>
      <c r="AW81" s="13" t="s">
        <v>61</v>
      </c>
      <c r="AX81" s="141" t="s">
        <v>107</v>
      </c>
    </row>
    <row r="82" spans="2:50" s="13" customFormat="1" ht="12">
      <c r="B82" s="139"/>
      <c r="D82" s="140"/>
      <c r="E82" s="141" t="s">
        <v>1</v>
      </c>
      <c r="F82" s="142"/>
      <c r="H82" s="143"/>
      <c r="L82" s="139"/>
      <c r="M82" s="144"/>
      <c r="N82" s="145"/>
      <c r="O82" s="145"/>
      <c r="P82" s="145"/>
      <c r="Q82" s="145"/>
      <c r="R82" s="145"/>
      <c r="S82" s="145"/>
      <c r="T82" s="146"/>
      <c r="AS82" s="141" t="s">
        <v>115</v>
      </c>
      <c r="AT82" s="141" t="s">
        <v>71</v>
      </c>
      <c r="AU82" s="13" t="s">
        <v>71</v>
      </c>
      <c r="AV82" s="13" t="s">
        <v>25</v>
      </c>
      <c r="AW82" s="13" t="s">
        <v>61</v>
      </c>
      <c r="AX82" s="141" t="s">
        <v>107</v>
      </c>
    </row>
    <row r="83" spans="2:50" s="14" customFormat="1" ht="12">
      <c r="B83" s="147"/>
      <c r="D83" s="140"/>
      <c r="E83" s="148" t="s">
        <v>1</v>
      </c>
      <c r="F83" s="149"/>
      <c r="H83" s="150"/>
      <c r="L83" s="147"/>
      <c r="M83" s="151"/>
      <c r="N83" s="152"/>
      <c r="O83" s="152"/>
      <c r="P83" s="152"/>
      <c r="Q83" s="152"/>
      <c r="R83" s="152"/>
      <c r="S83" s="152"/>
      <c r="T83" s="153"/>
      <c r="AS83" s="148" t="s">
        <v>115</v>
      </c>
      <c r="AT83" s="148" t="s">
        <v>71</v>
      </c>
      <c r="AU83" s="14" t="s">
        <v>113</v>
      </c>
      <c r="AV83" s="14" t="s">
        <v>25</v>
      </c>
      <c r="AW83" s="14" t="s">
        <v>69</v>
      </c>
      <c r="AX83" s="148" t="s">
        <v>107</v>
      </c>
    </row>
    <row r="84" spans="1:64" s="2" customFormat="1" ht="24.2" customHeight="1">
      <c r="A84" s="28"/>
      <c r="B84" s="125"/>
      <c r="C84" s="126" t="s">
        <v>168</v>
      </c>
      <c r="D84" s="126" t="s">
        <v>109</v>
      </c>
      <c r="E84" s="127" t="s">
        <v>169</v>
      </c>
      <c r="F84" s="128" t="s">
        <v>170</v>
      </c>
      <c r="G84" s="129" t="s">
        <v>171</v>
      </c>
      <c r="H84" s="130">
        <v>2</v>
      </c>
      <c r="I84" s="131">
        <v>0</v>
      </c>
      <c r="J84" s="131">
        <f>ROUND(I84*H84,2)</f>
        <v>0</v>
      </c>
      <c r="K84" s="132"/>
      <c r="L84" s="29"/>
      <c r="M84" s="133" t="s">
        <v>1</v>
      </c>
      <c r="N84" s="134" t="s">
        <v>33</v>
      </c>
      <c r="O84" s="135">
        <v>0.618</v>
      </c>
      <c r="P84" s="135">
        <f>O84*H84</f>
        <v>1.236</v>
      </c>
      <c r="Q84" s="135">
        <v>0.02588</v>
      </c>
      <c r="R84" s="135">
        <f>Q84*H84</f>
        <v>0.05176</v>
      </c>
      <c r="S84" s="135">
        <v>0</v>
      </c>
      <c r="T84" s="136">
        <f>S84*H84</f>
        <v>0</v>
      </c>
      <c r="U84" s="28"/>
      <c r="V84" s="28"/>
      <c r="W84" s="28"/>
      <c r="X84" s="28"/>
      <c r="Y84" s="28"/>
      <c r="Z84" s="28"/>
      <c r="AA84" s="28"/>
      <c r="AB84" s="28"/>
      <c r="AC84" s="28"/>
      <c r="AD84" s="28"/>
      <c r="AQ84" s="137" t="s">
        <v>113</v>
      </c>
      <c r="AS84" s="137" t="s">
        <v>109</v>
      </c>
      <c r="AT84" s="137" t="s">
        <v>71</v>
      </c>
      <c r="AX84" s="16" t="s">
        <v>107</v>
      </c>
      <c r="BD84" s="138">
        <f>IF(N84="základní",J84,0)</f>
        <v>0</v>
      </c>
      <c r="BE84" s="138">
        <f>IF(N84="snížená",J84,0)</f>
        <v>0</v>
      </c>
      <c r="BF84" s="138">
        <f>IF(N84="zákl. přenesená",J84,0)</f>
        <v>0</v>
      </c>
      <c r="BG84" s="138">
        <f>IF(N84="sníž. přenesená",J84,0)</f>
        <v>0</v>
      </c>
      <c r="BH84" s="138">
        <f>IF(N84="nulová",J84,0)</f>
        <v>0</v>
      </c>
      <c r="BI84" s="16" t="s">
        <v>69</v>
      </c>
      <c r="BJ84" s="138">
        <f>ROUND(I84*H84,2)</f>
        <v>0</v>
      </c>
      <c r="BK84" s="16" t="s">
        <v>113</v>
      </c>
      <c r="BL84" s="137" t="s">
        <v>172</v>
      </c>
    </row>
    <row r="85" spans="2:50" s="13" customFormat="1" ht="12">
      <c r="B85" s="139"/>
      <c r="D85" s="140"/>
      <c r="E85" s="141" t="s">
        <v>1</v>
      </c>
      <c r="F85" s="142"/>
      <c r="H85" s="143"/>
      <c r="L85" s="139"/>
      <c r="M85" s="144"/>
      <c r="N85" s="145"/>
      <c r="O85" s="145"/>
      <c r="P85" s="145"/>
      <c r="Q85" s="145"/>
      <c r="R85" s="145"/>
      <c r="S85" s="145"/>
      <c r="T85" s="146"/>
      <c r="AS85" s="141" t="s">
        <v>115</v>
      </c>
      <c r="AT85" s="141" t="s">
        <v>71</v>
      </c>
      <c r="AU85" s="13" t="s">
        <v>71</v>
      </c>
      <c r="AV85" s="13" t="s">
        <v>25</v>
      </c>
      <c r="AW85" s="13" t="s">
        <v>69</v>
      </c>
      <c r="AX85" s="141" t="s">
        <v>107</v>
      </c>
    </row>
    <row r="86" spans="1:64" s="2" customFormat="1" ht="24.2" customHeight="1">
      <c r="A86" s="28"/>
      <c r="B86" s="125"/>
      <c r="C86" s="154" t="s">
        <v>173</v>
      </c>
      <c r="D86" s="154" t="s">
        <v>174</v>
      </c>
      <c r="E86" s="155" t="s">
        <v>175</v>
      </c>
      <c r="F86" s="156" t="s">
        <v>176</v>
      </c>
      <c r="G86" s="157" t="s">
        <v>171</v>
      </c>
      <c r="H86" s="158">
        <v>2</v>
      </c>
      <c r="I86" s="159">
        <v>0</v>
      </c>
      <c r="J86" s="159">
        <f>ROUND(I86*H86,2)</f>
        <v>0</v>
      </c>
      <c r="K86" s="160"/>
      <c r="L86" s="161"/>
      <c r="M86" s="162" t="s">
        <v>1</v>
      </c>
      <c r="N86" s="163" t="s">
        <v>33</v>
      </c>
      <c r="O86" s="135">
        <v>0</v>
      </c>
      <c r="P86" s="135">
        <f>O86*H86</f>
        <v>0</v>
      </c>
      <c r="Q86" s="135">
        <v>0.104</v>
      </c>
      <c r="R86" s="135">
        <f>Q86*H86</f>
        <v>0.208</v>
      </c>
      <c r="S86" s="135">
        <v>0</v>
      </c>
      <c r="T86" s="136">
        <f>S86*H86</f>
        <v>0</v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Q86" s="137" t="s">
        <v>137</v>
      </c>
      <c r="AS86" s="137" t="s">
        <v>174</v>
      </c>
      <c r="AT86" s="137" t="s">
        <v>71</v>
      </c>
      <c r="AX86" s="16" t="s">
        <v>107</v>
      </c>
      <c r="BD86" s="138">
        <f>IF(N86="základní",J86,0)</f>
        <v>0</v>
      </c>
      <c r="BE86" s="138">
        <f>IF(N86="snížená",J86,0)</f>
        <v>0</v>
      </c>
      <c r="BF86" s="138">
        <f>IF(N86="zákl. přenesená",J86,0)</f>
        <v>0</v>
      </c>
      <c r="BG86" s="138">
        <f>IF(N86="sníž. přenesená",J86,0)</f>
        <v>0</v>
      </c>
      <c r="BH86" s="138">
        <f>IF(N86="nulová",J86,0)</f>
        <v>0</v>
      </c>
      <c r="BI86" s="16" t="s">
        <v>69</v>
      </c>
      <c r="BJ86" s="138">
        <f>ROUND(I86*H86,2)</f>
        <v>0</v>
      </c>
      <c r="BK86" s="16" t="s">
        <v>113</v>
      </c>
      <c r="BL86" s="137" t="s">
        <v>177</v>
      </c>
    </row>
    <row r="87" spans="2:62" s="12" customFormat="1" ht="22.9" customHeight="1">
      <c r="B87" s="113"/>
      <c r="D87" s="114" t="s">
        <v>60</v>
      </c>
      <c r="E87" s="123" t="s">
        <v>113</v>
      </c>
      <c r="F87" s="123" t="s">
        <v>178</v>
      </c>
      <c r="J87" s="124">
        <f>SUM(J88:J100)</f>
        <v>0</v>
      </c>
      <c r="L87" s="113"/>
      <c r="M87" s="117"/>
      <c r="N87" s="118"/>
      <c r="O87" s="118"/>
      <c r="P87" s="119">
        <f>SUM(P88:P101)</f>
        <v>5.84515</v>
      </c>
      <c r="Q87" s="118"/>
      <c r="R87" s="119">
        <f>SUM(R88:R101)</f>
        <v>4.95406215</v>
      </c>
      <c r="S87" s="118"/>
      <c r="T87" s="120">
        <f>SUM(T88:T101)</f>
        <v>0</v>
      </c>
      <c r="AQ87" s="114" t="s">
        <v>69</v>
      </c>
      <c r="AS87" s="121" t="s">
        <v>60</v>
      </c>
      <c r="AT87" s="121" t="s">
        <v>69</v>
      </c>
      <c r="AX87" s="114" t="s">
        <v>107</v>
      </c>
      <c r="BJ87" s="122">
        <f>SUM(BJ88:BJ101)</f>
        <v>0</v>
      </c>
    </row>
    <row r="88" spans="1:64" s="2" customFormat="1" ht="16.5" customHeight="1">
      <c r="A88" s="28"/>
      <c r="B88" s="125"/>
      <c r="C88" s="126" t="s">
        <v>179</v>
      </c>
      <c r="D88" s="126" t="s">
        <v>109</v>
      </c>
      <c r="E88" s="127" t="s">
        <v>180</v>
      </c>
      <c r="F88" s="128" t="s">
        <v>181</v>
      </c>
      <c r="G88" s="129" t="s">
        <v>112</v>
      </c>
      <c r="H88" s="130">
        <f>2.5*2.5*0.3</f>
        <v>1.875</v>
      </c>
      <c r="I88" s="131">
        <v>0</v>
      </c>
      <c r="J88" s="131">
        <f>ROUND(I88*H88,2)</f>
        <v>0</v>
      </c>
      <c r="K88" s="132"/>
      <c r="L88" s="29"/>
      <c r="M88" s="133" t="s">
        <v>1</v>
      </c>
      <c r="N88" s="134" t="s">
        <v>33</v>
      </c>
      <c r="O88" s="135">
        <v>1.224</v>
      </c>
      <c r="P88" s="135">
        <f>O88*H88</f>
        <v>2.295</v>
      </c>
      <c r="Q88" s="135">
        <v>2.50201</v>
      </c>
      <c r="R88" s="135">
        <f>Q88*H88</f>
        <v>4.69126875</v>
      </c>
      <c r="S88" s="135">
        <v>0</v>
      </c>
      <c r="T88" s="136">
        <f>S88*H88</f>
        <v>0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Q88" s="137" t="s">
        <v>113</v>
      </c>
      <c r="AS88" s="137" t="s">
        <v>109</v>
      </c>
      <c r="AT88" s="137" t="s">
        <v>71</v>
      </c>
      <c r="AX88" s="16" t="s">
        <v>107</v>
      </c>
      <c r="BD88" s="138">
        <f>IF(N88="základní",J88,0)</f>
        <v>0</v>
      </c>
      <c r="BE88" s="138">
        <f>IF(N88="snížená",J88,0)</f>
        <v>0</v>
      </c>
      <c r="BF88" s="138">
        <f>IF(N88="zákl. přenesená",J88,0)</f>
        <v>0</v>
      </c>
      <c r="BG88" s="138">
        <f>IF(N88="sníž. přenesená",J88,0)</f>
        <v>0</v>
      </c>
      <c r="BH88" s="138">
        <f>IF(N88="nulová",J88,0)</f>
        <v>0</v>
      </c>
      <c r="BI88" s="16" t="s">
        <v>69</v>
      </c>
      <c r="BJ88" s="138">
        <f>ROUND(I88*H88,2)</f>
        <v>0</v>
      </c>
      <c r="BK88" s="16" t="s">
        <v>113</v>
      </c>
      <c r="BL88" s="137" t="s">
        <v>182</v>
      </c>
    </row>
    <row r="89" spans="2:50" s="14" customFormat="1" ht="12">
      <c r="B89" s="147"/>
      <c r="D89" s="140"/>
      <c r="E89" s="148" t="s">
        <v>1</v>
      </c>
      <c r="F89" s="149"/>
      <c r="H89" s="150"/>
      <c r="L89" s="147"/>
      <c r="M89" s="151"/>
      <c r="N89" s="152"/>
      <c r="O89" s="152"/>
      <c r="P89" s="152"/>
      <c r="Q89" s="152"/>
      <c r="R89" s="152"/>
      <c r="S89" s="152"/>
      <c r="T89" s="153"/>
      <c r="AS89" s="148" t="s">
        <v>115</v>
      </c>
      <c r="AT89" s="148" t="s">
        <v>71</v>
      </c>
      <c r="AU89" s="14" t="s">
        <v>113</v>
      </c>
      <c r="AV89" s="14" t="s">
        <v>25</v>
      </c>
      <c r="AW89" s="14" t="s">
        <v>69</v>
      </c>
      <c r="AX89" s="148" t="s">
        <v>107</v>
      </c>
    </row>
    <row r="90" spans="1:64" s="2" customFormat="1" ht="24.2" customHeight="1">
      <c r="A90" s="28"/>
      <c r="B90" s="125"/>
      <c r="C90" s="126" t="s">
        <v>7</v>
      </c>
      <c r="D90" s="126" t="s">
        <v>109</v>
      </c>
      <c r="E90" s="127" t="s">
        <v>183</v>
      </c>
      <c r="F90" s="128" t="s">
        <v>184</v>
      </c>
      <c r="G90" s="129" t="s">
        <v>148</v>
      </c>
      <c r="H90" s="130">
        <v>5.758</v>
      </c>
      <c r="I90" s="131">
        <v>0</v>
      </c>
      <c r="J90" s="131">
        <f>ROUND(I90*H90,2)</f>
        <v>0</v>
      </c>
      <c r="K90" s="132"/>
      <c r="L90" s="29"/>
      <c r="M90" s="133" t="s">
        <v>1</v>
      </c>
      <c r="N90" s="134" t="s">
        <v>33</v>
      </c>
      <c r="O90" s="135">
        <v>0.108</v>
      </c>
      <c r="P90" s="135">
        <f>O90*H90</f>
        <v>0.621864</v>
      </c>
      <c r="Q90" s="135">
        <v>0.00737</v>
      </c>
      <c r="R90" s="135">
        <f>Q90*H90</f>
        <v>0.04243646</v>
      </c>
      <c r="S90" s="135">
        <v>0</v>
      </c>
      <c r="T90" s="136">
        <f>S90*H90</f>
        <v>0</v>
      </c>
      <c r="U90" s="28"/>
      <c r="V90" s="28"/>
      <c r="W90" s="28"/>
      <c r="X90" s="28"/>
      <c r="Y90" s="28"/>
      <c r="Z90" s="28"/>
      <c r="AA90" s="28"/>
      <c r="AB90" s="28"/>
      <c r="AC90" s="28"/>
      <c r="AD90" s="28"/>
      <c r="AQ90" s="137" t="s">
        <v>113</v>
      </c>
      <c r="AS90" s="137" t="s">
        <v>109</v>
      </c>
      <c r="AT90" s="137" t="s">
        <v>71</v>
      </c>
      <c r="AX90" s="16" t="s">
        <v>107</v>
      </c>
      <c r="BD90" s="138">
        <f>IF(N90="základní",J90,0)</f>
        <v>0</v>
      </c>
      <c r="BE90" s="138">
        <f>IF(N90="snížená",J90,0)</f>
        <v>0</v>
      </c>
      <c r="BF90" s="138">
        <f>IF(N90="zákl. přenesená",J90,0)</f>
        <v>0</v>
      </c>
      <c r="BG90" s="138">
        <f>IF(N90="sníž. přenesená",J90,0)</f>
        <v>0</v>
      </c>
      <c r="BH90" s="138">
        <f>IF(N90="nulová",J90,0)</f>
        <v>0</v>
      </c>
      <c r="BI90" s="16" t="s">
        <v>69</v>
      </c>
      <c r="BJ90" s="138">
        <f>ROUND(I90*H90,2)</f>
        <v>0</v>
      </c>
      <c r="BK90" s="16" t="s">
        <v>113</v>
      </c>
      <c r="BL90" s="137" t="s">
        <v>185</v>
      </c>
    </row>
    <row r="91" spans="2:50" s="13" customFormat="1" ht="12">
      <c r="B91" s="139"/>
      <c r="D91" s="140" t="s">
        <v>115</v>
      </c>
      <c r="E91" s="141" t="s">
        <v>1</v>
      </c>
      <c r="F91" s="142" t="s">
        <v>186</v>
      </c>
      <c r="H91" s="143">
        <v>5.758</v>
      </c>
      <c r="L91" s="139"/>
      <c r="M91" s="144"/>
      <c r="N91" s="145"/>
      <c r="O91" s="145"/>
      <c r="P91" s="145"/>
      <c r="Q91" s="145"/>
      <c r="R91" s="145"/>
      <c r="S91" s="145"/>
      <c r="T91" s="146"/>
      <c r="AS91" s="141" t="s">
        <v>115</v>
      </c>
      <c r="AT91" s="141" t="s">
        <v>71</v>
      </c>
      <c r="AU91" s="13" t="s">
        <v>71</v>
      </c>
      <c r="AV91" s="13" t="s">
        <v>25</v>
      </c>
      <c r="AW91" s="13" t="s">
        <v>69</v>
      </c>
      <c r="AX91" s="141" t="s">
        <v>107</v>
      </c>
    </row>
    <row r="92" spans="1:64" s="2" customFormat="1" ht="24.2" customHeight="1">
      <c r="A92" s="28"/>
      <c r="B92" s="125"/>
      <c r="C92" s="126" t="s">
        <v>187</v>
      </c>
      <c r="D92" s="126" t="s">
        <v>109</v>
      </c>
      <c r="E92" s="127" t="s">
        <v>188</v>
      </c>
      <c r="F92" s="128" t="s">
        <v>189</v>
      </c>
      <c r="G92" s="129" t="s">
        <v>148</v>
      </c>
      <c r="H92" s="130">
        <v>5.758</v>
      </c>
      <c r="I92" s="131">
        <v>0</v>
      </c>
      <c r="J92" s="131">
        <f>ROUND(I92*H92,2)</f>
        <v>0</v>
      </c>
      <c r="K92" s="132"/>
      <c r="L92" s="29"/>
      <c r="M92" s="133" t="s">
        <v>1</v>
      </c>
      <c r="N92" s="134" t="s">
        <v>33</v>
      </c>
      <c r="O92" s="135">
        <v>0.209</v>
      </c>
      <c r="P92" s="135">
        <f>O92*H92</f>
        <v>1.203422</v>
      </c>
      <c r="Q92" s="135">
        <v>0.00092</v>
      </c>
      <c r="R92" s="135">
        <f>Q92*H92</f>
        <v>0.00529736</v>
      </c>
      <c r="S92" s="135">
        <v>0</v>
      </c>
      <c r="T92" s="136">
        <f>S92*H92</f>
        <v>0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Q92" s="137" t="s">
        <v>113</v>
      </c>
      <c r="AS92" s="137" t="s">
        <v>109</v>
      </c>
      <c r="AT92" s="137" t="s">
        <v>71</v>
      </c>
      <c r="AX92" s="16" t="s">
        <v>107</v>
      </c>
      <c r="BD92" s="138">
        <f>IF(N92="základní",J92,0)</f>
        <v>0</v>
      </c>
      <c r="BE92" s="138">
        <f>IF(N92="snížená",J92,0)</f>
        <v>0</v>
      </c>
      <c r="BF92" s="138">
        <f>IF(N92="zákl. přenesená",J92,0)</f>
        <v>0</v>
      </c>
      <c r="BG92" s="138">
        <f>IF(N92="sníž. přenesená",J92,0)</f>
        <v>0</v>
      </c>
      <c r="BH92" s="138">
        <f>IF(N92="nulová",J92,0)</f>
        <v>0</v>
      </c>
      <c r="BI92" s="16" t="s">
        <v>69</v>
      </c>
      <c r="BJ92" s="138">
        <f>ROUND(I92*H92,2)</f>
        <v>0</v>
      </c>
      <c r="BK92" s="16" t="s">
        <v>113</v>
      </c>
      <c r="BL92" s="137" t="s">
        <v>190</v>
      </c>
    </row>
    <row r="93" spans="1:64" s="2" customFormat="1" ht="24.2" customHeight="1">
      <c r="A93" s="28"/>
      <c r="B93" s="125"/>
      <c r="C93" s="126" t="s">
        <v>191</v>
      </c>
      <c r="D93" s="126" t="s">
        <v>109</v>
      </c>
      <c r="E93" s="127" t="s">
        <v>192</v>
      </c>
      <c r="F93" s="128" t="s">
        <v>193</v>
      </c>
      <c r="G93" s="129" t="s">
        <v>148</v>
      </c>
      <c r="H93" s="130">
        <v>5.758</v>
      </c>
      <c r="I93" s="131">
        <v>0</v>
      </c>
      <c r="J93" s="131">
        <f>ROUND(I93*H93,2)</f>
        <v>0</v>
      </c>
      <c r="K93" s="132"/>
      <c r="L93" s="29"/>
      <c r="M93" s="133" t="s">
        <v>1</v>
      </c>
      <c r="N93" s="134" t="s">
        <v>33</v>
      </c>
      <c r="O93" s="135">
        <v>0.121</v>
      </c>
      <c r="P93" s="135">
        <f>O93*H93</f>
        <v>0.696718</v>
      </c>
      <c r="Q93" s="135">
        <v>0</v>
      </c>
      <c r="R93" s="135">
        <f>Q93*H93</f>
        <v>0</v>
      </c>
      <c r="S93" s="135">
        <v>0</v>
      </c>
      <c r="T93" s="136">
        <f>S93*H93</f>
        <v>0</v>
      </c>
      <c r="U93" s="28"/>
      <c r="V93" s="28"/>
      <c r="W93" s="28"/>
      <c r="X93" s="28"/>
      <c r="Y93" s="28"/>
      <c r="Z93" s="28"/>
      <c r="AA93" s="28"/>
      <c r="AB93" s="28"/>
      <c r="AC93" s="28"/>
      <c r="AD93" s="28"/>
      <c r="AQ93" s="137" t="s">
        <v>113</v>
      </c>
      <c r="AS93" s="137" t="s">
        <v>109</v>
      </c>
      <c r="AT93" s="137" t="s">
        <v>71</v>
      </c>
      <c r="AX93" s="16" t="s">
        <v>107</v>
      </c>
      <c r="BD93" s="138">
        <f>IF(N93="základní",J93,0)</f>
        <v>0</v>
      </c>
      <c r="BE93" s="138">
        <f>IF(N93="snížená",J93,0)</f>
        <v>0</v>
      </c>
      <c r="BF93" s="138">
        <f>IF(N93="zákl. přenesená",J93,0)</f>
        <v>0</v>
      </c>
      <c r="BG93" s="138">
        <f>IF(N93="sníž. přenesená",J93,0)</f>
        <v>0</v>
      </c>
      <c r="BH93" s="138">
        <f>IF(N93="nulová",J93,0)</f>
        <v>0</v>
      </c>
      <c r="BI93" s="16" t="s">
        <v>69</v>
      </c>
      <c r="BJ93" s="138">
        <f>ROUND(I93*H93,2)</f>
        <v>0</v>
      </c>
      <c r="BK93" s="16" t="s">
        <v>113</v>
      </c>
      <c r="BL93" s="137" t="s">
        <v>194</v>
      </c>
    </row>
    <row r="94" spans="1:64" s="2" customFormat="1" ht="37.9" customHeight="1">
      <c r="A94" s="28"/>
      <c r="B94" s="125"/>
      <c r="C94" s="126" t="s">
        <v>195</v>
      </c>
      <c r="D94" s="126" t="s">
        <v>109</v>
      </c>
      <c r="E94" s="127" t="s">
        <v>196</v>
      </c>
      <c r="F94" s="128" t="s">
        <v>197</v>
      </c>
      <c r="G94" s="129" t="s">
        <v>122</v>
      </c>
      <c r="H94" s="130">
        <v>0.062</v>
      </c>
      <c r="I94" s="131">
        <v>0</v>
      </c>
      <c r="J94" s="131">
        <f>ROUND(I94*H94,2)</f>
        <v>0</v>
      </c>
      <c r="K94" s="132"/>
      <c r="L94" s="29"/>
      <c r="M94" s="133" t="s">
        <v>1</v>
      </c>
      <c r="N94" s="134" t="s">
        <v>33</v>
      </c>
      <c r="O94" s="135">
        <v>16.583</v>
      </c>
      <c r="P94" s="135">
        <f>O94*H94</f>
        <v>1.028146</v>
      </c>
      <c r="Q94" s="135">
        <v>0.01709</v>
      </c>
      <c r="R94" s="135">
        <f>Q94*H94</f>
        <v>0.00105958</v>
      </c>
      <c r="S94" s="135">
        <v>0</v>
      </c>
      <c r="T94" s="136">
        <f>S94*H94</f>
        <v>0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Q94" s="137" t="s">
        <v>113</v>
      </c>
      <c r="AS94" s="137" t="s">
        <v>109</v>
      </c>
      <c r="AT94" s="137" t="s">
        <v>71</v>
      </c>
      <c r="AX94" s="16" t="s">
        <v>107</v>
      </c>
      <c r="BD94" s="138">
        <f>IF(N94="základní",J94,0)</f>
        <v>0</v>
      </c>
      <c r="BE94" s="138">
        <f>IF(N94="snížená",J94,0)</f>
        <v>0</v>
      </c>
      <c r="BF94" s="138">
        <f>IF(N94="zákl. přenesená",J94,0)</f>
        <v>0</v>
      </c>
      <c r="BG94" s="138">
        <f>IF(N94="sníž. přenesená",J94,0)</f>
        <v>0</v>
      </c>
      <c r="BH94" s="138">
        <f>IF(N94="nulová",J94,0)</f>
        <v>0</v>
      </c>
      <c r="BI94" s="16" t="s">
        <v>69</v>
      </c>
      <c r="BJ94" s="138">
        <f>ROUND(I94*H94,2)</f>
        <v>0</v>
      </c>
      <c r="BK94" s="16" t="s">
        <v>113</v>
      </c>
      <c r="BL94" s="137" t="s">
        <v>198</v>
      </c>
    </row>
    <row r="95" spans="2:50" s="13" customFormat="1" ht="12">
      <c r="B95" s="139"/>
      <c r="D95" s="140" t="s">
        <v>115</v>
      </c>
      <c r="E95" s="141" t="s">
        <v>1</v>
      </c>
      <c r="F95" s="142"/>
      <c r="H95" s="143">
        <v>0.062</v>
      </c>
      <c r="L95" s="139"/>
      <c r="M95" s="144"/>
      <c r="N95" s="145"/>
      <c r="O95" s="145"/>
      <c r="P95" s="145"/>
      <c r="Q95" s="145"/>
      <c r="R95" s="145"/>
      <c r="S95" s="145"/>
      <c r="T95" s="146"/>
      <c r="AS95" s="141" t="s">
        <v>115</v>
      </c>
      <c r="AT95" s="141" t="s">
        <v>71</v>
      </c>
      <c r="AU95" s="13" t="s">
        <v>71</v>
      </c>
      <c r="AV95" s="13" t="s">
        <v>25</v>
      </c>
      <c r="AW95" s="13" t="s">
        <v>69</v>
      </c>
      <c r="AX95" s="141" t="s">
        <v>107</v>
      </c>
    </row>
    <row r="96" spans="1:64" s="2" customFormat="1" ht="21.75" customHeight="1">
      <c r="A96" s="28"/>
      <c r="B96" s="125"/>
      <c r="C96" s="154" t="s">
        <v>199</v>
      </c>
      <c r="D96" s="154" t="s">
        <v>174</v>
      </c>
      <c r="E96" s="155" t="s">
        <v>200</v>
      </c>
      <c r="F96" s="156" t="s">
        <v>201</v>
      </c>
      <c r="G96" s="157" t="s">
        <v>122</v>
      </c>
      <c r="H96" s="158">
        <v>0.2</v>
      </c>
      <c r="I96" s="159">
        <v>0</v>
      </c>
      <c r="J96" s="159">
        <f>ROUND(I96*H96,2)</f>
        <v>0</v>
      </c>
      <c r="K96" s="160"/>
      <c r="L96" s="161"/>
      <c r="M96" s="162" t="s">
        <v>1</v>
      </c>
      <c r="N96" s="163" t="s">
        <v>33</v>
      </c>
      <c r="O96" s="135">
        <v>0</v>
      </c>
      <c r="P96" s="135">
        <f>O96*H96</f>
        <v>0</v>
      </c>
      <c r="Q96" s="135">
        <v>1</v>
      </c>
      <c r="R96" s="135">
        <f>Q96*H96</f>
        <v>0.2</v>
      </c>
      <c r="S96" s="135">
        <v>0</v>
      </c>
      <c r="T96" s="136">
        <f>S96*H96</f>
        <v>0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Q96" s="137" t="s">
        <v>137</v>
      </c>
      <c r="AS96" s="137" t="s">
        <v>174</v>
      </c>
      <c r="AT96" s="137" t="s">
        <v>71</v>
      </c>
      <c r="AX96" s="16" t="s">
        <v>107</v>
      </c>
      <c r="BD96" s="138">
        <f>IF(N96="základní",J96,0)</f>
        <v>0</v>
      </c>
      <c r="BE96" s="138">
        <f>IF(N96="snížená",J96,0)</f>
        <v>0</v>
      </c>
      <c r="BF96" s="138">
        <f>IF(N96="zákl. přenesená",J96,0)</f>
        <v>0</v>
      </c>
      <c r="BG96" s="138">
        <f>IF(N96="sníž. přenesená",J96,0)</f>
        <v>0</v>
      </c>
      <c r="BH96" s="138">
        <f>IF(N96="nulová",J96,0)</f>
        <v>0</v>
      </c>
      <c r="BI96" s="16" t="s">
        <v>69</v>
      </c>
      <c r="BJ96" s="138">
        <f>ROUND(I96*H96,2)</f>
        <v>0</v>
      </c>
      <c r="BK96" s="16" t="s">
        <v>113</v>
      </c>
      <c r="BL96" s="137" t="s">
        <v>202</v>
      </c>
    </row>
    <row r="97" spans="2:50" s="13" customFormat="1" ht="12">
      <c r="B97" s="139"/>
      <c r="D97" s="140" t="s">
        <v>115</v>
      </c>
      <c r="E97" s="141" t="s">
        <v>1</v>
      </c>
      <c r="F97" s="142"/>
      <c r="H97" s="143"/>
      <c r="L97" s="139"/>
      <c r="M97" s="144"/>
      <c r="N97" s="145"/>
      <c r="O97" s="145"/>
      <c r="P97" s="145"/>
      <c r="Q97" s="145"/>
      <c r="R97" s="145"/>
      <c r="S97" s="145"/>
      <c r="T97" s="146"/>
      <c r="AS97" s="141" t="s">
        <v>115</v>
      </c>
      <c r="AT97" s="141" t="s">
        <v>71</v>
      </c>
      <c r="AU97" s="13" t="s">
        <v>71</v>
      </c>
      <c r="AV97" s="13" t="s">
        <v>25</v>
      </c>
      <c r="AW97" s="13" t="s">
        <v>69</v>
      </c>
      <c r="AX97" s="141" t="s">
        <v>107</v>
      </c>
    </row>
    <row r="98" spans="1:64" s="2" customFormat="1" ht="21.75" customHeight="1">
      <c r="A98" s="28"/>
      <c r="B98" s="125"/>
      <c r="C98" s="154" t="s">
        <v>203</v>
      </c>
      <c r="D98" s="154" t="s">
        <v>174</v>
      </c>
      <c r="E98" s="155" t="s">
        <v>204</v>
      </c>
      <c r="F98" s="156" t="s">
        <v>205</v>
      </c>
      <c r="G98" s="157" t="s">
        <v>122</v>
      </c>
      <c r="H98" s="158">
        <v>0.003</v>
      </c>
      <c r="I98" s="159">
        <v>0</v>
      </c>
      <c r="J98" s="159">
        <f>ROUND(I98*H98,2)</f>
        <v>0</v>
      </c>
      <c r="K98" s="160"/>
      <c r="L98" s="161"/>
      <c r="M98" s="162" t="s">
        <v>1</v>
      </c>
      <c r="N98" s="163" t="s">
        <v>33</v>
      </c>
      <c r="O98" s="135">
        <v>0</v>
      </c>
      <c r="P98" s="135">
        <f>O98*H98</f>
        <v>0</v>
      </c>
      <c r="Q98" s="135">
        <v>1</v>
      </c>
      <c r="R98" s="135">
        <f>Q98*H98</f>
        <v>0.003</v>
      </c>
      <c r="S98" s="135">
        <v>0</v>
      </c>
      <c r="T98" s="136">
        <f>S98*H98</f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Q98" s="137" t="s">
        <v>137</v>
      </c>
      <c r="AS98" s="137" t="s">
        <v>174</v>
      </c>
      <c r="AT98" s="137" t="s">
        <v>71</v>
      </c>
      <c r="AX98" s="16" t="s">
        <v>107</v>
      </c>
      <c r="BD98" s="138">
        <f>IF(N98="základní",J98,0)</f>
        <v>0</v>
      </c>
      <c r="BE98" s="138">
        <f>IF(N98="snížená",J98,0)</f>
        <v>0</v>
      </c>
      <c r="BF98" s="138">
        <f>IF(N98="zákl. přenesená",J98,0)</f>
        <v>0</v>
      </c>
      <c r="BG98" s="138">
        <f>IF(N98="sníž. přenesená",J98,0)</f>
        <v>0</v>
      </c>
      <c r="BH98" s="138">
        <f>IF(N98="nulová",J98,0)</f>
        <v>0</v>
      </c>
      <c r="BI98" s="16" t="s">
        <v>69</v>
      </c>
      <c r="BJ98" s="138">
        <f>ROUND(I98*H98,2)</f>
        <v>0</v>
      </c>
      <c r="BK98" s="16" t="s">
        <v>113</v>
      </c>
      <c r="BL98" s="137" t="s">
        <v>206</v>
      </c>
    </row>
    <row r="99" spans="2:50" s="13" customFormat="1" ht="12">
      <c r="B99" s="139"/>
      <c r="D99" s="140" t="s">
        <v>115</v>
      </c>
      <c r="E99" s="141" t="s">
        <v>1</v>
      </c>
      <c r="F99" s="142"/>
      <c r="H99" s="143"/>
      <c r="L99" s="139"/>
      <c r="M99" s="144"/>
      <c r="N99" s="145"/>
      <c r="O99" s="145"/>
      <c r="P99" s="145"/>
      <c r="Q99" s="145"/>
      <c r="R99" s="145"/>
      <c r="S99" s="145"/>
      <c r="T99" s="146"/>
      <c r="AS99" s="141" t="s">
        <v>115</v>
      </c>
      <c r="AT99" s="141" t="s">
        <v>71</v>
      </c>
      <c r="AU99" s="13" t="s">
        <v>71</v>
      </c>
      <c r="AV99" s="13" t="s">
        <v>25</v>
      </c>
      <c r="AW99" s="13" t="s">
        <v>69</v>
      </c>
      <c r="AX99" s="141" t="s">
        <v>107</v>
      </c>
    </row>
    <row r="100" spans="1:64" s="2" customFormat="1" ht="24.2" customHeight="1">
      <c r="A100" s="28"/>
      <c r="B100" s="125"/>
      <c r="C100" s="154" t="s">
        <v>207</v>
      </c>
      <c r="D100" s="154" t="s">
        <v>174</v>
      </c>
      <c r="E100" s="155" t="s">
        <v>208</v>
      </c>
      <c r="F100" s="156" t="s">
        <v>209</v>
      </c>
      <c r="G100" s="157" t="s">
        <v>122</v>
      </c>
      <c r="H100" s="158">
        <v>0.011</v>
      </c>
      <c r="I100" s="159">
        <v>0</v>
      </c>
      <c r="J100" s="159">
        <f>ROUND(I100*H100,2)</f>
        <v>0</v>
      </c>
      <c r="K100" s="160"/>
      <c r="L100" s="161"/>
      <c r="M100" s="162" t="s">
        <v>1</v>
      </c>
      <c r="N100" s="163" t="s">
        <v>33</v>
      </c>
      <c r="O100" s="135">
        <v>0</v>
      </c>
      <c r="P100" s="135">
        <f>O100*H100</f>
        <v>0</v>
      </c>
      <c r="Q100" s="135">
        <v>1</v>
      </c>
      <c r="R100" s="135">
        <f>Q100*H100</f>
        <v>0.011</v>
      </c>
      <c r="S100" s="135">
        <v>0</v>
      </c>
      <c r="T100" s="136">
        <f>S100*H100</f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Q100" s="137" t="s">
        <v>137</v>
      </c>
      <c r="AS100" s="137" t="s">
        <v>174</v>
      </c>
      <c r="AT100" s="137" t="s">
        <v>71</v>
      </c>
      <c r="AX100" s="16" t="s">
        <v>107</v>
      </c>
      <c r="BD100" s="138">
        <f>IF(N100="základní",J100,0)</f>
        <v>0</v>
      </c>
      <c r="BE100" s="138">
        <f>IF(N100="snížená",J100,0)</f>
        <v>0</v>
      </c>
      <c r="BF100" s="138">
        <f>IF(N100="zákl. přenesená",J100,0)</f>
        <v>0</v>
      </c>
      <c r="BG100" s="138">
        <f>IF(N100="sníž. přenesená",J100,0)</f>
        <v>0</v>
      </c>
      <c r="BH100" s="138">
        <f>IF(N100="nulová",J100,0)</f>
        <v>0</v>
      </c>
      <c r="BI100" s="16" t="s">
        <v>69</v>
      </c>
      <c r="BJ100" s="138">
        <f>ROUND(I100*H100,2)</f>
        <v>0</v>
      </c>
      <c r="BK100" s="16" t="s">
        <v>113</v>
      </c>
      <c r="BL100" s="137" t="s">
        <v>210</v>
      </c>
    </row>
    <row r="101" spans="2:50" s="13" customFormat="1" ht="12">
      <c r="B101" s="139"/>
      <c r="D101" s="140"/>
      <c r="E101" s="141" t="s">
        <v>1</v>
      </c>
      <c r="F101" s="142"/>
      <c r="H101" s="143"/>
      <c r="L101" s="139"/>
      <c r="M101" s="144"/>
      <c r="N101" s="145"/>
      <c r="O101" s="145"/>
      <c r="P101" s="145"/>
      <c r="Q101" s="145"/>
      <c r="R101" s="145"/>
      <c r="S101" s="145"/>
      <c r="T101" s="146"/>
      <c r="AS101" s="141" t="s">
        <v>115</v>
      </c>
      <c r="AT101" s="141" t="s">
        <v>71</v>
      </c>
      <c r="AU101" s="13" t="s">
        <v>71</v>
      </c>
      <c r="AV101" s="13" t="s">
        <v>25</v>
      </c>
      <c r="AW101" s="13" t="s">
        <v>69</v>
      </c>
      <c r="AX101" s="141" t="s">
        <v>107</v>
      </c>
    </row>
    <row r="102" spans="2:62" s="12" customFormat="1" ht="22.9" customHeight="1">
      <c r="B102" s="113"/>
      <c r="D102" s="114" t="s">
        <v>60</v>
      </c>
      <c r="E102" s="123" t="s">
        <v>128</v>
      </c>
      <c r="F102" s="123" t="s">
        <v>211</v>
      </c>
      <c r="J102" s="124">
        <f>SUM(J103:J131)</f>
        <v>0</v>
      </c>
      <c r="L102" s="113"/>
      <c r="M102" s="117"/>
      <c r="N102" s="118"/>
      <c r="O102" s="118"/>
      <c r="P102" s="119">
        <f>SUM(P103:P132)</f>
        <v>123.27356900000001</v>
      </c>
      <c r="Q102" s="118"/>
      <c r="R102" s="119">
        <f>SUM(R103:R132)</f>
        <v>4.34844545</v>
      </c>
      <c r="S102" s="118"/>
      <c r="T102" s="120">
        <f>SUM(T103:T132)</f>
        <v>0</v>
      </c>
      <c r="AQ102" s="114" t="s">
        <v>69</v>
      </c>
      <c r="AS102" s="121" t="s">
        <v>60</v>
      </c>
      <c r="AT102" s="121" t="s">
        <v>69</v>
      </c>
      <c r="AX102" s="114" t="s">
        <v>107</v>
      </c>
      <c r="BJ102" s="122">
        <f>SUM(BJ103:BJ132)</f>
        <v>0</v>
      </c>
    </row>
    <row r="103" spans="1:64" s="2" customFormat="1" ht="24.2" customHeight="1">
      <c r="A103" s="28"/>
      <c r="B103" s="125"/>
      <c r="C103" s="126" t="s">
        <v>212</v>
      </c>
      <c r="D103" s="126" t="s">
        <v>109</v>
      </c>
      <c r="E103" s="127" t="s">
        <v>213</v>
      </c>
      <c r="F103" s="128" t="s">
        <v>214</v>
      </c>
      <c r="G103" s="129" t="s">
        <v>148</v>
      </c>
      <c r="H103" s="130">
        <v>53.202</v>
      </c>
      <c r="I103" s="131">
        <v>0</v>
      </c>
      <c r="J103" s="131">
        <f>ROUND(I103*H103,2)</f>
        <v>0</v>
      </c>
      <c r="K103" s="132"/>
      <c r="L103" s="29"/>
      <c r="M103" s="133" t="s">
        <v>1</v>
      </c>
      <c r="N103" s="134" t="s">
        <v>33</v>
      </c>
      <c r="O103" s="135">
        <v>0.117</v>
      </c>
      <c r="P103" s="135">
        <f>O103*H103</f>
        <v>6.224634</v>
      </c>
      <c r="Q103" s="135">
        <v>0.00735</v>
      </c>
      <c r="R103" s="135">
        <f>Q103*H103</f>
        <v>0.39103469999999996</v>
      </c>
      <c r="S103" s="135">
        <v>0</v>
      </c>
      <c r="T103" s="136">
        <f>S103*H103</f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Q103" s="137" t="s">
        <v>113</v>
      </c>
      <c r="AS103" s="137" t="s">
        <v>109</v>
      </c>
      <c r="AT103" s="137" t="s">
        <v>71</v>
      </c>
      <c r="AX103" s="16" t="s">
        <v>107</v>
      </c>
      <c r="BD103" s="138">
        <f>IF(N103="základní",J103,0)</f>
        <v>0</v>
      </c>
      <c r="BE103" s="138">
        <f>IF(N103="snížená",J103,0)</f>
        <v>0</v>
      </c>
      <c r="BF103" s="138">
        <f>IF(N103="zákl. přenesená",J103,0)</f>
        <v>0</v>
      </c>
      <c r="BG103" s="138">
        <f>IF(N103="sníž. přenesená",J103,0)</f>
        <v>0</v>
      </c>
      <c r="BH103" s="138">
        <f>IF(N103="nulová",J103,0)</f>
        <v>0</v>
      </c>
      <c r="BI103" s="16" t="s">
        <v>69</v>
      </c>
      <c r="BJ103" s="138">
        <f>ROUND(I103*H103,2)</f>
        <v>0</v>
      </c>
      <c r="BK103" s="16" t="s">
        <v>113</v>
      </c>
      <c r="BL103" s="137" t="s">
        <v>215</v>
      </c>
    </row>
    <row r="104" spans="2:50" s="13" customFormat="1" ht="12">
      <c r="B104" s="139"/>
      <c r="D104" s="140"/>
      <c r="E104" s="141" t="s">
        <v>1</v>
      </c>
      <c r="F104" s="142"/>
      <c r="H104" s="143"/>
      <c r="L104" s="139"/>
      <c r="M104" s="144"/>
      <c r="N104" s="145"/>
      <c r="O104" s="145"/>
      <c r="P104" s="145"/>
      <c r="Q104" s="145"/>
      <c r="R104" s="145"/>
      <c r="S104" s="145"/>
      <c r="T104" s="146"/>
      <c r="AS104" s="141" t="s">
        <v>115</v>
      </c>
      <c r="AT104" s="141" t="s">
        <v>71</v>
      </c>
      <c r="AU104" s="13" t="s">
        <v>71</v>
      </c>
      <c r="AV104" s="13" t="s">
        <v>25</v>
      </c>
      <c r="AW104" s="13" t="s">
        <v>61</v>
      </c>
      <c r="AX104" s="141" t="s">
        <v>107</v>
      </c>
    </row>
    <row r="105" spans="2:50" s="13" customFormat="1" ht="12">
      <c r="B105" s="139"/>
      <c r="D105" s="140"/>
      <c r="E105" s="141" t="s">
        <v>1</v>
      </c>
      <c r="F105" s="142"/>
      <c r="H105" s="143"/>
      <c r="L105" s="139"/>
      <c r="M105" s="144"/>
      <c r="N105" s="145"/>
      <c r="O105" s="145"/>
      <c r="P105" s="145"/>
      <c r="Q105" s="145"/>
      <c r="R105" s="145"/>
      <c r="S105" s="145"/>
      <c r="T105" s="146"/>
      <c r="AS105" s="141" t="s">
        <v>115</v>
      </c>
      <c r="AT105" s="141" t="s">
        <v>71</v>
      </c>
      <c r="AU105" s="13" t="s">
        <v>71</v>
      </c>
      <c r="AV105" s="13" t="s">
        <v>25</v>
      </c>
      <c r="AW105" s="13" t="s">
        <v>61</v>
      </c>
      <c r="AX105" s="141" t="s">
        <v>107</v>
      </c>
    </row>
    <row r="106" spans="2:50" s="14" customFormat="1" ht="12">
      <c r="B106" s="147"/>
      <c r="D106" s="140"/>
      <c r="E106" s="148" t="s">
        <v>1</v>
      </c>
      <c r="F106" s="149"/>
      <c r="H106" s="150"/>
      <c r="L106" s="147"/>
      <c r="M106" s="151"/>
      <c r="N106" s="152"/>
      <c r="O106" s="152"/>
      <c r="P106" s="152"/>
      <c r="Q106" s="152"/>
      <c r="R106" s="152"/>
      <c r="S106" s="152"/>
      <c r="T106" s="153"/>
      <c r="AS106" s="148" t="s">
        <v>115</v>
      </c>
      <c r="AT106" s="148" t="s">
        <v>71</v>
      </c>
      <c r="AU106" s="14" t="s">
        <v>113</v>
      </c>
      <c r="AV106" s="14" t="s">
        <v>25</v>
      </c>
      <c r="AW106" s="14" t="s">
        <v>69</v>
      </c>
      <c r="AX106" s="148" t="s">
        <v>107</v>
      </c>
    </row>
    <row r="107" spans="1:64" s="2" customFormat="1" ht="24.2" customHeight="1">
      <c r="A107" s="28"/>
      <c r="B107" s="125"/>
      <c r="C107" s="126" t="s">
        <v>216</v>
      </c>
      <c r="D107" s="126" t="s">
        <v>109</v>
      </c>
      <c r="E107" s="127" t="s">
        <v>217</v>
      </c>
      <c r="F107" s="128" t="s">
        <v>218</v>
      </c>
      <c r="G107" s="129" t="s">
        <v>148</v>
      </c>
      <c r="H107" s="130">
        <v>53.202</v>
      </c>
      <c r="I107" s="131">
        <v>0</v>
      </c>
      <c r="J107" s="131">
        <f>ROUND(I107*H107,2)</f>
        <v>0</v>
      </c>
      <c r="K107" s="132"/>
      <c r="L107" s="29"/>
      <c r="M107" s="133" t="s">
        <v>1</v>
      </c>
      <c r="N107" s="134" t="s">
        <v>33</v>
      </c>
      <c r="O107" s="135">
        <v>0.39</v>
      </c>
      <c r="P107" s="135">
        <f>O107*H107</f>
        <v>20.74878</v>
      </c>
      <c r="Q107" s="135">
        <v>0.0154</v>
      </c>
      <c r="R107" s="135">
        <f>Q107*H107</f>
        <v>0.8193108</v>
      </c>
      <c r="S107" s="135">
        <v>0</v>
      </c>
      <c r="T107" s="136">
        <f>S107*H107</f>
        <v>0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Q107" s="137" t="s">
        <v>113</v>
      </c>
      <c r="AS107" s="137" t="s">
        <v>109</v>
      </c>
      <c r="AT107" s="137" t="s">
        <v>71</v>
      </c>
      <c r="AX107" s="16" t="s">
        <v>107</v>
      </c>
      <c r="BD107" s="138">
        <f>IF(N107="základní",J107,0)</f>
        <v>0</v>
      </c>
      <c r="BE107" s="138">
        <f>IF(N107="snížená",J107,0)</f>
        <v>0</v>
      </c>
      <c r="BF107" s="138">
        <f>IF(N107="zákl. přenesená",J107,0)</f>
        <v>0</v>
      </c>
      <c r="BG107" s="138">
        <f>IF(N107="sníž. přenesená",J107,0)</f>
        <v>0</v>
      </c>
      <c r="BH107" s="138">
        <f>IF(N107="nulová",J107,0)</f>
        <v>0</v>
      </c>
      <c r="BI107" s="16" t="s">
        <v>69</v>
      </c>
      <c r="BJ107" s="138">
        <f>ROUND(I107*H107,2)</f>
        <v>0</v>
      </c>
      <c r="BK107" s="16" t="s">
        <v>113</v>
      </c>
      <c r="BL107" s="137" t="s">
        <v>219</v>
      </c>
    </row>
    <row r="108" spans="1:64" s="2" customFormat="1" ht="24.2" customHeight="1">
      <c r="A108" s="28"/>
      <c r="B108" s="125"/>
      <c r="C108" s="126" t="s">
        <v>220</v>
      </c>
      <c r="D108" s="126" t="s">
        <v>109</v>
      </c>
      <c r="E108" s="127" t="s">
        <v>221</v>
      </c>
      <c r="F108" s="128" t="s">
        <v>222</v>
      </c>
      <c r="G108" s="129" t="s">
        <v>148</v>
      </c>
      <c r="H108" s="130">
        <v>53.202</v>
      </c>
      <c r="I108" s="131">
        <v>0</v>
      </c>
      <c r="J108" s="131">
        <f>ROUND(I108*H108,2)</f>
        <v>0</v>
      </c>
      <c r="K108" s="132"/>
      <c r="L108" s="29"/>
      <c r="M108" s="133" t="s">
        <v>1</v>
      </c>
      <c r="N108" s="134" t="s">
        <v>33</v>
      </c>
      <c r="O108" s="135">
        <v>0.09</v>
      </c>
      <c r="P108" s="135">
        <f>O108*H108</f>
        <v>4.78818</v>
      </c>
      <c r="Q108" s="135">
        <v>0.0079</v>
      </c>
      <c r="R108" s="135">
        <f>Q108*H108</f>
        <v>0.42029580000000005</v>
      </c>
      <c r="S108" s="135">
        <v>0</v>
      </c>
      <c r="T108" s="136">
        <f>S108*H108</f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Q108" s="137" t="s">
        <v>113</v>
      </c>
      <c r="AS108" s="137" t="s">
        <v>109</v>
      </c>
      <c r="AT108" s="137" t="s">
        <v>71</v>
      </c>
      <c r="AX108" s="16" t="s">
        <v>107</v>
      </c>
      <c r="BD108" s="138">
        <f>IF(N108="základní",J108,0)</f>
        <v>0</v>
      </c>
      <c r="BE108" s="138">
        <f>IF(N108="snížená",J108,0)</f>
        <v>0</v>
      </c>
      <c r="BF108" s="138">
        <f>IF(N108="zákl. přenesená",J108,0)</f>
        <v>0</v>
      </c>
      <c r="BG108" s="138">
        <f>IF(N108="sníž. přenesená",J108,0)</f>
        <v>0</v>
      </c>
      <c r="BH108" s="138">
        <f>IF(N108="nulová",J108,0)</f>
        <v>0</v>
      </c>
      <c r="BI108" s="16" t="s">
        <v>69</v>
      </c>
      <c r="BJ108" s="138">
        <f>ROUND(I108*H108,2)</f>
        <v>0</v>
      </c>
      <c r="BK108" s="16" t="s">
        <v>113</v>
      </c>
      <c r="BL108" s="137" t="s">
        <v>223</v>
      </c>
    </row>
    <row r="109" spans="1:64" s="2" customFormat="1" ht="24.2" customHeight="1">
      <c r="A109" s="28"/>
      <c r="B109" s="125"/>
      <c r="C109" s="126" t="s">
        <v>224</v>
      </c>
      <c r="D109" s="126" t="s">
        <v>109</v>
      </c>
      <c r="E109" s="127" t="s">
        <v>225</v>
      </c>
      <c r="F109" s="128" t="s">
        <v>226</v>
      </c>
      <c r="G109" s="129" t="s">
        <v>148</v>
      </c>
      <c r="H109" s="130">
        <v>9.55</v>
      </c>
      <c r="I109" s="131">
        <v>0</v>
      </c>
      <c r="J109" s="131">
        <f>ROUND(I109*H109,2)</f>
        <v>0</v>
      </c>
      <c r="K109" s="132"/>
      <c r="L109" s="29"/>
      <c r="M109" s="133" t="s">
        <v>1</v>
      </c>
      <c r="N109" s="134" t="s">
        <v>33</v>
      </c>
      <c r="O109" s="135">
        <v>1.218</v>
      </c>
      <c r="P109" s="135">
        <f>O109*H109</f>
        <v>11.6319</v>
      </c>
      <c r="Q109" s="135">
        <v>0.03045</v>
      </c>
      <c r="R109" s="135">
        <f>Q109*H109</f>
        <v>0.29079750000000004</v>
      </c>
      <c r="S109" s="135">
        <v>0</v>
      </c>
      <c r="T109" s="136">
        <f>S109*H109</f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Q109" s="137" t="s">
        <v>113</v>
      </c>
      <c r="AS109" s="137" t="s">
        <v>109</v>
      </c>
      <c r="AT109" s="137" t="s">
        <v>71</v>
      </c>
      <c r="AX109" s="16" t="s">
        <v>107</v>
      </c>
      <c r="BD109" s="138">
        <f>IF(N109="základní",J109,0)</f>
        <v>0</v>
      </c>
      <c r="BE109" s="138">
        <f>IF(N109="snížená",J109,0)</f>
        <v>0</v>
      </c>
      <c r="BF109" s="138">
        <f>IF(N109="zákl. přenesená",J109,0)</f>
        <v>0</v>
      </c>
      <c r="BG109" s="138">
        <f>IF(N109="sníž. přenesená",J109,0)</f>
        <v>0</v>
      </c>
      <c r="BH109" s="138">
        <f>IF(N109="nulová",J109,0)</f>
        <v>0</v>
      </c>
      <c r="BI109" s="16" t="s">
        <v>69</v>
      </c>
      <c r="BJ109" s="138">
        <f>ROUND(I109*H109,2)</f>
        <v>0</v>
      </c>
      <c r="BK109" s="16" t="s">
        <v>113</v>
      </c>
      <c r="BL109" s="137" t="s">
        <v>227</v>
      </c>
    </row>
    <row r="110" spans="1:64" s="2" customFormat="1" ht="24.2" customHeight="1">
      <c r="A110" s="28"/>
      <c r="B110" s="125"/>
      <c r="C110" s="126" t="s">
        <v>228</v>
      </c>
      <c r="D110" s="126" t="s">
        <v>109</v>
      </c>
      <c r="E110" s="127" t="s">
        <v>229</v>
      </c>
      <c r="F110" s="128" t="s">
        <v>230</v>
      </c>
      <c r="G110" s="129" t="s">
        <v>148</v>
      </c>
      <c r="H110" s="130">
        <f>3*(2.2+2.2+0.9)*0.5</f>
        <v>7.950000000000001</v>
      </c>
      <c r="I110" s="131">
        <v>0</v>
      </c>
      <c r="J110" s="131">
        <f>ROUND(I110*H110,2)</f>
        <v>0</v>
      </c>
      <c r="K110" s="132"/>
      <c r="L110" s="29"/>
      <c r="M110" s="133" t="s">
        <v>1</v>
      </c>
      <c r="N110" s="134" t="s">
        <v>33</v>
      </c>
      <c r="O110" s="135">
        <v>1.355</v>
      </c>
      <c r="P110" s="135">
        <f>O110*H110</f>
        <v>10.772250000000001</v>
      </c>
      <c r="Q110" s="135">
        <v>0.03358</v>
      </c>
      <c r="R110" s="135">
        <f>Q110*H110</f>
        <v>0.266961</v>
      </c>
      <c r="S110" s="135">
        <v>0</v>
      </c>
      <c r="T110" s="136">
        <f>S110*H110</f>
        <v>0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Q110" s="137" t="s">
        <v>113</v>
      </c>
      <c r="AS110" s="137" t="s">
        <v>109</v>
      </c>
      <c r="AT110" s="137" t="s">
        <v>71</v>
      </c>
      <c r="AX110" s="16" t="s">
        <v>107</v>
      </c>
      <c r="BD110" s="138">
        <f>IF(N110="základní",J110,0)</f>
        <v>0</v>
      </c>
      <c r="BE110" s="138">
        <f>IF(N110="snížená",J110,0)</f>
        <v>0</v>
      </c>
      <c r="BF110" s="138">
        <f>IF(N110="zákl. přenesená",J110,0)</f>
        <v>0</v>
      </c>
      <c r="BG110" s="138">
        <f>IF(N110="sníž. přenesená",J110,0)</f>
        <v>0</v>
      </c>
      <c r="BH110" s="138">
        <f>IF(N110="nulová",J110,0)</f>
        <v>0</v>
      </c>
      <c r="BI110" s="16" t="s">
        <v>69</v>
      </c>
      <c r="BJ110" s="138">
        <f>ROUND(I110*H110,2)</f>
        <v>0</v>
      </c>
      <c r="BK110" s="16" t="s">
        <v>113</v>
      </c>
      <c r="BL110" s="137" t="s">
        <v>231</v>
      </c>
    </row>
    <row r="111" spans="2:50" s="13" customFormat="1" ht="12">
      <c r="B111" s="139"/>
      <c r="D111" s="140"/>
      <c r="E111" s="141" t="s">
        <v>1</v>
      </c>
      <c r="F111" s="142"/>
      <c r="H111" s="143"/>
      <c r="L111" s="139"/>
      <c r="M111" s="144"/>
      <c r="N111" s="145"/>
      <c r="O111" s="145"/>
      <c r="P111" s="145"/>
      <c r="Q111" s="145"/>
      <c r="R111" s="145"/>
      <c r="S111" s="145"/>
      <c r="T111" s="146"/>
      <c r="AS111" s="141" t="s">
        <v>115</v>
      </c>
      <c r="AT111" s="141" t="s">
        <v>71</v>
      </c>
      <c r="AU111" s="13" t="s">
        <v>71</v>
      </c>
      <c r="AV111" s="13" t="s">
        <v>25</v>
      </c>
      <c r="AW111" s="13" t="s">
        <v>61</v>
      </c>
      <c r="AX111" s="141" t="s">
        <v>107</v>
      </c>
    </row>
    <row r="112" spans="2:50" s="14" customFormat="1" ht="12">
      <c r="B112" s="147"/>
      <c r="D112" s="140"/>
      <c r="E112" s="148" t="s">
        <v>1</v>
      </c>
      <c r="F112" s="149"/>
      <c r="H112" s="150"/>
      <c r="L112" s="147"/>
      <c r="M112" s="151"/>
      <c r="N112" s="152"/>
      <c r="O112" s="152"/>
      <c r="P112" s="152"/>
      <c r="Q112" s="152"/>
      <c r="R112" s="152"/>
      <c r="S112" s="152"/>
      <c r="T112" s="153"/>
      <c r="AS112" s="148" t="s">
        <v>115</v>
      </c>
      <c r="AT112" s="148" t="s">
        <v>71</v>
      </c>
      <c r="AU112" s="14" t="s">
        <v>113</v>
      </c>
      <c r="AV112" s="14" t="s">
        <v>25</v>
      </c>
      <c r="AW112" s="14" t="s">
        <v>69</v>
      </c>
      <c r="AX112" s="148" t="s">
        <v>107</v>
      </c>
    </row>
    <row r="113" spans="1:64" s="2" customFormat="1" ht="24.2" customHeight="1">
      <c r="A113" s="28"/>
      <c r="B113" s="125"/>
      <c r="C113" s="126" t="s">
        <v>232</v>
      </c>
      <c r="D113" s="126" t="s">
        <v>109</v>
      </c>
      <c r="E113" s="127" t="s">
        <v>233</v>
      </c>
      <c r="F113" s="128" t="s">
        <v>234</v>
      </c>
      <c r="G113" s="129" t="s">
        <v>235</v>
      </c>
      <c r="H113" s="130">
        <v>18.2</v>
      </c>
      <c r="I113" s="131">
        <v>0</v>
      </c>
      <c r="J113" s="131">
        <f>ROUND(I113*H113,2)</f>
        <v>0</v>
      </c>
      <c r="K113" s="132"/>
      <c r="L113" s="29"/>
      <c r="M113" s="133" t="s">
        <v>1</v>
      </c>
      <c r="N113" s="134" t="s">
        <v>33</v>
      </c>
      <c r="O113" s="135">
        <v>0.096</v>
      </c>
      <c r="P113" s="135">
        <f>O113*H113</f>
        <v>1.7471999999999999</v>
      </c>
      <c r="Q113" s="135">
        <v>0</v>
      </c>
      <c r="R113" s="135">
        <f>Q113*H113</f>
        <v>0</v>
      </c>
      <c r="S113" s="135">
        <v>0</v>
      </c>
      <c r="T113" s="136">
        <f>S113*H113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Q113" s="137" t="s">
        <v>113</v>
      </c>
      <c r="AS113" s="137" t="s">
        <v>109</v>
      </c>
      <c r="AT113" s="137" t="s">
        <v>71</v>
      </c>
      <c r="AX113" s="16" t="s">
        <v>107</v>
      </c>
      <c r="BD113" s="138">
        <f>IF(N113="základní",J113,0)</f>
        <v>0</v>
      </c>
      <c r="BE113" s="138">
        <f>IF(N113="snížená",J113,0)</f>
        <v>0</v>
      </c>
      <c r="BF113" s="138">
        <f>IF(N113="zákl. přenesená",J113,0)</f>
        <v>0</v>
      </c>
      <c r="BG113" s="138">
        <f>IF(N113="sníž. přenesená",J113,0)</f>
        <v>0</v>
      </c>
      <c r="BH113" s="138">
        <f>IF(N113="nulová",J113,0)</f>
        <v>0</v>
      </c>
      <c r="BI113" s="16" t="s">
        <v>69</v>
      </c>
      <c r="BJ113" s="138">
        <f>ROUND(I113*H113,2)</f>
        <v>0</v>
      </c>
      <c r="BK113" s="16" t="s">
        <v>113</v>
      </c>
      <c r="BL113" s="137" t="s">
        <v>236</v>
      </c>
    </row>
    <row r="114" spans="2:50" s="13" customFormat="1" ht="12">
      <c r="B114" s="139"/>
      <c r="D114" s="140" t="s">
        <v>115</v>
      </c>
      <c r="E114" s="141" t="s">
        <v>1</v>
      </c>
      <c r="F114" s="142"/>
      <c r="H114" s="143"/>
      <c r="L114" s="139"/>
      <c r="M114" s="144"/>
      <c r="N114" s="145"/>
      <c r="O114" s="145"/>
      <c r="P114" s="145"/>
      <c r="Q114" s="145"/>
      <c r="R114" s="145"/>
      <c r="S114" s="145"/>
      <c r="T114" s="146"/>
      <c r="AS114" s="141" t="s">
        <v>115</v>
      </c>
      <c r="AT114" s="141" t="s">
        <v>71</v>
      </c>
      <c r="AU114" s="13" t="s">
        <v>71</v>
      </c>
      <c r="AV114" s="13" t="s">
        <v>25</v>
      </c>
      <c r="AW114" s="13" t="s">
        <v>61</v>
      </c>
      <c r="AX114" s="141" t="s">
        <v>107</v>
      </c>
    </row>
    <row r="115" spans="2:50" s="13" customFormat="1" ht="12">
      <c r="B115" s="139"/>
      <c r="D115" s="140"/>
      <c r="E115" s="141" t="s">
        <v>1</v>
      </c>
      <c r="F115" s="142"/>
      <c r="H115" s="143"/>
      <c r="L115" s="139"/>
      <c r="M115" s="144"/>
      <c r="N115" s="145"/>
      <c r="O115" s="145"/>
      <c r="P115" s="145"/>
      <c r="Q115" s="145"/>
      <c r="R115" s="145"/>
      <c r="S115" s="145"/>
      <c r="T115" s="146"/>
      <c r="AS115" s="141" t="s">
        <v>115</v>
      </c>
      <c r="AT115" s="141" t="s">
        <v>71</v>
      </c>
      <c r="AU115" s="13" t="s">
        <v>71</v>
      </c>
      <c r="AV115" s="13" t="s">
        <v>25</v>
      </c>
      <c r="AW115" s="13" t="s">
        <v>61</v>
      </c>
      <c r="AX115" s="141" t="s">
        <v>107</v>
      </c>
    </row>
    <row r="116" spans="2:50" s="13" customFormat="1" ht="12">
      <c r="B116" s="139"/>
      <c r="D116" s="140"/>
      <c r="E116" s="141" t="s">
        <v>1</v>
      </c>
      <c r="F116" s="142"/>
      <c r="H116" s="143"/>
      <c r="L116" s="139"/>
      <c r="M116" s="144"/>
      <c r="N116" s="145"/>
      <c r="O116" s="145"/>
      <c r="P116" s="145"/>
      <c r="Q116" s="145"/>
      <c r="R116" s="145"/>
      <c r="S116" s="145"/>
      <c r="T116" s="146"/>
      <c r="AS116" s="141" t="s">
        <v>115</v>
      </c>
      <c r="AT116" s="141" t="s">
        <v>71</v>
      </c>
      <c r="AU116" s="13" t="s">
        <v>71</v>
      </c>
      <c r="AV116" s="13" t="s">
        <v>25</v>
      </c>
      <c r="AW116" s="13" t="s">
        <v>61</v>
      </c>
      <c r="AX116" s="141" t="s">
        <v>107</v>
      </c>
    </row>
    <row r="117" spans="2:50" s="14" customFormat="1" ht="12">
      <c r="B117" s="147"/>
      <c r="D117" s="140"/>
      <c r="E117" s="148" t="s">
        <v>1</v>
      </c>
      <c r="F117" s="149"/>
      <c r="H117" s="150"/>
      <c r="L117" s="147"/>
      <c r="M117" s="151"/>
      <c r="N117" s="152"/>
      <c r="O117" s="152"/>
      <c r="P117" s="152"/>
      <c r="Q117" s="152"/>
      <c r="R117" s="152"/>
      <c r="S117" s="152"/>
      <c r="T117" s="153"/>
      <c r="AS117" s="148" t="s">
        <v>115</v>
      </c>
      <c r="AT117" s="148" t="s">
        <v>71</v>
      </c>
      <c r="AU117" s="14" t="s">
        <v>113</v>
      </c>
      <c r="AV117" s="14" t="s">
        <v>25</v>
      </c>
      <c r="AW117" s="14" t="s">
        <v>69</v>
      </c>
      <c r="AX117" s="148" t="s">
        <v>107</v>
      </c>
    </row>
    <row r="118" spans="1:64" s="2" customFormat="1" ht="24.2" customHeight="1">
      <c r="A118" s="28"/>
      <c r="B118" s="125"/>
      <c r="C118" s="154" t="s">
        <v>237</v>
      </c>
      <c r="D118" s="154" t="s">
        <v>174</v>
      </c>
      <c r="E118" s="155" t="s">
        <v>238</v>
      </c>
      <c r="F118" s="156" t="s">
        <v>239</v>
      </c>
      <c r="G118" s="157" t="s">
        <v>235</v>
      </c>
      <c r="H118" s="158">
        <v>19.11</v>
      </c>
      <c r="I118" s="159">
        <v>0</v>
      </c>
      <c r="J118" s="159">
        <f>ROUND(I118*H118,2)</f>
        <v>0</v>
      </c>
      <c r="K118" s="160"/>
      <c r="L118" s="161"/>
      <c r="M118" s="162" t="s">
        <v>1</v>
      </c>
      <c r="N118" s="163" t="s">
        <v>33</v>
      </c>
      <c r="O118" s="135">
        <v>0</v>
      </c>
      <c r="P118" s="135">
        <f>O118*H118</f>
        <v>0</v>
      </c>
      <c r="Q118" s="135">
        <v>4E-05</v>
      </c>
      <c r="R118" s="135">
        <f>Q118*H118</f>
        <v>0.0007644</v>
      </c>
      <c r="S118" s="135">
        <v>0</v>
      </c>
      <c r="T118" s="136">
        <f>S118*H118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Q118" s="137" t="s">
        <v>137</v>
      </c>
      <c r="AS118" s="137" t="s">
        <v>174</v>
      </c>
      <c r="AT118" s="137" t="s">
        <v>71</v>
      </c>
      <c r="AX118" s="16" t="s">
        <v>107</v>
      </c>
      <c r="BD118" s="138">
        <f>IF(N118="základní",J118,0)</f>
        <v>0</v>
      </c>
      <c r="BE118" s="138">
        <f>IF(N118="snížená",J118,0)</f>
        <v>0</v>
      </c>
      <c r="BF118" s="138">
        <f>IF(N118="zákl. přenesená",J118,0)</f>
        <v>0</v>
      </c>
      <c r="BG118" s="138">
        <f>IF(N118="sníž. přenesená",J118,0)</f>
        <v>0</v>
      </c>
      <c r="BH118" s="138">
        <f>IF(N118="nulová",J118,0)</f>
        <v>0</v>
      </c>
      <c r="BI118" s="16" t="s">
        <v>69</v>
      </c>
      <c r="BJ118" s="138">
        <f>ROUND(I118*H118,2)</f>
        <v>0</v>
      </c>
      <c r="BK118" s="16" t="s">
        <v>113</v>
      </c>
      <c r="BL118" s="137" t="s">
        <v>240</v>
      </c>
    </row>
    <row r="119" spans="2:50" s="13" customFormat="1" ht="12">
      <c r="B119" s="139"/>
      <c r="D119" s="140" t="s">
        <v>115</v>
      </c>
      <c r="F119" s="142"/>
      <c r="H119" s="143"/>
      <c r="L119" s="139"/>
      <c r="M119" s="144"/>
      <c r="N119" s="145"/>
      <c r="O119" s="145"/>
      <c r="P119" s="145"/>
      <c r="Q119" s="145"/>
      <c r="R119" s="145"/>
      <c r="S119" s="145"/>
      <c r="T119" s="146"/>
      <c r="AS119" s="141" t="s">
        <v>115</v>
      </c>
      <c r="AT119" s="141" t="s">
        <v>71</v>
      </c>
      <c r="AU119" s="13" t="s">
        <v>71</v>
      </c>
      <c r="AV119" s="13" t="s">
        <v>3</v>
      </c>
      <c r="AW119" s="13" t="s">
        <v>69</v>
      </c>
      <c r="AX119" s="141" t="s">
        <v>107</v>
      </c>
    </row>
    <row r="120" spans="1:64" s="2" customFormat="1" ht="37.9" customHeight="1">
      <c r="A120" s="28"/>
      <c r="B120" s="125"/>
      <c r="C120" s="126" t="s">
        <v>241</v>
      </c>
      <c r="D120" s="126" t="s">
        <v>109</v>
      </c>
      <c r="E120" s="127" t="s">
        <v>242</v>
      </c>
      <c r="F120" s="128" t="s">
        <v>481</v>
      </c>
      <c r="G120" s="129" t="s">
        <v>148</v>
      </c>
      <c r="H120" s="130">
        <f>(2.5+2.5+2.5)*8</f>
        <v>60</v>
      </c>
      <c r="I120" s="131">
        <v>0</v>
      </c>
      <c r="J120" s="131">
        <f>ROUND(I120*H120,2)</f>
        <v>0</v>
      </c>
      <c r="K120" s="132"/>
      <c r="L120" s="29"/>
      <c r="M120" s="133" t="s">
        <v>1</v>
      </c>
      <c r="N120" s="134" t="s">
        <v>33</v>
      </c>
      <c r="O120" s="135">
        <v>1</v>
      </c>
      <c r="P120" s="135">
        <f>O120*H120</f>
        <v>60</v>
      </c>
      <c r="Q120" s="135">
        <v>0.00835</v>
      </c>
      <c r="R120" s="135">
        <f>Q120*H120</f>
        <v>0.501</v>
      </c>
      <c r="S120" s="135">
        <v>0</v>
      </c>
      <c r="T120" s="136">
        <f>S120*H120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Q120" s="137" t="s">
        <v>113</v>
      </c>
      <c r="AS120" s="137" t="s">
        <v>109</v>
      </c>
      <c r="AT120" s="137" t="s">
        <v>71</v>
      </c>
      <c r="AX120" s="16" t="s">
        <v>107</v>
      </c>
      <c r="BD120" s="138">
        <f>IF(N120="základní",J120,0)</f>
        <v>0</v>
      </c>
      <c r="BE120" s="138">
        <f>IF(N120="snížená",J120,0)</f>
        <v>0</v>
      </c>
      <c r="BF120" s="138">
        <f>IF(N120="zákl. přenesená",J120,0)</f>
        <v>0</v>
      </c>
      <c r="BG120" s="138">
        <f>IF(N120="sníž. přenesená",J120,0)</f>
        <v>0</v>
      </c>
      <c r="BH120" s="138">
        <f>IF(N120="nulová",J120,0)</f>
        <v>0</v>
      </c>
      <c r="BI120" s="16" t="s">
        <v>69</v>
      </c>
      <c r="BJ120" s="138">
        <f>ROUND(I120*H120,2)</f>
        <v>0</v>
      </c>
      <c r="BK120" s="16" t="s">
        <v>113</v>
      </c>
      <c r="BL120" s="137" t="s">
        <v>243</v>
      </c>
    </row>
    <row r="121" spans="2:50" s="13" customFormat="1" ht="12">
      <c r="B121" s="139"/>
      <c r="D121" s="140"/>
      <c r="E121" s="141" t="s">
        <v>1</v>
      </c>
      <c r="F121" s="142"/>
      <c r="H121" s="143"/>
      <c r="L121" s="139"/>
      <c r="M121" s="144"/>
      <c r="N121" s="145"/>
      <c r="O121" s="145"/>
      <c r="P121" s="145"/>
      <c r="Q121" s="145"/>
      <c r="R121" s="145"/>
      <c r="S121" s="145"/>
      <c r="T121" s="146"/>
      <c r="AS121" s="141" t="s">
        <v>115</v>
      </c>
      <c r="AT121" s="141" t="s">
        <v>71</v>
      </c>
      <c r="AU121" s="13" t="s">
        <v>71</v>
      </c>
      <c r="AV121" s="13" t="s">
        <v>25</v>
      </c>
      <c r="AW121" s="13" t="s">
        <v>69</v>
      </c>
      <c r="AX121" s="141" t="s">
        <v>107</v>
      </c>
    </row>
    <row r="122" spans="1:64" s="2" customFormat="1" ht="16.5" customHeight="1">
      <c r="A122" s="28"/>
      <c r="B122" s="125"/>
      <c r="C122" s="154" t="s">
        <v>244</v>
      </c>
      <c r="D122" s="154" t="s">
        <v>174</v>
      </c>
      <c r="E122" s="155" t="s">
        <v>245</v>
      </c>
      <c r="F122" s="156" t="s">
        <v>482</v>
      </c>
      <c r="G122" s="157" t="s">
        <v>148</v>
      </c>
      <c r="H122" s="158">
        <f>H120*1.15</f>
        <v>69</v>
      </c>
      <c r="I122" s="159">
        <v>0</v>
      </c>
      <c r="J122" s="159">
        <f>ROUND(I122*H122,2)</f>
        <v>0</v>
      </c>
      <c r="K122" s="160"/>
      <c r="L122" s="161"/>
      <c r="M122" s="162" t="s">
        <v>1</v>
      </c>
      <c r="N122" s="163" t="s">
        <v>33</v>
      </c>
      <c r="O122" s="135">
        <v>0</v>
      </c>
      <c r="P122" s="135">
        <f>O122*H122</f>
        <v>0</v>
      </c>
      <c r="Q122" s="135">
        <v>0.00068</v>
      </c>
      <c r="R122" s="135">
        <f>Q122*H122</f>
        <v>0.04692</v>
      </c>
      <c r="S122" s="135">
        <v>0</v>
      </c>
      <c r="T122" s="136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Q122" s="137" t="s">
        <v>137</v>
      </c>
      <c r="AS122" s="137" t="s">
        <v>174</v>
      </c>
      <c r="AT122" s="137" t="s">
        <v>71</v>
      </c>
      <c r="AX122" s="16" t="s">
        <v>107</v>
      </c>
      <c r="BD122" s="138">
        <f>IF(N122="základní",J122,0)</f>
        <v>0</v>
      </c>
      <c r="BE122" s="138">
        <f>IF(N122="snížená",J122,0)</f>
        <v>0</v>
      </c>
      <c r="BF122" s="138">
        <f>IF(N122="zákl. přenesená",J122,0)</f>
        <v>0</v>
      </c>
      <c r="BG122" s="138">
        <f>IF(N122="sníž. přenesená",J122,0)</f>
        <v>0</v>
      </c>
      <c r="BH122" s="138">
        <f>IF(N122="nulová",J122,0)</f>
        <v>0</v>
      </c>
      <c r="BI122" s="16" t="s">
        <v>69</v>
      </c>
      <c r="BJ122" s="138">
        <f>ROUND(I122*H122,2)</f>
        <v>0</v>
      </c>
      <c r="BK122" s="16" t="s">
        <v>113</v>
      </c>
      <c r="BL122" s="137" t="s">
        <v>246</v>
      </c>
    </row>
    <row r="123" spans="2:50" s="13" customFormat="1" ht="12">
      <c r="B123" s="139"/>
      <c r="D123" s="140" t="s">
        <v>115</v>
      </c>
      <c r="F123" s="142"/>
      <c r="H123" s="143"/>
      <c r="L123" s="139"/>
      <c r="M123" s="144"/>
      <c r="N123" s="145"/>
      <c r="O123" s="145"/>
      <c r="P123" s="145"/>
      <c r="Q123" s="145"/>
      <c r="R123" s="145"/>
      <c r="S123" s="145"/>
      <c r="T123" s="146"/>
      <c r="AS123" s="141" t="s">
        <v>115</v>
      </c>
      <c r="AT123" s="141" t="s">
        <v>71</v>
      </c>
      <c r="AU123" s="13" t="s">
        <v>71</v>
      </c>
      <c r="AV123" s="13" t="s">
        <v>3</v>
      </c>
      <c r="AW123" s="13" t="s">
        <v>69</v>
      </c>
      <c r="AX123" s="141" t="s">
        <v>107</v>
      </c>
    </row>
    <row r="124" spans="2:50" s="13" customFormat="1" ht="12">
      <c r="B124" s="139"/>
      <c r="D124" s="140" t="s">
        <v>115</v>
      </c>
      <c r="F124" s="142"/>
      <c r="H124" s="143"/>
      <c r="L124" s="139"/>
      <c r="M124" s="144"/>
      <c r="N124" s="145"/>
      <c r="O124" s="145"/>
      <c r="P124" s="145"/>
      <c r="Q124" s="145"/>
      <c r="R124" s="145"/>
      <c r="S124" s="145"/>
      <c r="T124" s="146"/>
      <c r="AS124" s="141" t="s">
        <v>115</v>
      </c>
      <c r="AT124" s="141" t="s">
        <v>71</v>
      </c>
      <c r="AU124" s="13" t="s">
        <v>71</v>
      </c>
      <c r="AV124" s="13" t="s">
        <v>3</v>
      </c>
      <c r="AW124" s="13" t="s">
        <v>69</v>
      </c>
      <c r="AX124" s="141" t="s">
        <v>107</v>
      </c>
    </row>
    <row r="125" spans="1:64" s="2" customFormat="1" ht="24.2" customHeight="1">
      <c r="A125" s="28"/>
      <c r="B125" s="125"/>
      <c r="C125" s="126" t="s">
        <v>247</v>
      </c>
      <c r="D125" s="126" t="s">
        <v>109</v>
      </c>
      <c r="E125" s="127" t="s">
        <v>248</v>
      </c>
      <c r="F125" s="128" t="s">
        <v>249</v>
      </c>
      <c r="G125" s="129" t="s">
        <v>171</v>
      </c>
      <c r="H125" s="130">
        <f>H120/(1*0.5)</f>
        <v>120</v>
      </c>
      <c r="I125" s="131">
        <v>0</v>
      </c>
      <c r="J125" s="131">
        <f>ROUND(I125*H125,2)</f>
        <v>0</v>
      </c>
      <c r="K125" s="132"/>
      <c r="L125" s="29"/>
      <c r="M125" s="133" t="s">
        <v>1</v>
      </c>
      <c r="N125" s="134" t="s">
        <v>33</v>
      </c>
      <c r="O125" s="135">
        <v>0.017</v>
      </c>
      <c r="P125" s="135">
        <f>O125*H125</f>
        <v>2.04</v>
      </c>
      <c r="Q125" s="135">
        <v>0</v>
      </c>
      <c r="R125" s="135">
        <f>Q125*H125</f>
        <v>0</v>
      </c>
      <c r="S125" s="135">
        <v>0</v>
      </c>
      <c r="T125" s="136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Q125" s="137" t="s">
        <v>113</v>
      </c>
      <c r="AS125" s="137" t="s">
        <v>109</v>
      </c>
      <c r="AT125" s="137" t="s">
        <v>71</v>
      </c>
      <c r="AX125" s="16" t="s">
        <v>107</v>
      </c>
      <c r="BD125" s="138">
        <f>IF(N125="základní",J125,0)</f>
        <v>0</v>
      </c>
      <c r="BE125" s="138">
        <f>IF(N125="snížená",J125,0)</f>
        <v>0</v>
      </c>
      <c r="BF125" s="138">
        <f>IF(N125="zákl. přenesená",J125,0)</f>
        <v>0</v>
      </c>
      <c r="BG125" s="138">
        <f>IF(N125="sníž. přenesená",J125,0)</f>
        <v>0</v>
      </c>
      <c r="BH125" s="138">
        <f>IF(N125="nulová",J125,0)</f>
        <v>0</v>
      </c>
      <c r="BI125" s="16" t="s">
        <v>69</v>
      </c>
      <c r="BJ125" s="138">
        <f>ROUND(I125*H125,2)</f>
        <v>0</v>
      </c>
      <c r="BK125" s="16" t="s">
        <v>113</v>
      </c>
      <c r="BL125" s="137" t="s">
        <v>250</v>
      </c>
    </row>
    <row r="126" spans="1:64" s="2" customFormat="1" ht="24.2" customHeight="1">
      <c r="A126" s="28"/>
      <c r="B126" s="125"/>
      <c r="C126" s="126" t="s">
        <v>251</v>
      </c>
      <c r="D126" s="126" t="s">
        <v>109</v>
      </c>
      <c r="E126" s="127" t="s">
        <v>252</v>
      </c>
      <c r="F126" s="128" t="s">
        <v>253</v>
      </c>
      <c r="G126" s="129" t="s">
        <v>235</v>
      </c>
      <c r="H126" s="130">
        <v>7.25</v>
      </c>
      <c r="I126" s="131">
        <v>0</v>
      </c>
      <c r="J126" s="131">
        <f>ROUND(I126*H126,2)</f>
        <v>0</v>
      </c>
      <c r="K126" s="132"/>
      <c r="L126" s="29"/>
      <c r="M126" s="133" t="s">
        <v>1</v>
      </c>
      <c r="N126" s="134" t="s">
        <v>33</v>
      </c>
      <c r="O126" s="135">
        <v>0.23</v>
      </c>
      <c r="P126" s="135">
        <f>O126*H126</f>
        <v>1.6675</v>
      </c>
      <c r="Q126" s="135">
        <v>3E-05</v>
      </c>
      <c r="R126" s="135">
        <f>Q126*H126</f>
        <v>0.0002175</v>
      </c>
      <c r="S126" s="135">
        <v>0</v>
      </c>
      <c r="T126" s="136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Q126" s="137" t="s">
        <v>113</v>
      </c>
      <c r="AS126" s="137" t="s">
        <v>109</v>
      </c>
      <c r="AT126" s="137" t="s">
        <v>71</v>
      </c>
      <c r="AX126" s="16" t="s">
        <v>107</v>
      </c>
      <c r="BD126" s="138">
        <f>IF(N126="základní",J126,0)</f>
        <v>0</v>
      </c>
      <c r="BE126" s="138">
        <f>IF(N126="snížená",J126,0)</f>
        <v>0</v>
      </c>
      <c r="BF126" s="138">
        <f>IF(N126="zákl. přenesená",J126,0)</f>
        <v>0</v>
      </c>
      <c r="BG126" s="138">
        <f>IF(N126="sníž. přenesená",J126,0)</f>
        <v>0</v>
      </c>
      <c r="BH126" s="138">
        <f>IF(N126="nulová",J126,0)</f>
        <v>0</v>
      </c>
      <c r="BI126" s="16" t="s">
        <v>69</v>
      </c>
      <c r="BJ126" s="138">
        <f>ROUND(I126*H126,2)</f>
        <v>0</v>
      </c>
      <c r="BK126" s="16" t="s">
        <v>113</v>
      </c>
      <c r="BL126" s="137" t="s">
        <v>254</v>
      </c>
    </row>
    <row r="127" spans="2:50" s="13" customFormat="1" ht="12">
      <c r="B127" s="139"/>
      <c r="D127" s="140"/>
      <c r="E127" s="141" t="s">
        <v>1</v>
      </c>
      <c r="F127" s="142"/>
      <c r="H127" s="143"/>
      <c r="L127" s="139"/>
      <c r="M127" s="144"/>
      <c r="N127" s="145"/>
      <c r="O127" s="145"/>
      <c r="P127" s="145"/>
      <c r="Q127" s="145"/>
      <c r="R127" s="145"/>
      <c r="S127" s="145"/>
      <c r="T127" s="146"/>
      <c r="AS127" s="141" t="s">
        <v>115</v>
      </c>
      <c r="AT127" s="141" t="s">
        <v>71</v>
      </c>
      <c r="AU127" s="13" t="s">
        <v>71</v>
      </c>
      <c r="AV127" s="13" t="s">
        <v>25</v>
      </c>
      <c r="AW127" s="13" t="s">
        <v>69</v>
      </c>
      <c r="AX127" s="141" t="s">
        <v>107</v>
      </c>
    </row>
    <row r="128" spans="1:64" s="2" customFormat="1" ht="24.2" customHeight="1">
      <c r="A128" s="28"/>
      <c r="B128" s="125"/>
      <c r="C128" s="154" t="s">
        <v>255</v>
      </c>
      <c r="D128" s="154" t="s">
        <v>174</v>
      </c>
      <c r="E128" s="155" t="s">
        <v>256</v>
      </c>
      <c r="F128" s="156" t="s">
        <v>257</v>
      </c>
      <c r="G128" s="157" t="s">
        <v>235</v>
      </c>
      <c r="H128" s="158">
        <v>7.875</v>
      </c>
      <c r="I128" s="159">
        <v>0</v>
      </c>
      <c r="J128" s="159">
        <f>ROUND(I128*H128,2)</f>
        <v>0</v>
      </c>
      <c r="K128" s="160"/>
      <c r="L128" s="161"/>
      <c r="M128" s="162" t="s">
        <v>1</v>
      </c>
      <c r="N128" s="163" t="s">
        <v>33</v>
      </c>
      <c r="O128" s="135">
        <v>0</v>
      </c>
      <c r="P128" s="135">
        <f>O128*H128</f>
        <v>0</v>
      </c>
      <c r="Q128" s="135">
        <v>0.0006</v>
      </c>
      <c r="R128" s="135">
        <f>Q128*H128</f>
        <v>0.004724999999999999</v>
      </c>
      <c r="S128" s="135">
        <v>0</v>
      </c>
      <c r="T128" s="136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Q128" s="137" t="s">
        <v>137</v>
      </c>
      <c r="AS128" s="137" t="s">
        <v>174</v>
      </c>
      <c r="AT128" s="137" t="s">
        <v>71</v>
      </c>
      <c r="AX128" s="16" t="s">
        <v>107</v>
      </c>
      <c r="BD128" s="138">
        <f>IF(N128="základní",J128,0)</f>
        <v>0</v>
      </c>
      <c r="BE128" s="138">
        <f>IF(N128="snížená",J128,0)</f>
        <v>0</v>
      </c>
      <c r="BF128" s="138">
        <f>IF(N128="zákl. přenesená",J128,0)</f>
        <v>0</v>
      </c>
      <c r="BG128" s="138">
        <f>IF(N128="sníž. přenesená",J128,0)</f>
        <v>0</v>
      </c>
      <c r="BH128" s="138">
        <f>IF(N128="nulová",J128,0)</f>
        <v>0</v>
      </c>
      <c r="BI128" s="16" t="s">
        <v>69</v>
      </c>
      <c r="BJ128" s="138">
        <f>ROUND(I128*H128,2)</f>
        <v>0</v>
      </c>
      <c r="BK128" s="16" t="s">
        <v>113</v>
      </c>
      <c r="BL128" s="137" t="s">
        <v>258</v>
      </c>
    </row>
    <row r="129" spans="2:50" s="13" customFormat="1" ht="12">
      <c r="B129" s="139"/>
      <c r="D129" s="140" t="s">
        <v>115</v>
      </c>
      <c r="F129" s="142" t="s">
        <v>259</v>
      </c>
      <c r="H129" s="143">
        <v>7.875</v>
      </c>
      <c r="I129" s="13">
        <v>0</v>
      </c>
      <c r="L129" s="139"/>
      <c r="M129" s="144"/>
      <c r="N129" s="145"/>
      <c r="O129" s="145"/>
      <c r="P129" s="145"/>
      <c r="Q129" s="145"/>
      <c r="R129" s="145"/>
      <c r="S129" s="145"/>
      <c r="T129" s="146"/>
      <c r="AS129" s="141" t="s">
        <v>115</v>
      </c>
      <c r="AT129" s="141" t="s">
        <v>71</v>
      </c>
      <c r="AU129" s="13" t="s">
        <v>71</v>
      </c>
      <c r="AV129" s="13" t="s">
        <v>3</v>
      </c>
      <c r="AW129" s="13" t="s">
        <v>69</v>
      </c>
      <c r="AX129" s="141" t="s">
        <v>107</v>
      </c>
    </row>
    <row r="130" spans="1:64" s="2" customFormat="1" ht="24.2" customHeight="1">
      <c r="A130" s="28"/>
      <c r="B130" s="125"/>
      <c r="C130" s="126" t="s">
        <v>260</v>
      </c>
      <c r="D130" s="126" t="s">
        <v>109</v>
      </c>
      <c r="E130" s="127" t="s">
        <v>261</v>
      </c>
      <c r="F130" s="128" t="s">
        <v>262</v>
      </c>
      <c r="G130" s="129" t="s">
        <v>148</v>
      </c>
      <c r="H130" s="130">
        <f>1*(2.5+2.5+2.5)</f>
        <v>7.5</v>
      </c>
      <c r="I130" s="131">
        <v>0</v>
      </c>
      <c r="J130" s="131">
        <f>ROUND(I130*H130,2)</f>
        <v>0</v>
      </c>
      <c r="K130" s="132"/>
      <c r="L130" s="29"/>
      <c r="M130" s="133" t="s">
        <v>1</v>
      </c>
      <c r="N130" s="134" t="s">
        <v>33</v>
      </c>
      <c r="O130" s="135">
        <v>0.294</v>
      </c>
      <c r="P130" s="135">
        <f>O130*H130</f>
        <v>2.205</v>
      </c>
      <c r="Q130" s="135">
        <v>0.0057</v>
      </c>
      <c r="R130" s="135">
        <f>Q130*H130</f>
        <v>0.04275</v>
      </c>
      <c r="S130" s="135">
        <v>0</v>
      </c>
      <c r="T130" s="136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Q130" s="137" t="s">
        <v>113</v>
      </c>
      <c r="AS130" s="137" t="s">
        <v>109</v>
      </c>
      <c r="AT130" s="137" t="s">
        <v>71</v>
      </c>
      <c r="AX130" s="16" t="s">
        <v>107</v>
      </c>
      <c r="BD130" s="138">
        <f>IF(N130="základní",J130,0)</f>
        <v>0</v>
      </c>
      <c r="BE130" s="138">
        <f>IF(N130="snížená",J130,0)</f>
        <v>0</v>
      </c>
      <c r="BF130" s="138">
        <f>IF(N130="zákl. přenesená",J130,0)</f>
        <v>0</v>
      </c>
      <c r="BG130" s="138">
        <f>IF(N130="sníž. přenesená",J130,0)</f>
        <v>0</v>
      </c>
      <c r="BH130" s="138">
        <f>IF(N130="nulová",J130,0)</f>
        <v>0</v>
      </c>
      <c r="BI130" s="16" t="s">
        <v>69</v>
      </c>
      <c r="BJ130" s="138">
        <f>ROUND(I130*H130,2)</f>
        <v>0</v>
      </c>
      <c r="BK130" s="16" t="s">
        <v>113</v>
      </c>
      <c r="BL130" s="137" t="s">
        <v>263</v>
      </c>
    </row>
    <row r="131" spans="1:64" s="2" customFormat="1" ht="33" customHeight="1">
      <c r="A131" s="28"/>
      <c r="B131" s="125"/>
      <c r="C131" s="126" t="s">
        <v>264</v>
      </c>
      <c r="D131" s="126" t="s">
        <v>109</v>
      </c>
      <c r="E131" s="127" t="s">
        <v>265</v>
      </c>
      <c r="F131" s="128" t="s">
        <v>266</v>
      </c>
      <c r="G131" s="129" t="s">
        <v>112</v>
      </c>
      <c r="H131" s="130">
        <f>2.5*2.5*0.1</f>
        <v>0.625</v>
      </c>
      <c r="I131" s="131">
        <v>0</v>
      </c>
      <c r="J131" s="131">
        <f>ROUND(I131*H131,2)</f>
        <v>0</v>
      </c>
      <c r="K131" s="132"/>
      <c r="L131" s="29"/>
      <c r="M131" s="133" t="s">
        <v>1</v>
      </c>
      <c r="N131" s="134" t="s">
        <v>33</v>
      </c>
      <c r="O131" s="135">
        <v>2.317</v>
      </c>
      <c r="P131" s="135">
        <f>O131*H131</f>
        <v>1.448125</v>
      </c>
      <c r="Q131" s="135">
        <v>2.50187</v>
      </c>
      <c r="R131" s="135">
        <f>Q131*H131</f>
        <v>1.56366875</v>
      </c>
      <c r="S131" s="135">
        <v>0</v>
      </c>
      <c r="T131" s="136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Q131" s="137" t="s">
        <v>113</v>
      </c>
      <c r="AS131" s="137" t="s">
        <v>109</v>
      </c>
      <c r="AT131" s="137" t="s">
        <v>71</v>
      </c>
      <c r="AX131" s="16" t="s">
        <v>107</v>
      </c>
      <c r="BD131" s="138">
        <f>IF(N131="základní",J131,0)</f>
        <v>0</v>
      </c>
      <c r="BE131" s="138">
        <f>IF(N131="snížená",J131,0)</f>
        <v>0</v>
      </c>
      <c r="BF131" s="138">
        <f>IF(N131="zákl. přenesená",J131,0)</f>
        <v>0</v>
      </c>
      <c r="BG131" s="138">
        <f>IF(N131="sníž. přenesená",J131,0)</f>
        <v>0</v>
      </c>
      <c r="BH131" s="138">
        <f>IF(N131="nulová",J131,0)</f>
        <v>0</v>
      </c>
      <c r="BI131" s="16" t="s">
        <v>69</v>
      </c>
      <c r="BJ131" s="138">
        <f>ROUND(I131*H131,2)</f>
        <v>0</v>
      </c>
      <c r="BK131" s="16" t="s">
        <v>113</v>
      </c>
      <c r="BL131" s="137" t="s">
        <v>267</v>
      </c>
    </row>
    <row r="132" spans="2:50" s="13" customFormat="1" ht="12">
      <c r="B132" s="139"/>
      <c r="D132" s="140" t="s">
        <v>115</v>
      </c>
      <c r="E132" s="141" t="s">
        <v>1</v>
      </c>
      <c r="F132" s="142"/>
      <c r="H132" s="143"/>
      <c r="L132" s="139"/>
      <c r="M132" s="144"/>
      <c r="N132" s="145"/>
      <c r="O132" s="145"/>
      <c r="P132" s="145"/>
      <c r="Q132" s="145"/>
      <c r="R132" s="145"/>
      <c r="S132" s="145"/>
      <c r="T132" s="146"/>
      <c r="AS132" s="141" t="s">
        <v>115</v>
      </c>
      <c r="AT132" s="141" t="s">
        <v>71</v>
      </c>
      <c r="AU132" s="13" t="s">
        <v>71</v>
      </c>
      <c r="AV132" s="13" t="s">
        <v>25</v>
      </c>
      <c r="AW132" s="13" t="s">
        <v>69</v>
      </c>
      <c r="AX132" s="141" t="s">
        <v>107</v>
      </c>
    </row>
    <row r="133" spans="2:62" s="12" customFormat="1" ht="22.9" customHeight="1">
      <c r="B133" s="113"/>
      <c r="D133" s="114" t="s">
        <v>60</v>
      </c>
      <c r="E133" s="123" t="s">
        <v>141</v>
      </c>
      <c r="F133" s="123" t="s">
        <v>272</v>
      </c>
      <c r="J133" s="124">
        <f>SUM(J134:J143)</f>
        <v>0</v>
      </c>
      <c r="L133" s="113"/>
      <c r="M133" s="117"/>
      <c r="N133" s="118"/>
      <c r="O133" s="118"/>
      <c r="P133" s="119">
        <f>SUM(P134:P146)</f>
        <v>45.227999999999994</v>
      </c>
      <c r="Q133" s="118"/>
      <c r="R133" s="119">
        <f>SUM(R134:R146)</f>
        <v>0</v>
      </c>
      <c r="S133" s="118"/>
      <c r="T133" s="120">
        <f>SUM(T134:T146)</f>
        <v>4.053</v>
      </c>
      <c r="AQ133" s="114" t="s">
        <v>69</v>
      </c>
      <c r="AS133" s="121" t="s">
        <v>60</v>
      </c>
      <c r="AT133" s="121" t="s">
        <v>69</v>
      </c>
      <c r="AX133" s="114" t="s">
        <v>107</v>
      </c>
      <c r="BJ133" s="122">
        <f>SUM(BJ134:BJ146)</f>
        <v>0</v>
      </c>
    </row>
    <row r="134" spans="1:64" s="2" customFormat="1" ht="37.9" customHeight="1">
      <c r="A134" s="28"/>
      <c r="B134" s="125"/>
      <c r="C134" s="126" t="s">
        <v>273</v>
      </c>
      <c r="D134" s="126" t="s">
        <v>109</v>
      </c>
      <c r="E134" s="127" t="s">
        <v>274</v>
      </c>
      <c r="F134" s="128" t="s">
        <v>275</v>
      </c>
      <c r="G134" s="129" t="s">
        <v>148</v>
      </c>
      <c r="H134" s="130">
        <v>140</v>
      </c>
      <c r="I134" s="131">
        <v>0</v>
      </c>
      <c r="J134" s="131">
        <f>ROUND(I134*H134,2)</f>
        <v>0</v>
      </c>
      <c r="K134" s="132"/>
      <c r="L134" s="29"/>
      <c r="M134" s="133" t="s">
        <v>1</v>
      </c>
      <c r="N134" s="134" t="s">
        <v>33</v>
      </c>
      <c r="O134" s="135">
        <v>0.162</v>
      </c>
      <c r="P134" s="135">
        <f>O134*H134</f>
        <v>22.68</v>
      </c>
      <c r="Q134" s="135">
        <v>0</v>
      </c>
      <c r="R134" s="135">
        <f>Q134*H134</f>
        <v>0</v>
      </c>
      <c r="S134" s="135">
        <v>0</v>
      </c>
      <c r="T134" s="136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Q134" s="137" t="s">
        <v>113</v>
      </c>
      <c r="AS134" s="137" t="s">
        <v>109</v>
      </c>
      <c r="AT134" s="137" t="s">
        <v>71</v>
      </c>
      <c r="AX134" s="16" t="s">
        <v>107</v>
      </c>
      <c r="BD134" s="138">
        <f>IF(N134="základní",J134,0)</f>
        <v>0</v>
      </c>
      <c r="BE134" s="138">
        <f>IF(N134="snížená",J134,0)</f>
        <v>0</v>
      </c>
      <c r="BF134" s="138">
        <f>IF(N134="zákl. přenesená",J134,0)</f>
        <v>0</v>
      </c>
      <c r="BG134" s="138">
        <f>IF(N134="sníž. přenesená",J134,0)</f>
        <v>0</v>
      </c>
      <c r="BH134" s="138">
        <f>IF(N134="nulová",J134,0)</f>
        <v>0</v>
      </c>
      <c r="BI134" s="16" t="s">
        <v>69</v>
      </c>
      <c r="BJ134" s="138">
        <f>ROUND(I134*H134,2)</f>
        <v>0</v>
      </c>
      <c r="BK134" s="16" t="s">
        <v>113</v>
      </c>
      <c r="BL134" s="137" t="s">
        <v>276</v>
      </c>
    </row>
    <row r="135" spans="2:50" s="14" customFormat="1" ht="12">
      <c r="B135" s="147"/>
      <c r="D135" s="140"/>
      <c r="E135" s="148" t="s">
        <v>1</v>
      </c>
      <c r="F135" s="149"/>
      <c r="H135" s="150"/>
      <c r="L135" s="147"/>
      <c r="M135" s="151"/>
      <c r="N135" s="152"/>
      <c r="O135" s="152"/>
      <c r="P135" s="152"/>
      <c r="Q135" s="152"/>
      <c r="R135" s="152"/>
      <c r="S135" s="152"/>
      <c r="T135" s="153"/>
      <c r="AS135" s="148" t="s">
        <v>115</v>
      </c>
      <c r="AT135" s="148" t="s">
        <v>71</v>
      </c>
      <c r="AU135" s="14" t="s">
        <v>113</v>
      </c>
      <c r="AV135" s="14" t="s">
        <v>25</v>
      </c>
      <c r="AW135" s="14" t="s">
        <v>69</v>
      </c>
      <c r="AX135" s="148" t="s">
        <v>107</v>
      </c>
    </row>
    <row r="136" spans="1:64" s="2" customFormat="1" ht="33" customHeight="1">
      <c r="A136" s="28"/>
      <c r="B136" s="125"/>
      <c r="C136" s="126" t="s">
        <v>277</v>
      </c>
      <c r="D136" s="126" t="s">
        <v>109</v>
      </c>
      <c r="E136" s="127" t="s">
        <v>278</v>
      </c>
      <c r="F136" s="128" t="s">
        <v>279</v>
      </c>
      <c r="G136" s="129" t="s">
        <v>148</v>
      </c>
      <c r="H136" s="130">
        <v>80</v>
      </c>
      <c r="I136" s="131">
        <v>0</v>
      </c>
      <c r="J136" s="131">
        <f>ROUND(I136*H136,2)</f>
        <v>0</v>
      </c>
      <c r="K136" s="132"/>
      <c r="L136" s="29"/>
      <c r="M136" s="133" t="s">
        <v>1</v>
      </c>
      <c r="N136" s="134" t="s">
        <v>33</v>
      </c>
      <c r="O136" s="135">
        <v>0</v>
      </c>
      <c r="P136" s="135">
        <f>O136*H136</f>
        <v>0</v>
      </c>
      <c r="Q136" s="135">
        <v>0</v>
      </c>
      <c r="R136" s="135">
        <f>Q136*H136</f>
        <v>0</v>
      </c>
      <c r="S136" s="135">
        <v>0</v>
      </c>
      <c r="T136" s="136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Q136" s="137" t="s">
        <v>113</v>
      </c>
      <c r="AS136" s="137" t="s">
        <v>109</v>
      </c>
      <c r="AT136" s="137" t="s">
        <v>71</v>
      </c>
      <c r="AX136" s="16" t="s">
        <v>107</v>
      </c>
      <c r="BD136" s="138">
        <f>IF(N136="základní",J136,0)</f>
        <v>0</v>
      </c>
      <c r="BE136" s="138">
        <f>IF(N136="snížená",J136,0)</f>
        <v>0</v>
      </c>
      <c r="BF136" s="138">
        <f>IF(N136="zákl. přenesená",J136,0)</f>
        <v>0</v>
      </c>
      <c r="BG136" s="138">
        <f>IF(N136="sníž. přenesená",J136,0)</f>
        <v>0</v>
      </c>
      <c r="BH136" s="138">
        <f>IF(N136="nulová",J136,0)</f>
        <v>0</v>
      </c>
      <c r="BI136" s="16" t="s">
        <v>69</v>
      </c>
      <c r="BJ136" s="138">
        <f>ROUND(I136*H136,2)</f>
        <v>0</v>
      </c>
      <c r="BK136" s="16" t="s">
        <v>113</v>
      </c>
      <c r="BL136" s="137" t="s">
        <v>280</v>
      </c>
    </row>
    <row r="137" spans="2:50" s="13" customFormat="1" ht="12">
      <c r="B137" s="139"/>
      <c r="D137" s="140"/>
      <c r="E137" s="141" t="s">
        <v>1</v>
      </c>
      <c r="F137" s="142"/>
      <c r="H137" s="143"/>
      <c r="L137" s="139"/>
      <c r="M137" s="144"/>
      <c r="N137" s="145"/>
      <c r="O137" s="145"/>
      <c r="P137" s="145"/>
      <c r="Q137" s="145"/>
      <c r="R137" s="145"/>
      <c r="S137" s="145"/>
      <c r="T137" s="146"/>
      <c r="AS137" s="141" t="s">
        <v>115</v>
      </c>
      <c r="AT137" s="141" t="s">
        <v>71</v>
      </c>
      <c r="AU137" s="13" t="s">
        <v>71</v>
      </c>
      <c r="AV137" s="13" t="s">
        <v>25</v>
      </c>
      <c r="AW137" s="13" t="s">
        <v>69</v>
      </c>
      <c r="AX137" s="141" t="s">
        <v>107</v>
      </c>
    </row>
    <row r="138" spans="1:64" s="2" customFormat="1" ht="37.9" customHeight="1">
      <c r="A138" s="28"/>
      <c r="B138" s="125"/>
      <c r="C138" s="126" t="s">
        <v>281</v>
      </c>
      <c r="D138" s="126" t="s">
        <v>109</v>
      </c>
      <c r="E138" s="127" t="s">
        <v>282</v>
      </c>
      <c r="F138" s="128" t="s">
        <v>283</v>
      </c>
      <c r="G138" s="129" t="s">
        <v>148</v>
      </c>
      <c r="H138" s="130">
        <f>H136</f>
        <v>80</v>
      </c>
      <c r="I138" s="131">
        <v>0</v>
      </c>
      <c r="J138" s="131">
        <f>ROUND(I138*H138,2)</f>
        <v>0</v>
      </c>
      <c r="K138" s="132"/>
      <c r="L138" s="29"/>
      <c r="M138" s="133" t="s">
        <v>1</v>
      </c>
      <c r="N138" s="134" t="s">
        <v>33</v>
      </c>
      <c r="O138" s="135">
        <v>0.102</v>
      </c>
      <c r="P138" s="135">
        <f>O138*H138</f>
        <v>8.16</v>
      </c>
      <c r="Q138" s="135">
        <v>0</v>
      </c>
      <c r="R138" s="135">
        <f>Q138*H138</f>
        <v>0</v>
      </c>
      <c r="S138" s="135">
        <v>0</v>
      </c>
      <c r="T138" s="136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Q138" s="137" t="s">
        <v>113</v>
      </c>
      <c r="AS138" s="137" t="s">
        <v>109</v>
      </c>
      <c r="AT138" s="137" t="s">
        <v>71</v>
      </c>
      <c r="AX138" s="16" t="s">
        <v>107</v>
      </c>
      <c r="BD138" s="138">
        <f>IF(N138="základní",J138,0)</f>
        <v>0</v>
      </c>
      <c r="BE138" s="138">
        <f>IF(N138="snížená",J138,0)</f>
        <v>0</v>
      </c>
      <c r="BF138" s="138">
        <f>IF(N138="zákl. přenesená",J138,0)</f>
        <v>0</v>
      </c>
      <c r="BG138" s="138">
        <f>IF(N138="sníž. přenesená",J138,0)</f>
        <v>0</v>
      </c>
      <c r="BH138" s="138">
        <f>IF(N138="nulová",J138,0)</f>
        <v>0</v>
      </c>
      <c r="BI138" s="16" t="s">
        <v>69</v>
      </c>
      <c r="BJ138" s="138">
        <f>ROUND(I138*H138,2)</f>
        <v>0</v>
      </c>
      <c r="BK138" s="16" t="s">
        <v>113</v>
      </c>
      <c r="BL138" s="137" t="s">
        <v>284</v>
      </c>
    </row>
    <row r="139" spans="2:50" s="13" customFormat="1" ht="12">
      <c r="B139" s="139"/>
      <c r="D139" s="140"/>
      <c r="E139" s="141" t="s">
        <v>1</v>
      </c>
      <c r="F139" s="142"/>
      <c r="H139" s="143"/>
      <c r="L139" s="139"/>
      <c r="M139" s="144"/>
      <c r="N139" s="145"/>
      <c r="O139" s="145"/>
      <c r="P139" s="145"/>
      <c r="Q139" s="145"/>
      <c r="R139" s="145"/>
      <c r="S139" s="145"/>
      <c r="T139" s="146"/>
      <c r="AS139" s="141" t="s">
        <v>115</v>
      </c>
      <c r="AT139" s="141" t="s">
        <v>71</v>
      </c>
      <c r="AU139" s="13" t="s">
        <v>71</v>
      </c>
      <c r="AV139" s="13" t="s">
        <v>25</v>
      </c>
      <c r="AW139" s="13" t="s">
        <v>69</v>
      </c>
      <c r="AX139" s="141" t="s">
        <v>107</v>
      </c>
    </row>
    <row r="140" spans="1:64" s="2" customFormat="1" ht="24.2" customHeight="1">
      <c r="A140" s="28"/>
      <c r="B140" s="125"/>
      <c r="C140" s="126" t="s">
        <v>285</v>
      </c>
      <c r="D140" s="126" t="s">
        <v>109</v>
      </c>
      <c r="E140" s="127" t="s">
        <v>286</v>
      </c>
      <c r="F140" s="128" t="s">
        <v>287</v>
      </c>
      <c r="G140" s="129" t="s">
        <v>148</v>
      </c>
      <c r="H140" s="130">
        <v>3</v>
      </c>
      <c r="I140" s="131">
        <v>0</v>
      </c>
      <c r="J140" s="131">
        <f>ROUND(I140*H140,2)</f>
        <v>0</v>
      </c>
      <c r="K140" s="132"/>
      <c r="L140" s="29"/>
      <c r="M140" s="133" t="s">
        <v>1</v>
      </c>
      <c r="N140" s="134" t="s">
        <v>33</v>
      </c>
      <c r="O140" s="135">
        <v>0.91</v>
      </c>
      <c r="P140" s="135">
        <f>O140*H140</f>
        <v>2.73</v>
      </c>
      <c r="Q140" s="135">
        <v>0</v>
      </c>
      <c r="R140" s="135">
        <f>Q140*H140</f>
        <v>0</v>
      </c>
      <c r="S140" s="135">
        <v>0.059</v>
      </c>
      <c r="T140" s="136">
        <f>S140*H140</f>
        <v>0.177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Q140" s="137" t="s">
        <v>113</v>
      </c>
      <c r="AS140" s="137" t="s">
        <v>109</v>
      </c>
      <c r="AT140" s="137" t="s">
        <v>71</v>
      </c>
      <c r="AX140" s="16" t="s">
        <v>107</v>
      </c>
      <c r="BD140" s="138">
        <f>IF(N140="základní",J140,0)</f>
        <v>0</v>
      </c>
      <c r="BE140" s="138">
        <f>IF(N140="snížená",J140,0)</f>
        <v>0</v>
      </c>
      <c r="BF140" s="138">
        <f>IF(N140="zákl. přenesená",J140,0)</f>
        <v>0</v>
      </c>
      <c r="BG140" s="138">
        <f>IF(N140="sníž. přenesená",J140,0)</f>
        <v>0</v>
      </c>
      <c r="BH140" s="138">
        <f>IF(N140="nulová",J140,0)</f>
        <v>0</v>
      </c>
      <c r="BI140" s="16" t="s">
        <v>69</v>
      </c>
      <c r="BJ140" s="138">
        <f>ROUND(I140*H140,2)</f>
        <v>0</v>
      </c>
      <c r="BK140" s="16" t="s">
        <v>113</v>
      </c>
      <c r="BL140" s="137" t="s">
        <v>288</v>
      </c>
    </row>
    <row r="141" spans="1:64" s="2" customFormat="1" ht="24.2" customHeight="1">
      <c r="A141" s="28"/>
      <c r="B141" s="125"/>
      <c r="C141" s="126" t="s">
        <v>289</v>
      </c>
      <c r="D141" s="126" t="s">
        <v>109</v>
      </c>
      <c r="E141" s="127" t="s">
        <v>290</v>
      </c>
      <c r="F141" s="128" t="s">
        <v>291</v>
      </c>
      <c r="G141" s="129" t="s">
        <v>171</v>
      </c>
      <c r="H141" s="130">
        <v>2</v>
      </c>
      <c r="I141" s="131">
        <v>0</v>
      </c>
      <c r="J141" s="131">
        <f>ROUND(I141*H141,2)</f>
        <v>0</v>
      </c>
      <c r="K141" s="132"/>
      <c r="L141" s="29"/>
      <c r="M141" s="133" t="s">
        <v>1</v>
      </c>
      <c r="N141" s="134" t="s">
        <v>33</v>
      </c>
      <c r="O141" s="135">
        <v>0.813</v>
      </c>
      <c r="P141" s="135">
        <f>O141*H141</f>
        <v>1.626</v>
      </c>
      <c r="Q141" s="135">
        <v>0</v>
      </c>
      <c r="R141" s="135">
        <f>Q141*H141</f>
        <v>0</v>
      </c>
      <c r="S141" s="135">
        <v>0.138</v>
      </c>
      <c r="T141" s="136">
        <f>S141*H141</f>
        <v>0.276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Q141" s="137" t="s">
        <v>113</v>
      </c>
      <c r="AS141" s="137" t="s">
        <v>109</v>
      </c>
      <c r="AT141" s="137" t="s">
        <v>71</v>
      </c>
      <c r="AX141" s="16" t="s">
        <v>107</v>
      </c>
      <c r="BD141" s="138">
        <f>IF(N141="základní",J141,0)</f>
        <v>0</v>
      </c>
      <c r="BE141" s="138">
        <f>IF(N141="snížená",J141,0)</f>
        <v>0</v>
      </c>
      <c r="BF141" s="138">
        <f>IF(N141="zákl. přenesená",J141,0)</f>
        <v>0</v>
      </c>
      <c r="BG141" s="138">
        <f>IF(N141="sníž. přenesená",J141,0)</f>
        <v>0</v>
      </c>
      <c r="BH141" s="138">
        <f>IF(N141="nulová",J141,0)</f>
        <v>0</v>
      </c>
      <c r="BI141" s="16" t="s">
        <v>69</v>
      </c>
      <c r="BJ141" s="138">
        <f>ROUND(I141*H141,2)</f>
        <v>0</v>
      </c>
      <c r="BK141" s="16" t="s">
        <v>113</v>
      </c>
      <c r="BL141" s="137" t="s">
        <v>292</v>
      </c>
    </row>
    <row r="142" spans="2:50" s="13" customFormat="1" ht="12">
      <c r="B142" s="139"/>
      <c r="D142" s="140" t="s">
        <v>115</v>
      </c>
      <c r="E142" s="141" t="s">
        <v>1</v>
      </c>
      <c r="F142" s="142" t="s">
        <v>293</v>
      </c>
      <c r="H142" s="143">
        <v>2</v>
      </c>
      <c r="L142" s="139"/>
      <c r="M142" s="144"/>
      <c r="N142" s="145"/>
      <c r="O142" s="145"/>
      <c r="P142" s="145"/>
      <c r="Q142" s="145"/>
      <c r="R142" s="145"/>
      <c r="S142" s="145"/>
      <c r="T142" s="146"/>
      <c r="AS142" s="141" t="s">
        <v>115</v>
      </c>
      <c r="AT142" s="141" t="s">
        <v>71</v>
      </c>
      <c r="AU142" s="13" t="s">
        <v>71</v>
      </c>
      <c r="AV142" s="13" t="s">
        <v>25</v>
      </c>
      <c r="AW142" s="13" t="s">
        <v>69</v>
      </c>
      <c r="AX142" s="141" t="s">
        <v>107</v>
      </c>
    </row>
    <row r="143" spans="1:64" s="2" customFormat="1" ht="24.2" customHeight="1">
      <c r="A143" s="28"/>
      <c r="B143" s="125"/>
      <c r="C143" s="126" t="s">
        <v>294</v>
      </c>
      <c r="D143" s="126" t="s">
        <v>109</v>
      </c>
      <c r="E143" s="127" t="s">
        <v>295</v>
      </c>
      <c r="F143" s="128" t="s">
        <v>296</v>
      </c>
      <c r="G143" s="129" t="s">
        <v>112</v>
      </c>
      <c r="H143" s="130">
        <v>2</v>
      </c>
      <c r="I143" s="131">
        <v>0</v>
      </c>
      <c r="J143" s="131">
        <f>ROUND(I143*H143,2)</f>
        <v>0</v>
      </c>
      <c r="K143" s="132"/>
      <c r="L143" s="29"/>
      <c r="M143" s="133" t="s">
        <v>1</v>
      </c>
      <c r="N143" s="134" t="s">
        <v>33</v>
      </c>
      <c r="O143" s="135">
        <v>5.016</v>
      </c>
      <c r="P143" s="135">
        <f>O143*H143</f>
        <v>10.032</v>
      </c>
      <c r="Q143" s="135">
        <v>0</v>
      </c>
      <c r="R143" s="135">
        <f>Q143*H143</f>
        <v>0</v>
      </c>
      <c r="S143" s="135">
        <v>1.8</v>
      </c>
      <c r="T143" s="136">
        <f>S143*H143</f>
        <v>3.6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Q143" s="137" t="s">
        <v>113</v>
      </c>
      <c r="AS143" s="137" t="s">
        <v>109</v>
      </c>
      <c r="AT143" s="137" t="s">
        <v>71</v>
      </c>
      <c r="AX143" s="16" t="s">
        <v>107</v>
      </c>
      <c r="BD143" s="138">
        <f>IF(N143="základní",J143,0)</f>
        <v>0</v>
      </c>
      <c r="BE143" s="138">
        <f>IF(N143="snížená",J143,0)</f>
        <v>0</v>
      </c>
      <c r="BF143" s="138">
        <f>IF(N143="zákl. přenesená",J143,0)</f>
        <v>0</v>
      </c>
      <c r="BG143" s="138">
        <f>IF(N143="sníž. přenesená",J143,0)</f>
        <v>0</v>
      </c>
      <c r="BH143" s="138">
        <f>IF(N143="nulová",J143,0)</f>
        <v>0</v>
      </c>
      <c r="BI143" s="16" t="s">
        <v>69</v>
      </c>
      <c r="BJ143" s="138">
        <f>ROUND(I143*H143,2)</f>
        <v>0</v>
      </c>
      <c r="BK143" s="16" t="s">
        <v>113</v>
      </c>
      <c r="BL143" s="137" t="s">
        <v>297</v>
      </c>
    </row>
    <row r="144" spans="2:50" s="13" customFormat="1" ht="12">
      <c r="B144" s="139"/>
      <c r="D144" s="140" t="s">
        <v>115</v>
      </c>
      <c r="E144" s="141" t="s">
        <v>1</v>
      </c>
      <c r="F144" s="142"/>
      <c r="H144" s="143"/>
      <c r="L144" s="139"/>
      <c r="M144" s="144"/>
      <c r="N144" s="145"/>
      <c r="O144" s="145"/>
      <c r="P144" s="145"/>
      <c r="Q144" s="145"/>
      <c r="R144" s="145"/>
      <c r="S144" s="145"/>
      <c r="T144" s="146"/>
      <c r="AS144" s="141" t="s">
        <v>115</v>
      </c>
      <c r="AT144" s="141" t="s">
        <v>71</v>
      </c>
      <c r="AU144" s="13" t="s">
        <v>71</v>
      </c>
      <c r="AV144" s="13" t="s">
        <v>25</v>
      </c>
      <c r="AW144" s="13" t="s">
        <v>61</v>
      </c>
      <c r="AX144" s="141" t="s">
        <v>107</v>
      </c>
    </row>
    <row r="145" spans="2:50" s="13" customFormat="1" ht="12">
      <c r="B145" s="139"/>
      <c r="D145" s="140" t="s">
        <v>115</v>
      </c>
      <c r="E145" s="141" t="s">
        <v>1</v>
      </c>
      <c r="F145" s="142"/>
      <c r="H145" s="143"/>
      <c r="L145" s="139"/>
      <c r="M145" s="144"/>
      <c r="N145" s="145"/>
      <c r="O145" s="145"/>
      <c r="P145" s="145"/>
      <c r="Q145" s="145"/>
      <c r="R145" s="145"/>
      <c r="S145" s="145"/>
      <c r="T145" s="146"/>
      <c r="AS145" s="141" t="s">
        <v>115</v>
      </c>
      <c r="AT145" s="141" t="s">
        <v>71</v>
      </c>
      <c r="AU145" s="13" t="s">
        <v>71</v>
      </c>
      <c r="AV145" s="13" t="s">
        <v>25</v>
      </c>
      <c r="AW145" s="13" t="s">
        <v>61</v>
      </c>
      <c r="AX145" s="141" t="s">
        <v>107</v>
      </c>
    </row>
    <row r="146" spans="2:50" s="14" customFormat="1" ht="12">
      <c r="B146" s="147"/>
      <c r="D146" s="140" t="s">
        <v>115</v>
      </c>
      <c r="E146" s="148" t="s">
        <v>1</v>
      </c>
      <c r="F146" s="149"/>
      <c r="H146" s="150"/>
      <c r="L146" s="147"/>
      <c r="M146" s="151"/>
      <c r="N146" s="152"/>
      <c r="O146" s="152"/>
      <c r="P146" s="152"/>
      <c r="Q146" s="152"/>
      <c r="R146" s="152"/>
      <c r="S146" s="152"/>
      <c r="T146" s="153"/>
      <c r="AS146" s="148" t="s">
        <v>115</v>
      </c>
      <c r="AT146" s="148" t="s">
        <v>71</v>
      </c>
      <c r="AU146" s="14" t="s">
        <v>113</v>
      </c>
      <c r="AV146" s="14" t="s">
        <v>25</v>
      </c>
      <c r="AW146" s="14" t="s">
        <v>69</v>
      </c>
      <c r="AX146" s="148" t="s">
        <v>107</v>
      </c>
    </row>
    <row r="147" spans="2:62" s="12" customFormat="1" ht="22.9" customHeight="1">
      <c r="B147" s="113"/>
      <c r="D147" s="114" t="s">
        <v>60</v>
      </c>
      <c r="E147" s="123" t="s">
        <v>298</v>
      </c>
      <c r="F147" s="123" t="s">
        <v>299</v>
      </c>
      <c r="J147" s="124">
        <f>SUM(J148:J151)</f>
        <v>0</v>
      </c>
      <c r="L147" s="113"/>
      <c r="M147" s="117"/>
      <c r="N147" s="118"/>
      <c r="O147" s="118"/>
      <c r="P147" s="119">
        <f>SUM(P148:P151)</f>
        <v>1.32715</v>
      </c>
      <c r="Q147" s="118"/>
      <c r="R147" s="119">
        <f>SUM(R148:R151)</f>
        <v>0</v>
      </c>
      <c r="S147" s="118"/>
      <c r="T147" s="120">
        <f>SUM(T148:T151)</f>
        <v>0</v>
      </c>
      <c r="AQ147" s="114" t="s">
        <v>69</v>
      </c>
      <c r="AS147" s="121" t="s">
        <v>60</v>
      </c>
      <c r="AT147" s="121" t="s">
        <v>69</v>
      </c>
      <c r="AX147" s="114" t="s">
        <v>107</v>
      </c>
      <c r="BJ147" s="122">
        <f>SUM(BJ148:BJ151)</f>
        <v>0</v>
      </c>
    </row>
    <row r="148" spans="1:64" s="2" customFormat="1" ht="24.2" customHeight="1">
      <c r="A148" s="28"/>
      <c r="B148" s="125"/>
      <c r="C148" s="126" t="s">
        <v>300</v>
      </c>
      <c r="D148" s="126" t="s">
        <v>109</v>
      </c>
      <c r="E148" s="127" t="s">
        <v>301</v>
      </c>
      <c r="F148" s="128" t="s">
        <v>302</v>
      </c>
      <c r="G148" s="129" t="s">
        <v>122</v>
      </c>
      <c r="H148" s="130">
        <v>6.35</v>
      </c>
      <c r="I148" s="131">
        <v>0</v>
      </c>
      <c r="J148" s="131">
        <f>ROUND(I148*H148,2)</f>
        <v>0</v>
      </c>
      <c r="K148" s="132"/>
      <c r="L148" s="29"/>
      <c r="M148" s="133" t="s">
        <v>1</v>
      </c>
      <c r="N148" s="134" t="s">
        <v>33</v>
      </c>
      <c r="O148" s="135">
        <v>0.125</v>
      </c>
      <c r="P148" s="135">
        <f>O148*H148</f>
        <v>0.79375</v>
      </c>
      <c r="Q148" s="135">
        <v>0</v>
      </c>
      <c r="R148" s="135">
        <f>Q148*H148</f>
        <v>0</v>
      </c>
      <c r="S148" s="135">
        <v>0</v>
      </c>
      <c r="T148" s="13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Q148" s="137" t="s">
        <v>113</v>
      </c>
      <c r="AS148" s="137" t="s">
        <v>109</v>
      </c>
      <c r="AT148" s="137" t="s">
        <v>71</v>
      </c>
      <c r="AX148" s="16" t="s">
        <v>107</v>
      </c>
      <c r="BD148" s="138">
        <f>IF(N148="základní",J148,0)</f>
        <v>0</v>
      </c>
      <c r="BE148" s="138">
        <f>IF(N148="snížená",J148,0)</f>
        <v>0</v>
      </c>
      <c r="BF148" s="138">
        <f>IF(N148="zákl. přenesená",J148,0)</f>
        <v>0</v>
      </c>
      <c r="BG148" s="138">
        <f>IF(N148="sníž. přenesená",J148,0)</f>
        <v>0</v>
      </c>
      <c r="BH148" s="138">
        <f>IF(N148="nulová",J148,0)</f>
        <v>0</v>
      </c>
      <c r="BI148" s="16" t="s">
        <v>69</v>
      </c>
      <c r="BJ148" s="138">
        <f>ROUND(I148*H148,2)</f>
        <v>0</v>
      </c>
      <c r="BK148" s="16" t="s">
        <v>113</v>
      </c>
      <c r="BL148" s="137" t="s">
        <v>303</v>
      </c>
    </row>
    <row r="149" spans="1:64" s="2" customFormat="1" ht="24.2" customHeight="1">
      <c r="A149" s="28"/>
      <c r="B149" s="125"/>
      <c r="C149" s="126" t="s">
        <v>304</v>
      </c>
      <c r="D149" s="126" t="s">
        <v>109</v>
      </c>
      <c r="E149" s="127" t="s">
        <v>305</v>
      </c>
      <c r="F149" s="128" t="s">
        <v>306</v>
      </c>
      <c r="G149" s="129" t="s">
        <v>122</v>
      </c>
      <c r="H149" s="130">
        <v>88.9</v>
      </c>
      <c r="I149" s="131">
        <v>0</v>
      </c>
      <c r="J149" s="131">
        <f>ROUND(I149*H149,2)</f>
        <v>0</v>
      </c>
      <c r="K149" s="132"/>
      <c r="L149" s="29"/>
      <c r="M149" s="133" t="s">
        <v>1</v>
      </c>
      <c r="N149" s="134" t="s">
        <v>33</v>
      </c>
      <c r="O149" s="135">
        <v>0.006</v>
      </c>
      <c r="P149" s="135">
        <f>O149*H149</f>
        <v>0.5334000000000001</v>
      </c>
      <c r="Q149" s="135">
        <v>0</v>
      </c>
      <c r="R149" s="135">
        <f>Q149*H149</f>
        <v>0</v>
      </c>
      <c r="S149" s="135">
        <v>0</v>
      </c>
      <c r="T149" s="136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Q149" s="137" t="s">
        <v>113</v>
      </c>
      <c r="AS149" s="137" t="s">
        <v>109</v>
      </c>
      <c r="AT149" s="137" t="s">
        <v>71</v>
      </c>
      <c r="AX149" s="16" t="s">
        <v>107</v>
      </c>
      <c r="BD149" s="138">
        <f>IF(N149="základní",J149,0)</f>
        <v>0</v>
      </c>
      <c r="BE149" s="138">
        <f>IF(N149="snížená",J149,0)</f>
        <v>0</v>
      </c>
      <c r="BF149" s="138">
        <f>IF(N149="zákl. přenesená",J149,0)</f>
        <v>0</v>
      </c>
      <c r="BG149" s="138">
        <f>IF(N149="sníž. přenesená",J149,0)</f>
        <v>0</v>
      </c>
      <c r="BH149" s="138">
        <f>IF(N149="nulová",J149,0)</f>
        <v>0</v>
      </c>
      <c r="BI149" s="16" t="s">
        <v>69</v>
      </c>
      <c r="BJ149" s="138">
        <f>ROUND(I149*H149,2)</f>
        <v>0</v>
      </c>
      <c r="BK149" s="16" t="s">
        <v>113</v>
      </c>
      <c r="BL149" s="137" t="s">
        <v>307</v>
      </c>
    </row>
    <row r="150" spans="2:50" s="13" customFormat="1" ht="12">
      <c r="B150" s="139"/>
      <c r="D150" s="140" t="s">
        <v>115</v>
      </c>
      <c r="F150" s="142" t="s">
        <v>308</v>
      </c>
      <c r="H150" s="143">
        <v>88.9</v>
      </c>
      <c r="L150" s="139"/>
      <c r="M150" s="144"/>
      <c r="N150" s="145"/>
      <c r="O150" s="145"/>
      <c r="P150" s="145"/>
      <c r="Q150" s="145"/>
      <c r="R150" s="145"/>
      <c r="S150" s="145"/>
      <c r="T150" s="146"/>
      <c r="AS150" s="141" t="s">
        <v>115</v>
      </c>
      <c r="AT150" s="141" t="s">
        <v>71</v>
      </c>
      <c r="AU150" s="13" t="s">
        <v>71</v>
      </c>
      <c r="AV150" s="13" t="s">
        <v>3</v>
      </c>
      <c r="AW150" s="13" t="s">
        <v>69</v>
      </c>
      <c r="AX150" s="141" t="s">
        <v>107</v>
      </c>
    </row>
    <row r="151" spans="1:64" s="2" customFormat="1" ht="33" customHeight="1">
      <c r="A151" s="28"/>
      <c r="B151" s="125"/>
      <c r="C151" s="126" t="s">
        <v>309</v>
      </c>
      <c r="D151" s="126" t="s">
        <v>109</v>
      </c>
      <c r="E151" s="127" t="s">
        <v>310</v>
      </c>
      <c r="F151" s="128" t="s">
        <v>311</v>
      </c>
      <c r="G151" s="129" t="s">
        <v>122</v>
      </c>
      <c r="H151" s="130">
        <v>5.547</v>
      </c>
      <c r="I151" s="131">
        <v>0</v>
      </c>
      <c r="J151" s="131">
        <f>ROUND(I151*H151,2)</f>
        <v>0</v>
      </c>
      <c r="K151" s="132"/>
      <c r="L151" s="29"/>
      <c r="M151" s="133" t="s">
        <v>1</v>
      </c>
      <c r="N151" s="134" t="s">
        <v>33</v>
      </c>
      <c r="O151" s="135">
        <v>0</v>
      </c>
      <c r="P151" s="135">
        <f>O151*H151</f>
        <v>0</v>
      </c>
      <c r="Q151" s="135">
        <v>0</v>
      </c>
      <c r="R151" s="135">
        <f>Q151*H151</f>
        <v>0</v>
      </c>
      <c r="S151" s="135">
        <v>0</v>
      </c>
      <c r="T151" s="136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Q151" s="137" t="s">
        <v>113</v>
      </c>
      <c r="AS151" s="137" t="s">
        <v>109</v>
      </c>
      <c r="AT151" s="137" t="s">
        <v>71</v>
      </c>
      <c r="AX151" s="16" t="s">
        <v>107</v>
      </c>
      <c r="BD151" s="138">
        <f>IF(N151="základní",J151,0)</f>
        <v>0</v>
      </c>
      <c r="BE151" s="138">
        <f>IF(N151="snížená",J151,0)</f>
        <v>0</v>
      </c>
      <c r="BF151" s="138">
        <f>IF(N151="zákl. přenesená",J151,0)</f>
        <v>0</v>
      </c>
      <c r="BG151" s="138">
        <f>IF(N151="sníž. přenesená",J151,0)</f>
        <v>0</v>
      </c>
      <c r="BH151" s="138">
        <f>IF(N151="nulová",J151,0)</f>
        <v>0</v>
      </c>
      <c r="BI151" s="16" t="s">
        <v>69</v>
      </c>
      <c r="BJ151" s="138">
        <f>ROUND(I151*H151,2)</f>
        <v>0</v>
      </c>
      <c r="BK151" s="16" t="s">
        <v>113</v>
      </c>
      <c r="BL151" s="137" t="s">
        <v>312</v>
      </c>
    </row>
    <row r="152" spans="2:62" s="12" customFormat="1" ht="22.9" customHeight="1">
      <c r="B152" s="113"/>
      <c r="D152" s="114" t="s">
        <v>60</v>
      </c>
      <c r="E152" s="123" t="s">
        <v>313</v>
      </c>
      <c r="F152" s="123" t="s">
        <v>314</v>
      </c>
      <c r="J152" s="124">
        <f>J153</f>
        <v>0</v>
      </c>
      <c r="L152" s="113"/>
      <c r="M152" s="117"/>
      <c r="N152" s="118"/>
      <c r="O152" s="118"/>
      <c r="P152" s="119">
        <f>P153</f>
        <v>27.600492</v>
      </c>
      <c r="Q152" s="118"/>
      <c r="R152" s="119">
        <f>R153</f>
        <v>0</v>
      </c>
      <c r="S152" s="118"/>
      <c r="T152" s="120">
        <f>T153</f>
        <v>0</v>
      </c>
      <c r="AQ152" s="114" t="s">
        <v>69</v>
      </c>
      <c r="AS152" s="121" t="s">
        <v>60</v>
      </c>
      <c r="AT152" s="121" t="s">
        <v>69</v>
      </c>
      <c r="AX152" s="114" t="s">
        <v>107</v>
      </c>
      <c r="BJ152" s="122">
        <f>BJ153</f>
        <v>0</v>
      </c>
    </row>
    <row r="153" spans="1:64" s="2" customFormat="1" ht="21.75" customHeight="1">
      <c r="A153" s="28"/>
      <c r="B153" s="125"/>
      <c r="C153" s="126" t="s">
        <v>315</v>
      </c>
      <c r="D153" s="126" t="s">
        <v>109</v>
      </c>
      <c r="E153" s="127" t="s">
        <v>316</v>
      </c>
      <c r="F153" s="128" t="s">
        <v>317</v>
      </c>
      <c r="G153" s="129" t="s">
        <v>122</v>
      </c>
      <c r="H153" s="130">
        <v>86.794</v>
      </c>
      <c r="I153" s="131">
        <v>0</v>
      </c>
      <c r="J153" s="131">
        <f>ROUND(I153*H153,2)</f>
        <v>0</v>
      </c>
      <c r="K153" s="132"/>
      <c r="L153" s="29"/>
      <c r="M153" s="133" t="s">
        <v>1</v>
      </c>
      <c r="N153" s="134" t="s">
        <v>33</v>
      </c>
      <c r="O153" s="135">
        <v>0.318</v>
      </c>
      <c r="P153" s="135">
        <f>O153*H153</f>
        <v>27.600492</v>
      </c>
      <c r="Q153" s="135">
        <v>0</v>
      </c>
      <c r="R153" s="135">
        <f>Q153*H153</f>
        <v>0</v>
      </c>
      <c r="S153" s="135">
        <v>0</v>
      </c>
      <c r="T153" s="13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Q153" s="137" t="s">
        <v>113</v>
      </c>
      <c r="AS153" s="137" t="s">
        <v>109</v>
      </c>
      <c r="AT153" s="137" t="s">
        <v>71</v>
      </c>
      <c r="AX153" s="16" t="s">
        <v>107</v>
      </c>
      <c r="BD153" s="138">
        <f>IF(N153="základní",J153,0)</f>
        <v>0</v>
      </c>
      <c r="BE153" s="138">
        <f>IF(N153="snížená",J153,0)</f>
        <v>0</v>
      </c>
      <c r="BF153" s="138">
        <f>IF(N153="zákl. přenesená",J153,0)</f>
        <v>0</v>
      </c>
      <c r="BG153" s="138">
        <f>IF(N153="sníž. přenesená",J153,0)</f>
        <v>0</v>
      </c>
      <c r="BH153" s="138">
        <f>IF(N153="nulová",J153,0)</f>
        <v>0</v>
      </c>
      <c r="BI153" s="16" t="s">
        <v>69</v>
      </c>
      <c r="BJ153" s="138">
        <f>ROUND(I153*H153,2)</f>
        <v>0</v>
      </c>
      <c r="BK153" s="16" t="s">
        <v>113</v>
      </c>
      <c r="BL153" s="137" t="s">
        <v>318</v>
      </c>
    </row>
    <row r="154" spans="2:62" s="12" customFormat="1" ht="25.9" customHeight="1">
      <c r="B154" s="113"/>
      <c r="D154" s="114" t="s">
        <v>60</v>
      </c>
      <c r="E154" s="115" t="s">
        <v>319</v>
      </c>
      <c r="F154" s="115" t="s">
        <v>320</v>
      </c>
      <c r="J154" s="116">
        <f>J155+J171+J179</f>
        <v>0</v>
      </c>
      <c r="L154" s="113"/>
      <c r="M154" s="117"/>
      <c r="N154" s="118"/>
      <c r="O154" s="118"/>
      <c r="P154" s="119" t="e">
        <f>P155+P171+P179+#REF!+#REF!+#REF!</f>
        <v>#REF!</v>
      </c>
      <c r="Q154" s="118"/>
      <c r="R154" s="119" t="e">
        <f>R155+R171+R179+#REF!+#REF!+#REF!</f>
        <v>#REF!</v>
      </c>
      <c r="S154" s="118"/>
      <c r="T154" s="120" t="e">
        <f>T155+T171+T179+#REF!+#REF!+#REF!</f>
        <v>#REF!</v>
      </c>
      <c r="AQ154" s="114" t="s">
        <v>71</v>
      </c>
      <c r="AS154" s="121" t="s">
        <v>60</v>
      </c>
      <c r="AT154" s="121" t="s">
        <v>61</v>
      </c>
      <c r="AX154" s="114" t="s">
        <v>107</v>
      </c>
      <c r="BJ154" s="122" t="e">
        <f>BJ155+BJ171+BJ179+#REF!+#REF!+#REF!</f>
        <v>#REF!</v>
      </c>
    </row>
    <row r="155" spans="2:62" s="12" customFormat="1" ht="22.9" customHeight="1">
      <c r="B155" s="113"/>
      <c r="D155" s="114" t="s">
        <v>60</v>
      </c>
      <c r="E155" s="123" t="s">
        <v>321</v>
      </c>
      <c r="F155" s="123" t="s">
        <v>322</v>
      </c>
      <c r="J155" s="124">
        <f>SUM(J156:J170)</f>
        <v>0</v>
      </c>
      <c r="L155" s="113"/>
      <c r="M155" s="117"/>
      <c r="N155" s="118"/>
      <c r="O155" s="118"/>
      <c r="P155" s="119">
        <f>SUM(P156:P170)</f>
        <v>4.2970500000000005</v>
      </c>
      <c r="Q155" s="118"/>
      <c r="R155" s="119">
        <f>SUM(R156:R170)</f>
        <v>0.0958791</v>
      </c>
      <c r="S155" s="118"/>
      <c r="T155" s="120">
        <f>SUM(T156:T170)</f>
        <v>0</v>
      </c>
      <c r="AQ155" s="114" t="s">
        <v>71</v>
      </c>
      <c r="AS155" s="121" t="s">
        <v>60</v>
      </c>
      <c r="AT155" s="121" t="s">
        <v>69</v>
      </c>
      <c r="AX155" s="114" t="s">
        <v>107</v>
      </c>
      <c r="BJ155" s="122">
        <f>SUM(BJ156:BJ170)</f>
        <v>0</v>
      </c>
    </row>
    <row r="156" spans="1:64" s="2" customFormat="1" ht="24.2" customHeight="1">
      <c r="A156" s="28"/>
      <c r="B156" s="125"/>
      <c r="C156" s="126" t="s">
        <v>323</v>
      </c>
      <c r="D156" s="126" t="s">
        <v>109</v>
      </c>
      <c r="E156" s="127" t="s">
        <v>324</v>
      </c>
      <c r="F156" s="128" t="s">
        <v>325</v>
      </c>
      <c r="G156" s="129" t="s">
        <v>148</v>
      </c>
      <c r="H156" s="130">
        <f>2.5*2.5</f>
        <v>6.25</v>
      </c>
      <c r="I156" s="131">
        <v>0</v>
      </c>
      <c r="J156" s="131">
        <f>ROUND(I156*H156,2)</f>
        <v>0</v>
      </c>
      <c r="K156" s="132"/>
      <c r="L156" s="29"/>
      <c r="M156" s="133" t="s">
        <v>1</v>
      </c>
      <c r="N156" s="134" t="s">
        <v>33</v>
      </c>
      <c r="O156" s="135">
        <v>0.024</v>
      </c>
      <c r="P156" s="135">
        <f>O156*H156</f>
        <v>0.15</v>
      </c>
      <c r="Q156" s="135">
        <v>0</v>
      </c>
      <c r="R156" s="135">
        <f>Q156*H156</f>
        <v>0</v>
      </c>
      <c r="S156" s="135">
        <v>0</v>
      </c>
      <c r="T156" s="136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Q156" s="137" t="s">
        <v>164</v>
      </c>
      <c r="AS156" s="137" t="s">
        <v>109</v>
      </c>
      <c r="AT156" s="137" t="s">
        <v>71</v>
      </c>
      <c r="AX156" s="16" t="s">
        <v>107</v>
      </c>
      <c r="BD156" s="138">
        <f>IF(N156="základní",J156,0)</f>
        <v>0</v>
      </c>
      <c r="BE156" s="138">
        <f>IF(N156="snížená",J156,0)</f>
        <v>0</v>
      </c>
      <c r="BF156" s="138">
        <f>IF(N156="zákl. přenesená",J156,0)</f>
        <v>0</v>
      </c>
      <c r="BG156" s="138">
        <f>IF(N156="sníž. přenesená",J156,0)</f>
        <v>0</v>
      </c>
      <c r="BH156" s="138">
        <f>IF(N156="nulová",J156,0)</f>
        <v>0</v>
      </c>
      <c r="BI156" s="16" t="s">
        <v>69</v>
      </c>
      <c r="BJ156" s="138">
        <f>ROUND(I156*H156,2)</f>
        <v>0</v>
      </c>
      <c r="BK156" s="16" t="s">
        <v>164</v>
      </c>
      <c r="BL156" s="137" t="s">
        <v>326</v>
      </c>
    </row>
    <row r="157" spans="2:50" s="13" customFormat="1" ht="12">
      <c r="B157" s="139"/>
      <c r="D157" s="140" t="s">
        <v>115</v>
      </c>
      <c r="E157" s="141" t="s">
        <v>1</v>
      </c>
      <c r="F157" s="142"/>
      <c r="H157" s="143"/>
      <c r="L157" s="139"/>
      <c r="M157" s="144"/>
      <c r="N157" s="145"/>
      <c r="O157" s="145"/>
      <c r="P157" s="145"/>
      <c r="Q157" s="145"/>
      <c r="R157" s="145"/>
      <c r="S157" s="145"/>
      <c r="T157" s="146"/>
      <c r="AS157" s="141" t="s">
        <v>115</v>
      </c>
      <c r="AT157" s="141" t="s">
        <v>71</v>
      </c>
      <c r="AU157" s="13" t="s">
        <v>71</v>
      </c>
      <c r="AV157" s="13" t="s">
        <v>25</v>
      </c>
      <c r="AW157" s="13" t="s">
        <v>69</v>
      </c>
      <c r="AX157" s="141" t="s">
        <v>107</v>
      </c>
    </row>
    <row r="158" spans="1:64" s="2" customFormat="1" ht="16.5" customHeight="1">
      <c r="A158" s="28"/>
      <c r="B158" s="125"/>
      <c r="C158" s="154" t="s">
        <v>327</v>
      </c>
      <c r="D158" s="154" t="s">
        <v>174</v>
      </c>
      <c r="E158" s="155" t="s">
        <v>328</v>
      </c>
      <c r="F158" s="156" t="s">
        <v>329</v>
      </c>
      <c r="G158" s="157" t="s">
        <v>122</v>
      </c>
      <c r="H158" s="158">
        <v>0.002</v>
      </c>
      <c r="I158" s="159">
        <v>0</v>
      </c>
      <c r="J158" s="159">
        <f>ROUND(I158*H158,2)</f>
        <v>0</v>
      </c>
      <c r="K158" s="160"/>
      <c r="L158" s="161"/>
      <c r="M158" s="162" t="s">
        <v>1</v>
      </c>
      <c r="N158" s="163" t="s">
        <v>33</v>
      </c>
      <c r="O158" s="135">
        <v>0</v>
      </c>
      <c r="P158" s="135">
        <f>O158*H158</f>
        <v>0</v>
      </c>
      <c r="Q158" s="135">
        <v>1</v>
      </c>
      <c r="R158" s="135">
        <f>Q158*H158</f>
        <v>0.002</v>
      </c>
      <c r="S158" s="135">
        <v>0</v>
      </c>
      <c r="T158" s="136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Q158" s="137" t="s">
        <v>224</v>
      </c>
      <c r="AS158" s="137" t="s">
        <v>174</v>
      </c>
      <c r="AT158" s="137" t="s">
        <v>71</v>
      </c>
      <c r="AX158" s="16" t="s">
        <v>107</v>
      </c>
      <c r="BD158" s="138">
        <f>IF(N158="základní",J158,0)</f>
        <v>0</v>
      </c>
      <c r="BE158" s="138">
        <f>IF(N158="snížená",J158,0)</f>
        <v>0</v>
      </c>
      <c r="BF158" s="138">
        <f>IF(N158="zákl. přenesená",J158,0)</f>
        <v>0</v>
      </c>
      <c r="BG158" s="138">
        <f>IF(N158="sníž. přenesená",J158,0)</f>
        <v>0</v>
      </c>
      <c r="BH158" s="138">
        <f>IF(N158="nulová",J158,0)</f>
        <v>0</v>
      </c>
      <c r="BI158" s="16" t="s">
        <v>69</v>
      </c>
      <c r="BJ158" s="138">
        <f>ROUND(I158*H158,2)</f>
        <v>0</v>
      </c>
      <c r="BK158" s="16" t="s">
        <v>164</v>
      </c>
      <c r="BL158" s="137" t="s">
        <v>330</v>
      </c>
    </row>
    <row r="159" spans="2:50" s="13" customFormat="1" ht="12">
      <c r="B159" s="139"/>
      <c r="D159" s="140" t="s">
        <v>115</v>
      </c>
      <c r="F159" s="142" t="s">
        <v>331</v>
      </c>
      <c r="H159" s="143">
        <v>0.002</v>
      </c>
      <c r="L159" s="139"/>
      <c r="M159" s="144"/>
      <c r="N159" s="145"/>
      <c r="O159" s="145"/>
      <c r="P159" s="145"/>
      <c r="Q159" s="145"/>
      <c r="R159" s="145"/>
      <c r="S159" s="145"/>
      <c r="T159" s="146"/>
      <c r="AS159" s="141" t="s">
        <v>115</v>
      </c>
      <c r="AT159" s="141" t="s">
        <v>71</v>
      </c>
      <c r="AU159" s="13" t="s">
        <v>71</v>
      </c>
      <c r="AV159" s="13" t="s">
        <v>3</v>
      </c>
      <c r="AW159" s="13" t="s">
        <v>69</v>
      </c>
      <c r="AX159" s="141" t="s">
        <v>107</v>
      </c>
    </row>
    <row r="160" spans="1:64" s="2" customFormat="1" ht="24.2" customHeight="1">
      <c r="A160" s="28"/>
      <c r="B160" s="125"/>
      <c r="C160" s="126" t="s">
        <v>332</v>
      </c>
      <c r="D160" s="126" t="s">
        <v>109</v>
      </c>
      <c r="E160" s="127" t="s">
        <v>333</v>
      </c>
      <c r="F160" s="128" t="s">
        <v>334</v>
      </c>
      <c r="G160" s="129" t="s">
        <v>148</v>
      </c>
      <c r="H160" s="130">
        <v>8.7</v>
      </c>
      <c r="I160" s="131">
        <v>0</v>
      </c>
      <c r="J160" s="131">
        <f>ROUND(I160*H160,2)</f>
        <v>0</v>
      </c>
      <c r="K160" s="132"/>
      <c r="L160" s="29"/>
      <c r="M160" s="133" t="s">
        <v>1</v>
      </c>
      <c r="N160" s="134" t="s">
        <v>33</v>
      </c>
      <c r="O160" s="135">
        <v>0.054</v>
      </c>
      <c r="P160" s="135">
        <f>O160*H160</f>
        <v>0.46979999999999994</v>
      </c>
      <c r="Q160" s="135">
        <v>0</v>
      </c>
      <c r="R160" s="135">
        <f>Q160*H160</f>
        <v>0</v>
      </c>
      <c r="S160" s="135">
        <v>0</v>
      </c>
      <c r="T160" s="136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Q160" s="137" t="s">
        <v>164</v>
      </c>
      <c r="AS160" s="137" t="s">
        <v>109</v>
      </c>
      <c r="AT160" s="137" t="s">
        <v>71</v>
      </c>
      <c r="AX160" s="16" t="s">
        <v>107</v>
      </c>
      <c r="BD160" s="138">
        <f>IF(N160="základní",J160,0)</f>
        <v>0</v>
      </c>
      <c r="BE160" s="138">
        <f>IF(N160="snížená",J160,0)</f>
        <v>0</v>
      </c>
      <c r="BF160" s="138">
        <f>IF(N160="zákl. přenesená",J160,0)</f>
        <v>0</v>
      </c>
      <c r="BG160" s="138">
        <f>IF(N160="sníž. přenesená",J160,0)</f>
        <v>0</v>
      </c>
      <c r="BH160" s="138">
        <f>IF(N160="nulová",J160,0)</f>
        <v>0</v>
      </c>
      <c r="BI160" s="16" t="s">
        <v>69</v>
      </c>
      <c r="BJ160" s="138">
        <f>ROUND(I160*H160,2)</f>
        <v>0</v>
      </c>
      <c r="BK160" s="16" t="s">
        <v>164</v>
      </c>
      <c r="BL160" s="137" t="s">
        <v>335</v>
      </c>
    </row>
    <row r="161" spans="2:50" s="13" customFormat="1" ht="12">
      <c r="B161" s="139"/>
      <c r="D161" s="140" t="s">
        <v>115</v>
      </c>
      <c r="E161" s="141" t="s">
        <v>1</v>
      </c>
      <c r="F161" s="142" t="s">
        <v>336</v>
      </c>
      <c r="H161" s="143">
        <v>8.7</v>
      </c>
      <c r="L161" s="139"/>
      <c r="M161" s="144"/>
      <c r="N161" s="145"/>
      <c r="O161" s="145"/>
      <c r="P161" s="145"/>
      <c r="Q161" s="145"/>
      <c r="R161" s="145"/>
      <c r="S161" s="145"/>
      <c r="T161" s="146"/>
      <c r="AS161" s="141" t="s">
        <v>115</v>
      </c>
      <c r="AT161" s="141" t="s">
        <v>71</v>
      </c>
      <c r="AU161" s="13" t="s">
        <v>71</v>
      </c>
      <c r="AV161" s="13" t="s">
        <v>25</v>
      </c>
      <c r="AW161" s="13" t="s">
        <v>69</v>
      </c>
      <c r="AX161" s="141" t="s">
        <v>107</v>
      </c>
    </row>
    <row r="162" spans="1:64" s="2" customFormat="1" ht="16.5" customHeight="1">
      <c r="A162" s="28"/>
      <c r="B162" s="125"/>
      <c r="C162" s="154" t="s">
        <v>337</v>
      </c>
      <c r="D162" s="154" t="s">
        <v>174</v>
      </c>
      <c r="E162" s="155" t="s">
        <v>328</v>
      </c>
      <c r="F162" s="156" t="s">
        <v>329</v>
      </c>
      <c r="G162" s="157" t="s">
        <v>122</v>
      </c>
      <c r="H162" s="158">
        <v>0.003</v>
      </c>
      <c r="I162" s="159">
        <v>0</v>
      </c>
      <c r="J162" s="159">
        <f>ROUND(I162*H162,2)</f>
        <v>0</v>
      </c>
      <c r="K162" s="160"/>
      <c r="L162" s="161"/>
      <c r="M162" s="162" t="s">
        <v>1</v>
      </c>
      <c r="N162" s="163" t="s">
        <v>33</v>
      </c>
      <c r="O162" s="135">
        <v>0</v>
      </c>
      <c r="P162" s="135">
        <f>O162*H162</f>
        <v>0</v>
      </c>
      <c r="Q162" s="135">
        <v>1</v>
      </c>
      <c r="R162" s="135">
        <f>Q162*H162</f>
        <v>0.003</v>
      </c>
      <c r="S162" s="135">
        <v>0</v>
      </c>
      <c r="T162" s="136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Q162" s="137" t="s">
        <v>224</v>
      </c>
      <c r="AS162" s="137" t="s">
        <v>174</v>
      </c>
      <c r="AT162" s="137" t="s">
        <v>71</v>
      </c>
      <c r="AX162" s="16" t="s">
        <v>107</v>
      </c>
      <c r="BD162" s="138">
        <f>IF(N162="základní",J162,0)</f>
        <v>0</v>
      </c>
      <c r="BE162" s="138">
        <f>IF(N162="snížená",J162,0)</f>
        <v>0</v>
      </c>
      <c r="BF162" s="138">
        <f>IF(N162="zákl. přenesená",J162,0)</f>
        <v>0</v>
      </c>
      <c r="BG162" s="138">
        <f>IF(N162="sníž. přenesená",J162,0)</f>
        <v>0</v>
      </c>
      <c r="BH162" s="138">
        <f>IF(N162="nulová",J162,0)</f>
        <v>0</v>
      </c>
      <c r="BI162" s="16" t="s">
        <v>69</v>
      </c>
      <c r="BJ162" s="138">
        <f>ROUND(I162*H162,2)</f>
        <v>0</v>
      </c>
      <c r="BK162" s="16" t="s">
        <v>164</v>
      </c>
      <c r="BL162" s="137" t="s">
        <v>338</v>
      </c>
    </row>
    <row r="163" spans="2:50" s="13" customFormat="1" ht="12">
      <c r="B163" s="139"/>
      <c r="D163" s="140" t="s">
        <v>115</v>
      </c>
      <c r="F163" s="142" t="s">
        <v>339</v>
      </c>
      <c r="H163" s="143">
        <v>0.003</v>
      </c>
      <c r="L163" s="139"/>
      <c r="M163" s="144"/>
      <c r="N163" s="145"/>
      <c r="O163" s="145"/>
      <c r="P163" s="145"/>
      <c r="Q163" s="145"/>
      <c r="R163" s="145"/>
      <c r="S163" s="145"/>
      <c r="T163" s="146"/>
      <c r="AS163" s="141" t="s">
        <v>115</v>
      </c>
      <c r="AT163" s="141" t="s">
        <v>71</v>
      </c>
      <c r="AU163" s="13" t="s">
        <v>71</v>
      </c>
      <c r="AV163" s="13" t="s">
        <v>3</v>
      </c>
      <c r="AW163" s="13" t="s">
        <v>69</v>
      </c>
      <c r="AX163" s="141" t="s">
        <v>107</v>
      </c>
    </row>
    <row r="164" spans="1:64" s="2" customFormat="1" ht="24.2" customHeight="1">
      <c r="A164" s="28"/>
      <c r="B164" s="125"/>
      <c r="C164" s="126" t="s">
        <v>340</v>
      </c>
      <c r="D164" s="126" t="s">
        <v>109</v>
      </c>
      <c r="E164" s="127" t="s">
        <v>341</v>
      </c>
      <c r="F164" s="128" t="s">
        <v>342</v>
      </c>
      <c r="G164" s="129" t="s">
        <v>148</v>
      </c>
      <c r="H164" s="130">
        <v>6.375</v>
      </c>
      <c r="I164" s="131">
        <v>0</v>
      </c>
      <c r="J164" s="131">
        <f>ROUND(I164*H164,2)</f>
        <v>0</v>
      </c>
      <c r="K164" s="132"/>
      <c r="L164" s="29"/>
      <c r="M164" s="133" t="s">
        <v>1</v>
      </c>
      <c r="N164" s="134" t="s">
        <v>33</v>
      </c>
      <c r="O164" s="135">
        <v>0.222</v>
      </c>
      <c r="P164" s="135">
        <f>O164*H164</f>
        <v>1.4152500000000001</v>
      </c>
      <c r="Q164" s="135">
        <v>0.0004</v>
      </c>
      <c r="R164" s="135">
        <f>Q164*H164</f>
        <v>0.00255</v>
      </c>
      <c r="S164" s="135">
        <v>0</v>
      </c>
      <c r="T164" s="136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Q164" s="137" t="s">
        <v>164</v>
      </c>
      <c r="AS164" s="137" t="s">
        <v>109</v>
      </c>
      <c r="AT164" s="137" t="s">
        <v>71</v>
      </c>
      <c r="AX164" s="16" t="s">
        <v>107</v>
      </c>
      <c r="BD164" s="138">
        <f>IF(N164="základní",J164,0)</f>
        <v>0</v>
      </c>
      <c r="BE164" s="138">
        <f>IF(N164="snížená",J164,0)</f>
        <v>0</v>
      </c>
      <c r="BF164" s="138">
        <f>IF(N164="zákl. přenesená",J164,0)</f>
        <v>0</v>
      </c>
      <c r="BG164" s="138">
        <f>IF(N164="sníž. přenesená",J164,0)</f>
        <v>0</v>
      </c>
      <c r="BH164" s="138">
        <f>IF(N164="nulová",J164,0)</f>
        <v>0</v>
      </c>
      <c r="BI164" s="16" t="s">
        <v>69</v>
      </c>
      <c r="BJ164" s="138">
        <f>ROUND(I164*H164,2)</f>
        <v>0</v>
      </c>
      <c r="BK164" s="16" t="s">
        <v>164</v>
      </c>
      <c r="BL164" s="137" t="s">
        <v>343</v>
      </c>
    </row>
    <row r="165" spans="1:64" s="2" customFormat="1" ht="37.9" customHeight="1">
      <c r="A165" s="28"/>
      <c r="B165" s="125"/>
      <c r="C165" s="154" t="s">
        <v>344</v>
      </c>
      <c r="D165" s="154" t="s">
        <v>174</v>
      </c>
      <c r="E165" s="155" t="s">
        <v>345</v>
      </c>
      <c r="F165" s="156" t="s">
        <v>346</v>
      </c>
      <c r="G165" s="157" t="s">
        <v>148</v>
      </c>
      <c r="H165" s="158">
        <v>7.43</v>
      </c>
      <c r="I165" s="159">
        <v>0</v>
      </c>
      <c r="J165" s="159">
        <f>ROUND(I165*H165,2)</f>
        <v>0</v>
      </c>
      <c r="K165" s="160"/>
      <c r="L165" s="161"/>
      <c r="M165" s="162" t="s">
        <v>1</v>
      </c>
      <c r="N165" s="163" t="s">
        <v>33</v>
      </c>
      <c r="O165" s="135">
        <v>0</v>
      </c>
      <c r="P165" s="135">
        <f>O165*H165</f>
        <v>0</v>
      </c>
      <c r="Q165" s="135">
        <v>0.0047</v>
      </c>
      <c r="R165" s="135">
        <f>Q165*H165</f>
        <v>0.034921</v>
      </c>
      <c r="S165" s="135">
        <v>0</v>
      </c>
      <c r="T165" s="136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Q165" s="137" t="s">
        <v>224</v>
      </c>
      <c r="AS165" s="137" t="s">
        <v>174</v>
      </c>
      <c r="AT165" s="137" t="s">
        <v>71</v>
      </c>
      <c r="AX165" s="16" t="s">
        <v>107</v>
      </c>
      <c r="BD165" s="138">
        <f>IF(N165="základní",J165,0)</f>
        <v>0</v>
      </c>
      <c r="BE165" s="138">
        <f>IF(N165="snížená",J165,0)</f>
        <v>0</v>
      </c>
      <c r="BF165" s="138">
        <f>IF(N165="zákl. přenesená",J165,0)</f>
        <v>0</v>
      </c>
      <c r="BG165" s="138">
        <f>IF(N165="sníž. přenesená",J165,0)</f>
        <v>0</v>
      </c>
      <c r="BH165" s="138">
        <f>IF(N165="nulová",J165,0)</f>
        <v>0</v>
      </c>
      <c r="BI165" s="16" t="s">
        <v>69</v>
      </c>
      <c r="BJ165" s="138">
        <f>ROUND(I165*H165,2)</f>
        <v>0</v>
      </c>
      <c r="BK165" s="16" t="s">
        <v>164</v>
      </c>
      <c r="BL165" s="137" t="s">
        <v>347</v>
      </c>
    </row>
    <row r="166" spans="2:50" s="13" customFormat="1" ht="12">
      <c r="B166" s="139"/>
      <c r="D166" s="140" t="s">
        <v>115</v>
      </c>
      <c r="F166" s="142"/>
      <c r="H166" s="143"/>
      <c r="L166" s="139"/>
      <c r="M166" s="144"/>
      <c r="N166" s="145"/>
      <c r="O166" s="145"/>
      <c r="P166" s="145"/>
      <c r="Q166" s="145"/>
      <c r="R166" s="145"/>
      <c r="S166" s="145"/>
      <c r="T166" s="146"/>
      <c r="AS166" s="141" t="s">
        <v>115</v>
      </c>
      <c r="AT166" s="141" t="s">
        <v>71</v>
      </c>
      <c r="AU166" s="13" t="s">
        <v>71</v>
      </c>
      <c r="AV166" s="13" t="s">
        <v>3</v>
      </c>
      <c r="AW166" s="13" t="s">
        <v>69</v>
      </c>
      <c r="AX166" s="141" t="s">
        <v>107</v>
      </c>
    </row>
    <row r="167" spans="1:64" s="2" customFormat="1" ht="24.2" customHeight="1">
      <c r="A167" s="28"/>
      <c r="B167" s="125"/>
      <c r="C167" s="126" t="s">
        <v>348</v>
      </c>
      <c r="D167" s="126" t="s">
        <v>109</v>
      </c>
      <c r="E167" s="127" t="s">
        <v>349</v>
      </c>
      <c r="F167" s="128" t="s">
        <v>350</v>
      </c>
      <c r="G167" s="129" t="s">
        <v>148</v>
      </c>
      <c r="H167" s="130">
        <v>8.7</v>
      </c>
      <c r="I167" s="131">
        <v>0</v>
      </c>
      <c r="J167" s="131">
        <f>ROUND(I167*H167,2)</f>
        <v>0</v>
      </c>
      <c r="K167" s="132"/>
      <c r="L167" s="29"/>
      <c r="M167" s="133" t="s">
        <v>1</v>
      </c>
      <c r="N167" s="134" t="s">
        <v>33</v>
      </c>
      <c r="O167" s="135">
        <v>0.26</v>
      </c>
      <c r="P167" s="135">
        <f>O167*H167</f>
        <v>2.262</v>
      </c>
      <c r="Q167" s="135">
        <v>0.0004</v>
      </c>
      <c r="R167" s="135">
        <f>Q167*H167</f>
        <v>0.00348</v>
      </c>
      <c r="S167" s="135">
        <v>0</v>
      </c>
      <c r="T167" s="136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Q167" s="137" t="s">
        <v>164</v>
      </c>
      <c r="AS167" s="137" t="s">
        <v>109</v>
      </c>
      <c r="AT167" s="137" t="s">
        <v>71</v>
      </c>
      <c r="AX167" s="16" t="s">
        <v>107</v>
      </c>
      <c r="BD167" s="138">
        <f>IF(N167="základní",J167,0)</f>
        <v>0</v>
      </c>
      <c r="BE167" s="138">
        <f>IF(N167="snížená",J167,0)</f>
        <v>0</v>
      </c>
      <c r="BF167" s="138">
        <f>IF(N167="zákl. přenesená",J167,0)</f>
        <v>0</v>
      </c>
      <c r="BG167" s="138">
        <f>IF(N167="sníž. přenesená",J167,0)</f>
        <v>0</v>
      </c>
      <c r="BH167" s="138">
        <f>IF(N167="nulová",J167,0)</f>
        <v>0</v>
      </c>
      <c r="BI167" s="16" t="s">
        <v>69</v>
      </c>
      <c r="BJ167" s="138">
        <f>ROUND(I167*H167,2)</f>
        <v>0</v>
      </c>
      <c r="BK167" s="16" t="s">
        <v>164</v>
      </c>
      <c r="BL167" s="137" t="s">
        <v>351</v>
      </c>
    </row>
    <row r="168" spans="1:64" s="2" customFormat="1" ht="37.9" customHeight="1">
      <c r="A168" s="28"/>
      <c r="B168" s="125"/>
      <c r="C168" s="154" t="s">
        <v>352</v>
      </c>
      <c r="D168" s="154" t="s">
        <v>174</v>
      </c>
      <c r="E168" s="155" t="s">
        <v>345</v>
      </c>
      <c r="F168" s="156" t="s">
        <v>346</v>
      </c>
      <c r="G168" s="157" t="s">
        <v>148</v>
      </c>
      <c r="H168" s="158">
        <v>10.623</v>
      </c>
      <c r="I168" s="159">
        <v>0</v>
      </c>
      <c r="J168" s="159">
        <f>ROUND(I168*H168,2)</f>
        <v>0</v>
      </c>
      <c r="K168" s="160"/>
      <c r="L168" s="161"/>
      <c r="M168" s="162" t="s">
        <v>1</v>
      </c>
      <c r="N168" s="163" t="s">
        <v>33</v>
      </c>
      <c r="O168" s="135">
        <v>0</v>
      </c>
      <c r="P168" s="135">
        <f>O168*H168</f>
        <v>0</v>
      </c>
      <c r="Q168" s="135">
        <v>0.0047</v>
      </c>
      <c r="R168" s="135">
        <f>Q168*H168</f>
        <v>0.049928099999999996</v>
      </c>
      <c r="S168" s="135">
        <v>0</v>
      </c>
      <c r="T168" s="136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Q168" s="137" t="s">
        <v>224</v>
      </c>
      <c r="AS168" s="137" t="s">
        <v>174</v>
      </c>
      <c r="AT168" s="137" t="s">
        <v>71</v>
      </c>
      <c r="AX168" s="16" t="s">
        <v>107</v>
      </c>
      <c r="BD168" s="138">
        <f>IF(N168="základní",J168,0)</f>
        <v>0</v>
      </c>
      <c r="BE168" s="138">
        <f>IF(N168="snížená",J168,0)</f>
        <v>0</v>
      </c>
      <c r="BF168" s="138">
        <f>IF(N168="zákl. přenesená",J168,0)</f>
        <v>0</v>
      </c>
      <c r="BG168" s="138">
        <f>IF(N168="sníž. přenesená",J168,0)</f>
        <v>0</v>
      </c>
      <c r="BH168" s="138">
        <f>IF(N168="nulová",J168,0)</f>
        <v>0</v>
      </c>
      <c r="BI168" s="16" t="s">
        <v>69</v>
      </c>
      <c r="BJ168" s="138">
        <f>ROUND(I168*H168,2)</f>
        <v>0</v>
      </c>
      <c r="BK168" s="16" t="s">
        <v>164</v>
      </c>
      <c r="BL168" s="137" t="s">
        <v>353</v>
      </c>
    </row>
    <row r="169" spans="2:50" s="13" customFormat="1" ht="12">
      <c r="B169" s="139"/>
      <c r="D169" s="140" t="s">
        <v>115</v>
      </c>
      <c r="F169" s="142" t="s">
        <v>354</v>
      </c>
      <c r="H169" s="143">
        <v>10.623</v>
      </c>
      <c r="L169" s="139"/>
      <c r="M169" s="144"/>
      <c r="N169" s="145"/>
      <c r="O169" s="145"/>
      <c r="P169" s="145"/>
      <c r="Q169" s="145"/>
      <c r="R169" s="145"/>
      <c r="S169" s="145"/>
      <c r="T169" s="146"/>
      <c r="AS169" s="141" t="s">
        <v>115</v>
      </c>
      <c r="AT169" s="141" t="s">
        <v>71</v>
      </c>
      <c r="AU169" s="13" t="s">
        <v>71</v>
      </c>
      <c r="AV169" s="13" t="s">
        <v>3</v>
      </c>
      <c r="AW169" s="13" t="s">
        <v>69</v>
      </c>
      <c r="AX169" s="141" t="s">
        <v>107</v>
      </c>
    </row>
    <row r="170" spans="1:64" s="2" customFormat="1" ht="33" customHeight="1">
      <c r="A170" s="28"/>
      <c r="B170" s="125"/>
      <c r="C170" s="126" t="s">
        <v>355</v>
      </c>
      <c r="D170" s="126" t="s">
        <v>109</v>
      </c>
      <c r="E170" s="127" t="s">
        <v>356</v>
      </c>
      <c r="F170" s="128" t="s">
        <v>357</v>
      </c>
      <c r="G170" s="129" t="s">
        <v>358</v>
      </c>
      <c r="H170" s="130">
        <v>42.174</v>
      </c>
      <c r="I170" s="131">
        <v>0</v>
      </c>
      <c r="J170" s="131">
        <f>ROUND(I170*H170,2)</f>
        <v>0</v>
      </c>
      <c r="K170" s="132"/>
      <c r="L170" s="29"/>
      <c r="M170" s="133" t="s">
        <v>1</v>
      </c>
      <c r="N170" s="134" t="s">
        <v>33</v>
      </c>
      <c r="O170" s="135">
        <v>0</v>
      </c>
      <c r="P170" s="135">
        <f>O170*H170</f>
        <v>0</v>
      </c>
      <c r="Q170" s="135">
        <v>0</v>
      </c>
      <c r="R170" s="135">
        <f>Q170*H170</f>
        <v>0</v>
      </c>
      <c r="S170" s="135">
        <v>0</v>
      </c>
      <c r="T170" s="136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Q170" s="137" t="s">
        <v>164</v>
      </c>
      <c r="AS170" s="137" t="s">
        <v>109</v>
      </c>
      <c r="AT170" s="137" t="s">
        <v>71</v>
      </c>
      <c r="AX170" s="16" t="s">
        <v>107</v>
      </c>
      <c r="BD170" s="138">
        <f>IF(N170="základní",J170,0)</f>
        <v>0</v>
      </c>
      <c r="BE170" s="138">
        <f>IF(N170="snížená",J170,0)</f>
        <v>0</v>
      </c>
      <c r="BF170" s="138">
        <f>IF(N170="zákl. přenesená",J170,0)</f>
        <v>0</v>
      </c>
      <c r="BG170" s="138">
        <f>IF(N170="sníž. přenesená",J170,0)</f>
        <v>0</v>
      </c>
      <c r="BH170" s="138">
        <f>IF(N170="nulová",J170,0)</f>
        <v>0</v>
      </c>
      <c r="BI170" s="16" t="s">
        <v>69</v>
      </c>
      <c r="BJ170" s="138">
        <f>ROUND(I170*H170,2)</f>
        <v>0</v>
      </c>
      <c r="BK170" s="16" t="s">
        <v>164</v>
      </c>
      <c r="BL170" s="137" t="s">
        <v>359</v>
      </c>
    </row>
    <row r="171" spans="2:62" s="12" customFormat="1" ht="22.9" customHeight="1">
      <c r="B171" s="113"/>
      <c r="D171" s="114" t="s">
        <v>60</v>
      </c>
      <c r="E171" s="123" t="s">
        <v>360</v>
      </c>
      <c r="F171" s="123" t="s">
        <v>361</v>
      </c>
      <c r="J171" s="124">
        <f>SUM(J172:J178)</f>
        <v>0</v>
      </c>
      <c r="L171" s="113"/>
      <c r="M171" s="117"/>
      <c r="N171" s="118"/>
      <c r="O171" s="118"/>
      <c r="P171" s="119">
        <f>SUM(P172:P178)</f>
        <v>3.5980220000000003</v>
      </c>
      <c r="Q171" s="118"/>
      <c r="R171" s="119">
        <f>SUM(R172:R178)</f>
        <v>0.06559056</v>
      </c>
      <c r="S171" s="118"/>
      <c r="T171" s="120">
        <f>SUM(T172:T178)</f>
        <v>0</v>
      </c>
      <c r="AQ171" s="114" t="s">
        <v>71</v>
      </c>
      <c r="AS171" s="121" t="s">
        <v>60</v>
      </c>
      <c r="AT171" s="121" t="s">
        <v>69</v>
      </c>
      <c r="AX171" s="114" t="s">
        <v>107</v>
      </c>
      <c r="BJ171" s="122">
        <f>SUM(BJ172:BJ178)</f>
        <v>0</v>
      </c>
    </row>
    <row r="172" spans="1:64" s="2" customFormat="1" ht="24.2" customHeight="1">
      <c r="A172" s="28"/>
      <c r="B172" s="125"/>
      <c r="C172" s="126" t="s">
        <v>362</v>
      </c>
      <c r="D172" s="126" t="s">
        <v>109</v>
      </c>
      <c r="E172" s="127" t="s">
        <v>363</v>
      </c>
      <c r="F172" s="128" t="s">
        <v>364</v>
      </c>
      <c r="G172" s="129" t="s">
        <v>148</v>
      </c>
      <c r="H172" s="130">
        <f>(2.5+2.5+2.5)*1</f>
        <v>7.5</v>
      </c>
      <c r="I172" s="131">
        <v>0</v>
      </c>
      <c r="J172" s="131">
        <f>ROUND(I172*H172,2)</f>
        <v>0</v>
      </c>
      <c r="K172" s="132"/>
      <c r="L172" s="29"/>
      <c r="M172" s="133" t="s">
        <v>1</v>
      </c>
      <c r="N172" s="134" t="s">
        <v>33</v>
      </c>
      <c r="O172" s="135">
        <v>0.241</v>
      </c>
      <c r="P172" s="135">
        <f>O172*H172</f>
        <v>1.8074999999999999</v>
      </c>
      <c r="Q172" s="135">
        <v>0.006</v>
      </c>
      <c r="R172" s="135">
        <f>Q172*H172</f>
        <v>0.045</v>
      </c>
      <c r="S172" s="135">
        <v>0</v>
      </c>
      <c r="T172" s="136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Q172" s="137" t="s">
        <v>164</v>
      </c>
      <c r="AS172" s="137" t="s">
        <v>109</v>
      </c>
      <c r="AT172" s="137" t="s">
        <v>71</v>
      </c>
      <c r="AX172" s="16" t="s">
        <v>107</v>
      </c>
      <c r="BD172" s="138">
        <f>IF(N172="základní",J172,0)</f>
        <v>0</v>
      </c>
      <c r="BE172" s="138">
        <f>IF(N172="snížená",J172,0)</f>
        <v>0</v>
      </c>
      <c r="BF172" s="138">
        <f>IF(N172="zákl. přenesená",J172,0)</f>
        <v>0</v>
      </c>
      <c r="BG172" s="138">
        <f>IF(N172="sníž. přenesená",J172,0)</f>
        <v>0</v>
      </c>
      <c r="BH172" s="138">
        <f>IF(N172="nulová",J172,0)</f>
        <v>0</v>
      </c>
      <c r="BI172" s="16" t="s">
        <v>69</v>
      </c>
      <c r="BJ172" s="138">
        <f>ROUND(I172*H172,2)</f>
        <v>0</v>
      </c>
      <c r="BK172" s="16" t="s">
        <v>164</v>
      </c>
      <c r="BL172" s="137" t="s">
        <v>365</v>
      </c>
    </row>
    <row r="173" spans="2:50" s="13" customFormat="1" ht="12">
      <c r="B173" s="139"/>
      <c r="D173" s="140" t="s">
        <v>115</v>
      </c>
      <c r="E173" s="141" t="s">
        <v>1</v>
      </c>
      <c r="F173" s="142"/>
      <c r="H173" s="143"/>
      <c r="L173" s="139"/>
      <c r="M173" s="144"/>
      <c r="N173" s="145"/>
      <c r="O173" s="145"/>
      <c r="P173" s="145"/>
      <c r="Q173" s="145"/>
      <c r="R173" s="145"/>
      <c r="S173" s="145"/>
      <c r="T173" s="146"/>
      <c r="AS173" s="141" t="s">
        <v>115</v>
      </c>
      <c r="AT173" s="141" t="s">
        <v>71</v>
      </c>
      <c r="AU173" s="13" t="s">
        <v>71</v>
      </c>
      <c r="AV173" s="13" t="s">
        <v>25</v>
      </c>
      <c r="AW173" s="13" t="s">
        <v>69</v>
      </c>
      <c r="AX173" s="141" t="s">
        <v>107</v>
      </c>
    </row>
    <row r="174" spans="1:64" s="2" customFormat="1" ht="24.2" customHeight="1">
      <c r="A174" s="28"/>
      <c r="B174" s="125"/>
      <c r="C174" s="154" t="s">
        <v>366</v>
      </c>
      <c r="D174" s="154" t="s">
        <v>174</v>
      </c>
      <c r="E174" s="155" t="s">
        <v>367</v>
      </c>
      <c r="F174" s="156" t="s">
        <v>368</v>
      </c>
      <c r="G174" s="157" t="s">
        <v>148</v>
      </c>
      <c r="H174" s="158">
        <f>H172*1.15</f>
        <v>8.625</v>
      </c>
      <c r="I174" s="159">
        <v>0</v>
      </c>
      <c r="J174" s="159">
        <f>ROUND(I174*H174,2)</f>
        <v>0</v>
      </c>
      <c r="K174" s="160"/>
      <c r="L174" s="161"/>
      <c r="M174" s="162" t="s">
        <v>1</v>
      </c>
      <c r="N174" s="163" t="s">
        <v>33</v>
      </c>
      <c r="O174" s="135">
        <v>0</v>
      </c>
      <c r="P174" s="135">
        <f>O174*H174</f>
        <v>0</v>
      </c>
      <c r="Q174" s="135">
        <v>0.0015</v>
      </c>
      <c r="R174" s="135">
        <f>Q174*H174</f>
        <v>0.012937500000000001</v>
      </c>
      <c r="S174" s="135">
        <v>0</v>
      </c>
      <c r="T174" s="136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Q174" s="137" t="s">
        <v>224</v>
      </c>
      <c r="AS174" s="137" t="s">
        <v>174</v>
      </c>
      <c r="AT174" s="137" t="s">
        <v>71</v>
      </c>
      <c r="AX174" s="16" t="s">
        <v>107</v>
      </c>
      <c r="BD174" s="138">
        <f>IF(N174="základní",J174,0)</f>
        <v>0</v>
      </c>
      <c r="BE174" s="138">
        <f>IF(N174="snížená",J174,0)</f>
        <v>0</v>
      </c>
      <c r="BF174" s="138">
        <f>IF(N174="zákl. přenesená",J174,0)</f>
        <v>0</v>
      </c>
      <c r="BG174" s="138">
        <f>IF(N174="sníž. přenesená",J174,0)</f>
        <v>0</v>
      </c>
      <c r="BH174" s="138">
        <f>IF(N174="nulová",J174,0)</f>
        <v>0</v>
      </c>
      <c r="BI174" s="16" t="s">
        <v>69</v>
      </c>
      <c r="BJ174" s="138">
        <f>ROUND(I174*H174,2)</f>
        <v>0</v>
      </c>
      <c r="BK174" s="16" t="s">
        <v>164</v>
      </c>
      <c r="BL174" s="137" t="s">
        <v>369</v>
      </c>
    </row>
    <row r="175" spans="2:50" s="13" customFormat="1" ht="12">
      <c r="B175" s="139"/>
      <c r="D175" s="140"/>
      <c r="E175" s="141" t="s">
        <v>1</v>
      </c>
      <c r="F175" s="142"/>
      <c r="H175" s="143"/>
      <c r="L175" s="139"/>
      <c r="M175" s="144"/>
      <c r="N175" s="145"/>
      <c r="O175" s="145"/>
      <c r="P175" s="145"/>
      <c r="Q175" s="145"/>
      <c r="R175" s="145"/>
      <c r="S175" s="145"/>
      <c r="T175" s="146"/>
      <c r="AS175" s="141" t="s">
        <v>115</v>
      </c>
      <c r="AT175" s="141" t="s">
        <v>71</v>
      </c>
      <c r="AU175" s="13" t="s">
        <v>71</v>
      </c>
      <c r="AV175" s="13" t="s">
        <v>25</v>
      </c>
      <c r="AW175" s="13" t="s">
        <v>69</v>
      </c>
      <c r="AX175" s="141" t="s">
        <v>107</v>
      </c>
    </row>
    <row r="176" spans="1:64" s="2" customFormat="1" ht="33" customHeight="1">
      <c r="A176" s="28"/>
      <c r="B176" s="125"/>
      <c r="C176" s="126" t="s">
        <v>370</v>
      </c>
      <c r="D176" s="126" t="s">
        <v>109</v>
      </c>
      <c r="E176" s="127" t="s">
        <v>371</v>
      </c>
      <c r="F176" s="128" t="s">
        <v>372</v>
      </c>
      <c r="G176" s="129" t="s">
        <v>148</v>
      </c>
      <c r="H176" s="130">
        <f>2.5*2.5</f>
        <v>6.25</v>
      </c>
      <c r="I176" s="131">
        <v>0</v>
      </c>
      <c r="J176" s="131">
        <f>ROUND(I176*H176,2)</f>
        <v>0</v>
      </c>
      <c r="K176" s="132"/>
      <c r="L176" s="29"/>
      <c r="M176" s="133" t="s">
        <v>1</v>
      </c>
      <c r="N176" s="134" t="s">
        <v>33</v>
      </c>
      <c r="O176" s="135">
        <v>0.14</v>
      </c>
      <c r="P176" s="135">
        <f>O176*H176</f>
        <v>0.8750000000000001</v>
      </c>
      <c r="Q176" s="135">
        <v>0.00116</v>
      </c>
      <c r="R176" s="135">
        <f>Q176*H176</f>
        <v>0.00725</v>
      </c>
      <c r="S176" s="135">
        <v>0</v>
      </c>
      <c r="T176" s="136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Q176" s="137" t="s">
        <v>164</v>
      </c>
      <c r="AS176" s="137" t="s">
        <v>109</v>
      </c>
      <c r="AT176" s="137" t="s">
        <v>71</v>
      </c>
      <c r="AX176" s="16" t="s">
        <v>107</v>
      </c>
      <c r="BD176" s="138">
        <f>IF(N176="základní",J176,0)</f>
        <v>0</v>
      </c>
      <c r="BE176" s="138">
        <f>IF(N176="snížená",J176,0)</f>
        <v>0</v>
      </c>
      <c r="BF176" s="138">
        <f>IF(N176="zákl. přenesená",J176,0)</f>
        <v>0</v>
      </c>
      <c r="BG176" s="138">
        <f>IF(N176="sníž. přenesená",J176,0)</f>
        <v>0</v>
      </c>
      <c r="BH176" s="138">
        <f>IF(N176="nulová",J176,0)</f>
        <v>0</v>
      </c>
      <c r="BI176" s="16" t="s">
        <v>69</v>
      </c>
      <c r="BJ176" s="138">
        <f>ROUND(I176*H176,2)</f>
        <v>0</v>
      </c>
      <c r="BK176" s="16" t="s">
        <v>164</v>
      </c>
      <c r="BL176" s="137" t="s">
        <v>373</v>
      </c>
    </row>
    <row r="177" spans="1:64" s="2" customFormat="1" ht="24.2" customHeight="1">
      <c r="A177" s="28"/>
      <c r="B177" s="125"/>
      <c r="C177" s="126" t="s">
        <v>374</v>
      </c>
      <c r="D177" s="126" t="s">
        <v>109</v>
      </c>
      <c r="E177" s="127" t="s">
        <v>375</v>
      </c>
      <c r="F177" s="128" t="s">
        <v>376</v>
      </c>
      <c r="G177" s="129" t="s">
        <v>148</v>
      </c>
      <c r="H177" s="130">
        <v>5.758</v>
      </c>
      <c r="I177" s="131">
        <v>0</v>
      </c>
      <c r="J177" s="131">
        <f>ROUND(I177*H177,2)</f>
        <v>0</v>
      </c>
      <c r="K177" s="132"/>
      <c r="L177" s="29"/>
      <c r="M177" s="133" t="s">
        <v>1</v>
      </c>
      <c r="N177" s="134" t="s">
        <v>33</v>
      </c>
      <c r="O177" s="135">
        <v>0.159</v>
      </c>
      <c r="P177" s="135">
        <f>O177*H177</f>
        <v>0.9155220000000001</v>
      </c>
      <c r="Q177" s="135">
        <v>7E-05</v>
      </c>
      <c r="R177" s="135">
        <f>Q177*H177</f>
        <v>0.00040305999999999995</v>
      </c>
      <c r="S177" s="135">
        <v>0</v>
      </c>
      <c r="T177" s="136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Q177" s="137" t="s">
        <v>164</v>
      </c>
      <c r="AS177" s="137" t="s">
        <v>109</v>
      </c>
      <c r="AT177" s="137" t="s">
        <v>71</v>
      </c>
      <c r="AX177" s="16" t="s">
        <v>107</v>
      </c>
      <c r="BD177" s="138">
        <f>IF(N177="základní",J177,0)</f>
        <v>0</v>
      </c>
      <c r="BE177" s="138">
        <f>IF(N177="snížená",J177,0)</f>
        <v>0</v>
      </c>
      <c r="BF177" s="138">
        <f>IF(N177="zákl. přenesená",J177,0)</f>
        <v>0</v>
      </c>
      <c r="BG177" s="138">
        <f>IF(N177="sníž. přenesená",J177,0)</f>
        <v>0</v>
      </c>
      <c r="BH177" s="138">
        <f>IF(N177="nulová",J177,0)</f>
        <v>0</v>
      </c>
      <c r="BI177" s="16" t="s">
        <v>69</v>
      </c>
      <c r="BJ177" s="138">
        <f>ROUND(I177*H177,2)</f>
        <v>0</v>
      </c>
      <c r="BK177" s="16" t="s">
        <v>164</v>
      </c>
      <c r="BL177" s="137" t="s">
        <v>377</v>
      </c>
    </row>
    <row r="178" spans="1:64" s="2" customFormat="1" ht="24.2" customHeight="1">
      <c r="A178" s="28"/>
      <c r="B178" s="125"/>
      <c r="C178" s="126" t="s">
        <v>378</v>
      </c>
      <c r="D178" s="126" t="s">
        <v>109</v>
      </c>
      <c r="E178" s="127" t="s">
        <v>379</v>
      </c>
      <c r="F178" s="128" t="s">
        <v>380</v>
      </c>
      <c r="G178" s="129" t="s">
        <v>358</v>
      </c>
      <c r="H178" s="130">
        <v>84.578</v>
      </c>
      <c r="I178" s="131">
        <v>0</v>
      </c>
      <c r="J178" s="131">
        <f>ROUND(I178*H178,2)</f>
        <v>0</v>
      </c>
      <c r="K178" s="132"/>
      <c r="L178" s="29"/>
      <c r="M178" s="133" t="s">
        <v>1</v>
      </c>
      <c r="N178" s="134" t="s">
        <v>33</v>
      </c>
      <c r="O178" s="135">
        <v>0</v>
      </c>
      <c r="P178" s="135">
        <f>O178*H178</f>
        <v>0</v>
      </c>
      <c r="Q178" s="135">
        <v>0</v>
      </c>
      <c r="R178" s="135">
        <f>Q178*H178</f>
        <v>0</v>
      </c>
      <c r="S178" s="135">
        <v>0</v>
      </c>
      <c r="T178" s="136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Q178" s="137" t="s">
        <v>164</v>
      </c>
      <c r="AS178" s="137" t="s">
        <v>109</v>
      </c>
      <c r="AT178" s="137" t="s">
        <v>71</v>
      </c>
      <c r="AX178" s="16" t="s">
        <v>107</v>
      </c>
      <c r="BD178" s="138">
        <f>IF(N178="základní",J178,0)</f>
        <v>0</v>
      </c>
      <c r="BE178" s="138">
        <f>IF(N178="snížená",J178,0)</f>
        <v>0</v>
      </c>
      <c r="BF178" s="138">
        <f>IF(N178="zákl. přenesená",J178,0)</f>
        <v>0</v>
      </c>
      <c r="BG178" s="138">
        <f>IF(N178="sníž. přenesená",J178,0)</f>
        <v>0</v>
      </c>
      <c r="BH178" s="138">
        <f>IF(N178="nulová",J178,0)</f>
        <v>0</v>
      </c>
      <c r="BI178" s="16" t="s">
        <v>69</v>
      </c>
      <c r="BJ178" s="138">
        <f>ROUND(I178*H178,2)</f>
        <v>0</v>
      </c>
      <c r="BK178" s="16" t="s">
        <v>164</v>
      </c>
      <c r="BL178" s="137" t="s">
        <v>381</v>
      </c>
    </row>
    <row r="179" spans="2:62" s="12" customFormat="1" ht="22.9" customHeight="1">
      <c r="B179" s="113"/>
      <c r="D179" s="114" t="s">
        <v>60</v>
      </c>
      <c r="E179" s="123" t="s">
        <v>382</v>
      </c>
      <c r="F179" s="123" t="s">
        <v>383</v>
      </c>
      <c r="J179" s="124">
        <f>SUM(J180:J187)</f>
        <v>0</v>
      </c>
      <c r="L179" s="113"/>
      <c r="M179" s="117"/>
      <c r="N179" s="118"/>
      <c r="O179" s="118"/>
      <c r="P179" s="119">
        <f>SUM(P180:P187)</f>
        <v>7.0087</v>
      </c>
      <c r="Q179" s="118"/>
      <c r="R179" s="119">
        <f>SUM(R180:R187)</f>
        <v>0.0746145</v>
      </c>
      <c r="S179" s="118"/>
      <c r="T179" s="120">
        <f>SUM(T180:T187)</f>
        <v>0</v>
      </c>
      <c r="AQ179" s="114" t="s">
        <v>71</v>
      </c>
      <c r="AS179" s="121" t="s">
        <v>60</v>
      </c>
      <c r="AT179" s="121" t="s">
        <v>69</v>
      </c>
      <c r="AX179" s="114" t="s">
        <v>107</v>
      </c>
      <c r="BJ179" s="122">
        <f>SUM(BJ180:BJ187)</f>
        <v>0</v>
      </c>
    </row>
    <row r="180" spans="1:64" s="2" customFormat="1" ht="24.2" customHeight="1">
      <c r="A180" s="28"/>
      <c r="B180" s="125"/>
      <c r="C180" s="126" t="s">
        <v>384</v>
      </c>
      <c r="D180" s="126" t="s">
        <v>109</v>
      </c>
      <c r="E180" s="127" t="s">
        <v>385</v>
      </c>
      <c r="F180" s="128" t="s">
        <v>386</v>
      </c>
      <c r="G180" s="129" t="s">
        <v>148</v>
      </c>
      <c r="H180" s="130">
        <f>2.5*2.5</f>
        <v>6.25</v>
      </c>
      <c r="I180" s="131">
        <v>0</v>
      </c>
      <c r="J180" s="131">
        <f>ROUND(I180*H180,2)</f>
        <v>0</v>
      </c>
      <c r="K180" s="132"/>
      <c r="L180" s="29"/>
      <c r="M180" s="133" t="s">
        <v>1</v>
      </c>
      <c r="N180" s="134" t="s">
        <v>33</v>
      </c>
      <c r="O180" s="135">
        <v>0.22</v>
      </c>
      <c r="P180" s="135">
        <f>O180*H180</f>
        <v>1.375</v>
      </c>
      <c r="Q180" s="135">
        <v>0.0066</v>
      </c>
      <c r="R180" s="135">
        <f>Q180*H180</f>
        <v>0.04125</v>
      </c>
      <c r="S180" s="135">
        <v>0</v>
      </c>
      <c r="T180" s="136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Q180" s="137" t="s">
        <v>164</v>
      </c>
      <c r="AS180" s="137" t="s">
        <v>109</v>
      </c>
      <c r="AT180" s="137" t="s">
        <v>71</v>
      </c>
      <c r="AX180" s="16" t="s">
        <v>107</v>
      </c>
      <c r="BD180" s="138">
        <f>IF(N180="základní",J180,0)</f>
        <v>0</v>
      </c>
      <c r="BE180" s="138">
        <f>IF(N180="snížená",J180,0)</f>
        <v>0</v>
      </c>
      <c r="BF180" s="138">
        <f>IF(N180="zákl. přenesená",J180,0)</f>
        <v>0</v>
      </c>
      <c r="BG180" s="138">
        <f>IF(N180="sníž. přenesená",J180,0)</f>
        <v>0</v>
      </c>
      <c r="BH180" s="138">
        <f>IF(N180="nulová",J180,0)</f>
        <v>0</v>
      </c>
      <c r="BI180" s="16" t="s">
        <v>69</v>
      </c>
      <c r="BJ180" s="138">
        <f>ROUND(I180*H180,2)</f>
        <v>0</v>
      </c>
      <c r="BK180" s="16" t="s">
        <v>164</v>
      </c>
      <c r="BL180" s="137" t="s">
        <v>387</v>
      </c>
    </row>
    <row r="181" spans="2:50" s="14" customFormat="1" ht="12">
      <c r="B181" s="147"/>
      <c r="D181" s="140"/>
      <c r="E181" s="148" t="s">
        <v>1</v>
      </c>
      <c r="F181" s="149"/>
      <c r="H181" s="150"/>
      <c r="L181" s="147"/>
      <c r="M181" s="151"/>
      <c r="N181" s="152"/>
      <c r="O181" s="152"/>
      <c r="P181" s="152"/>
      <c r="Q181" s="152"/>
      <c r="R181" s="152"/>
      <c r="S181" s="152"/>
      <c r="T181" s="153"/>
      <c r="AS181" s="148" t="s">
        <v>115</v>
      </c>
      <c r="AT181" s="148" t="s">
        <v>71</v>
      </c>
      <c r="AU181" s="14" t="s">
        <v>113</v>
      </c>
      <c r="AV181" s="14" t="s">
        <v>25</v>
      </c>
      <c r="AW181" s="14" t="s">
        <v>69</v>
      </c>
      <c r="AX181" s="148" t="s">
        <v>107</v>
      </c>
    </row>
    <row r="182" spans="1:64" s="2" customFormat="1" ht="24.2" customHeight="1">
      <c r="A182" s="28"/>
      <c r="B182" s="125"/>
      <c r="C182" s="126" t="s">
        <v>388</v>
      </c>
      <c r="D182" s="126" t="s">
        <v>109</v>
      </c>
      <c r="E182" s="127" t="s">
        <v>389</v>
      </c>
      <c r="F182" s="128" t="s">
        <v>390</v>
      </c>
      <c r="G182" s="129" t="s">
        <v>235</v>
      </c>
      <c r="H182" s="130">
        <f>2.5+2.5+2.5</f>
        <v>7.5</v>
      </c>
      <c r="I182" s="131">
        <v>0</v>
      </c>
      <c r="J182" s="131">
        <f>ROUND(I182*H182,2)</f>
        <v>0</v>
      </c>
      <c r="K182" s="132"/>
      <c r="L182" s="29"/>
      <c r="M182" s="133" t="s">
        <v>1</v>
      </c>
      <c r="N182" s="134" t="s">
        <v>33</v>
      </c>
      <c r="O182" s="135">
        <v>0.281</v>
      </c>
      <c r="P182" s="135">
        <f>O182*H182</f>
        <v>2.1075000000000004</v>
      </c>
      <c r="Q182" s="135">
        <v>0.00127</v>
      </c>
      <c r="R182" s="135">
        <f>Q182*H182</f>
        <v>0.009525</v>
      </c>
      <c r="S182" s="135">
        <v>0</v>
      </c>
      <c r="T182" s="136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Q182" s="137" t="s">
        <v>164</v>
      </c>
      <c r="AS182" s="137" t="s">
        <v>109</v>
      </c>
      <c r="AT182" s="137" t="s">
        <v>71</v>
      </c>
      <c r="AX182" s="16" t="s">
        <v>107</v>
      </c>
      <c r="BD182" s="138">
        <f>IF(N182="základní",J182,0)</f>
        <v>0</v>
      </c>
      <c r="BE182" s="138">
        <f>IF(N182="snížená",J182,0)</f>
        <v>0</v>
      </c>
      <c r="BF182" s="138">
        <f>IF(N182="zákl. přenesená",J182,0)</f>
        <v>0</v>
      </c>
      <c r="BG182" s="138">
        <f>IF(N182="sníž. přenesená",J182,0)</f>
        <v>0</v>
      </c>
      <c r="BH182" s="138">
        <f>IF(N182="nulová",J182,0)</f>
        <v>0</v>
      </c>
      <c r="BI182" s="16" t="s">
        <v>69</v>
      </c>
      <c r="BJ182" s="138">
        <f>ROUND(I182*H182,2)</f>
        <v>0</v>
      </c>
      <c r="BK182" s="16" t="s">
        <v>164</v>
      </c>
      <c r="BL182" s="137" t="s">
        <v>391</v>
      </c>
    </row>
    <row r="183" spans="2:50" s="13" customFormat="1" ht="12">
      <c r="B183" s="139"/>
      <c r="D183" s="140"/>
      <c r="E183" s="141" t="s">
        <v>1</v>
      </c>
      <c r="F183" s="142"/>
      <c r="H183" s="143"/>
      <c r="L183" s="139"/>
      <c r="M183" s="144"/>
      <c r="N183" s="145"/>
      <c r="O183" s="145"/>
      <c r="P183" s="145"/>
      <c r="Q183" s="145"/>
      <c r="R183" s="145"/>
      <c r="S183" s="145"/>
      <c r="T183" s="146"/>
      <c r="AS183" s="141" t="s">
        <v>115</v>
      </c>
      <c r="AT183" s="141" t="s">
        <v>71</v>
      </c>
      <c r="AU183" s="13" t="s">
        <v>71</v>
      </c>
      <c r="AV183" s="13" t="s">
        <v>25</v>
      </c>
      <c r="AW183" s="13" t="s">
        <v>69</v>
      </c>
      <c r="AX183" s="141" t="s">
        <v>107</v>
      </c>
    </row>
    <row r="184" spans="1:64" s="2" customFormat="1" ht="24.2" customHeight="1">
      <c r="A184" s="28"/>
      <c r="B184" s="125"/>
      <c r="C184" s="126" t="s">
        <v>392</v>
      </c>
      <c r="D184" s="126" t="s">
        <v>109</v>
      </c>
      <c r="E184" s="127" t="s">
        <v>393</v>
      </c>
      <c r="F184" s="128" t="s">
        <v>394</v>
      </c>
      <c r="G184" s="129" t="s">
        <v>235</v>
      </c>
      <c r="H184" s="130">
        <v>2.55</v>
      </c>
      <c r="I184" s="131">
        <v>0</v>
      </c>
      <c r="J184" s="131">
        <f>ROUND(I184*H184,2)</f>
        <v>0</v>
      </c>
      <c r="K184" s="132"/>
      <c r="L184" s="29"/>
      <c r="M184" s="133" t="s">
        <v>1</v>
      </c>
      <c r="N184" s="134" t="s">
        <v>33</v>
      </c>
      <c r="O184" s="135">
        <v>0.204</v>
      </c>
      <c r="P184" s="135">
        <f>O184*H184</f>
        <v>0.5201999999999999</v>
      </c>
      <c r="Q184" s="135">
        <v>0.00169</v>
      </c>
      <c r="R184" s="135">
        <f>Q184*H184</f>
        <v>0.0043095</v>
      </c>
      <c r="S184" s="135">
        <v>0</v>
      </c>
      <c r="T184" s="136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Q184" s="137" t="s">
        <v>164</v>
      </c>
      <c r="AS184" s="137" t="s">
        <v>109</v>
      </c>
      <c r="AT184" s="137" t="s">
        <v>71</v>
      </c>
      <c r="AX184" s="16" t="s">
        <v>107</v>
      </c>
      <c r="BD184" s="138">
        <f>IF(N184="základní",J184,0)</f>
        <v>0</v>
      </c>
      <c r="BE184" s="138">
        <f>IF(N184="snížená",J184,0)</f>
        <v>0</v>
      </c>
      <c r="BF184" s="138">
        <f>IF(N184="zákl. přenesená",J184,0)</f>
        <v>0</v>
      </c>
      <c r="BG184" s="138">
        <f>IF(N184="sníž. přenesená",J184,0)</f>
        <v>0</v>
      </c>
      <c r="BH184" s="138">
        <f>IF(N184="nulová",J184,0)</f>
        <v>0</v>
      </c>
      <c r="BI184" s="16" t="s">
        <v>69</v>
      </c>
      <c r="BJ184" s="138">
        <f>ROUND(I184*H184,2)</f>
        <v>0</v>
      </c>
      <c r="BK184" s="16" t="s">
        <v>164</v>
      </c>
      <c r="BL184" s="137" t="s">
        <v>395</v>
      </c>
    </row>
    <row r="185" spans="1:64" s="2" customFormat="1" ht="24.2" customHeight="1">
      <c r="A185" s="28"/>
      <c r="B185" s="125"/>
      <c r="C185" s="126" t="s">
        <v>396</v>
      </c>
      <c r="D185" s="126" t="s">
        <v>109</v>
      </c>
      <c r="E185" s="127" t="s">
        <v>397</v>
      </c>
      <c r="F185" s="128" t="s">
        <v>398</v>
      </c>
      <c r="G185" s="129" t="s">
        <v>235</v>
      </c>
      <c r="H185" s="130">
        <v>9</v>
      </c>
      <c r="I185" s="131">
        <v>0</v>
      </c>
      <c r="J185" s="131">
        <f>ROUND(I185*H185,2)</f>
        <v>0</v>
      </c>
      <c r="K185" s="132"/>
      <c r="L185" s="29"/>
      <c r="M185" s="133" t="s">
        <v>1</v>
      </c>
      <c r="N185" s="134" t="s">
        <v>33</v>
      </c>
      <c r="O185" s="135">
        <v>0.334</v>
      </c>
      <c r="P185" s="135">
        <f>O185*H185</f>
        <v>3.0060000000000002</v>
      </c>
      <c r="Q185" s="135">
        <v>0.00217</v>
      </c>
      <c r="R185" s="135">
        <f>Q185*H185</f>
        <v>0.01953</v>
      </c>
      <c r="S185" s="135">
        <v>0</v>
      </c>
      <c r="T185" s="136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Q185" s="137" t="s">
        <v>164</v>
      </c>
      <c r="AS185" s="137" t="s">
        <v>109</v>
      </c>
      <c r="AT185" s="137" t="s">
        <v>71</v>
      </c>
      <c r="AX185" s="16" t="s">
        <v>107</v>
      </c>
      <c r="BD185" s="138">
        <f>IF(N185="základní",J185,0)</f>
        <v>0</v>
      </c>
      <c r="BE185" s="138">
        <f>IF(N185="snížená",J185,0)</f>
        <v>0</v>
      </c>
      <c r="BF185" s="138">
        <f>IF(N185="zákl. přenesená",J185,0)</f>
        <v>0</v>
      </c>
      <c r="BG185" s="138">
        <f>IF(N185="sníž. přenesená",J185,0)</f>
        <v>0</v>
      </c>
      <c r="BH185" s="138">
        <f>IF(N185="nulová",J185,0)</f>
        <v>0</v>
      </c>
      <c r="BI185" s="16" t="s">
        <v>69</v>
      </c>
      <c r="BJ185" s="138">
        <f>ROUND(I185*H185,2)</f>
        <v>0</v>
      </c>
      <c r="BK185" s="16" t="s">
        <v>164</v>
      </c>
      <c r="BL185" s="137" t="s">
        <v>399</v>
      </c>
    </row>
    <row r="186" spans="3:10" ht="56.25" customHeight="1">
      <c r="C186" s="126">
        <v>87</v>
      </c>
      <c r="D186" s="126" t="s">
        <v>487</v>
      </c>
      <c r="E186" s="127" t="s">
        <v>401</v>
      </c>
      <c r="F186" s="128" t="s">
        <v>492</v>
      </c>
      <c r="G186" s="129" t="s">
        <v>493</v>
      </c>
      <c r="H186" s="130">
        <v>1</v>
      </c>
      <c r="I186" s="131">
        <v>0</v>
      </c>
      <c r="J186" s="131">
        <f>ROUND(I186*H186,2)</f>
        <v>0</v>
      </c>
    </row>
    <row r="187" spans="1:64" s="2" customFormat="1" ht="24.2" customHeight="1">
      <c r="A187" s="28"/>
      <c r="B187" s="125"/>
      <c r="C187" s="126" t="s">
        <v>400</v>
      </c>
      <c r="D187" s="126" t="s">
        <v>109</v>
      </c>
      <c r="E187" s="127" t="s">
        <v>401</v>
      </c>
      <c r="F187" s="128" t="s">
        <v>402</v>
      </c>
      <c r="G187" s="129" t="s">
        <v>358</v>
      </c>
      <c r="H187" s="130">
        <v>160.017</v>
      </c>
      <c r="I187" s="131">
        <v>0</v>
      </c>
      <c r="J187" s="131">
        <f>ROUND(I187*H187,2)</f>
        <v>0</v>
      </c>
      <c r="K187" s="132"/>
      <c r="L187" s="29"/>
      <c r="M187" s="133" t="s">
        <v>1</v>
      </c>
      <c r="N187" s="134" t="s">
        <v>33</v>
      </c>
      <c r="O187" s="135">
        <v>0</v>
      </c>
      <c r="P187" s="135">
        <f>O187*H187</f>
        <v>0</v>
      </c>
      <c r="Q187" s="135">
        <v>0</v>
      </c>
      <c r="R187" s="135">
        <f>Q187*H187</f>
        <v>0</v>
      </c>
      <c r="S187" s="135">
        <v>0</v>
      </c>
      <c r="T187" s="136">
        <f>S187*H187</f>
        <v>0</v>
      </c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Q187" s="137" t="s">
        <v>164</v>
      </c>
      <c r="AS187" s="137" t="s">
        <v>109</v>
      </c>
      <c r="AT187" s="137" t="s">
        <v>71</v>
      </c>
      <c r="AX187" s="16" t="s">
        <v>107</v>
      </c>
      <c r="BD187" s="138">
        <f>IF(N187="základní",J187,0)</f>
        <v>0</v>
      </c>
      <c r="BE187" s="138">
        <f>IF(N187="snížená",J187,0)</f>
        <v>0</v>
      </c>
      <c r="BF187" s="138">
        <f>IF(N187="zákl. přenesená",J187,0)</f>
        <v>0</v>
      </c>
      <c r="BG187" s="138">
        <f>IF(N187="sníž. přenesená",J187,0)</f>
        <v>0</v>
      </c>
      <c r="BH187" s="138">
        <f>IF(N187="nulová",J187,0)</f>
        <v>0</v>
      </c>
      <c r="BI187" s="16" t="s">
        <v>69</v>
      </c>
      <c r="BJ187" s="138">
        <f>ROUND(I187*H187,2)</f>
        <v>0</v>
      </c>
      <c r="BK187" s="16" t="s">
        <v>164</v>
      </c>
      <c r="BL187" s="137" t="s">
        <v>403</v>
      </c>
    </row>
    <row r="188" ht="12">
      <c r="J188" s="195"/>
    </row>
    <row r="193" ht="12">
      <c r="F193" s="170"/>
    </row>
    <row r="194" ht="12">
      <c r="F194" s="170"/>
    </row>
    <row r="195" ht="12">
      <c r="F195" s="170"/>
    </row>
    <row r="196" ht="12">
      <c r="F196" s="170"/>
    </row>
    <row r="197" ht="12">
      <c r="F197" s="170"/>
    </row>
    <row r="198" ht="12">
      <c r="F198" s="170"/>
    </row>
  </sheetData>
  <autoFilter ref="C48:K187"/>
  <mergeCells count="7">
    <mergeCell ref="E39:H39"/>
    <mergeCell ref="E41:H41"/>
    <mergeCell ref="L2:U2"/>
    <mergeCell ref="E7:H7"/>
    <mergeCell ref="E9:H9"/>
    <mergeCell ref="E18:H18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79"/>
  <sheetViews>
    <sheetView showGridLines="0" zoomScale="145" zoomScaleNormal="145" workbookViewId="0" topLeftCell="A62">
      <selection activeCell="I78" sqref="I7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6.28125" style="1" customWidth="1"/>
    <col min="23" max="23" width="12.28125" style="1" customWidth="1"/>
    <col min="24" max="24" width="15.00390625" style="1" customWidth="1"/>
    <col min="25" max="25" width="11.00390625" style="1" customWidth="1"/>
    <col min="26" max="26" width="15.00390625" style="1" customWidth="1"/>
    <col min="27" max="27" width="16.28125" style="1" customWidth="1"/>
    <col min="28" max="28" width="11.00390625" style="1" customWidth="1"/>
    <col min="29" max="29" width="15.00390625" style="1" customWidth="1"/>
    <col min="30" max="30" width="16.28125" style="1" customWidth="1"/>
    <col min="43" max="64" width="9.28125" style="1" hidden="1" customWidth="1"/>
  </cols>
  <sheetData>
    <row r="1" ht="12"/>
    <row r="3" spans="1:30" s="2" customFormat="1" ht="6.95" customHeight="1">
      <c r="A3" s="28"/>
      <c r="B3" s="40"/>
      <c r="C3" s="41"/>
      <c r="D3" s="41"/>
      <c r="E3" s="41"/>
      <c r="F3" s="41"/>
      <c r="G3" s="41"/>
      <c r="H3" s="41"/>
      <c r="I3" s="41"/>
      <c r="J3" s="41"/>
      <c r="K3" s="41"/>
      <c r="L3" s="37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2" customFormat="1" ht="24.95" customHeight="1">
      <c r="A4" s="28"/>
      <c r="B4" s="29"/>
      <c r="C4" s="20" t="s">
        <v>82</v>
      </c>
      <c r="D4" s="28"/>
      <c r="E4" s="28"/>
      <c r="F4" s="28"/>
      <c r="G4" s="28"/>
      <c r="H4" s="28"/>
      <c r="I4" s="28"/>
      <c r="J4" s="28"/>
      <c r="K4" s="28"/>
      <c r="L4" s="3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2" customFormat="1" ht="6.95" customHeight="1">
      <c r="A5" s="28"/>
      <c r="B5" s="29"/>
      <c r="C5" s="28"/>
      <c r="D5" s="28"/>
      <c r="E5" s="28"/>
      <c r="F5" s="28"/>
      <c r="G5" s="28"/>
      <c r="H5" s="28"/>
      <c r="I5" s="28"/>
      <c r="J5" s="28"/>
      <c r="K5" s="28"/>
      <c r="L5" s="3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2" customFormat="1" ht="12" customHeight="1">
      <c r="A6" s="28"/>
      <c r="B6" s="29"/>
      <c r="C6" s="25" t="s">
        <v>14</v>
      </c>
      <c r="D6" s="28"/>
      <c r="E6" s="28"/>
      <c r="F6" s="28"/>
      <c r="G6" s="28"/>
      <c r="H6" s="28"/>
      <c r="I6" s="28"/>
      <c r="J6" s="28"/>
      <c r="K6" s="28"/>
      <c r="L6" s="37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s="2" customFormat="1" ht="16.5" customHeight="1">
      <c r="A7" s="28"/>
      <c r="B7" s="29"/>
      <c r="C7" s="28"/>
      <c r="D7" s="28"/>
      <c r="E7" s="233"/>
      <c r="F7" s="234"/>
      <c r="G7" s="234"/>
      <c r="H7" s="234"/>
      <c r="I7" s="28"/>
      <c r="J7" s="28"/>
      <c r="K7" s="28"/>
      <c r="L7" s="3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s="2" customFormat="1" ht="12" customHeight="1">
      <c r="A8" s="28"/>
      <c r="B8" s="29"/>
      <c r="C8" s="25" t="s">
        <v>80</v>
      </c>
      <c r="D8" s="28"/>
      <c r="E8" s="28"/>
      <c r="F8" s="28"/>
      <c r="G8" s="28"/>
      <c r="H8" s="28"/>
      <c r="I8" s="28"/>
      <c r="J8" s="28"/>
      <c r="K8" s="28"/>
      <c r="L8" s="3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2" customFormat="1" ht="16.5" customHeight="1">
      <c r="A9" s="28"/>
      <c r="B9" s="29"/>
      <c r="C9" s="28"/>
      <c r="D9" s="28"/>
      <c r="E9" s="197"/>
      <c r="F9" s="235"/>
      <c r="G9" s="235"/>
      <c r="H9" s="235"/>
      <c r="I9" s="28"/>
      <c r="J9" s="28"/>
      <c r="K9" s="28"/>
      <c r="L9" s="3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2" customFormat="1" ht="6.95" customHeigh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0" s="2" customFormat="1" ht="12" customHeight="1">
      <c r="A11" s="28"/>
      <c r="B11" s="29"/>
      <c r="C11" s="25" t="s">
        <v>17</v>
      </c>
      <c r="D11" s="28"/>
      <c r="E11" s="28"/>
      <c r="F11" s="23"/>
      <c r="G11" s="28"/>
      <c r="H11" s="28"/>
      <c r="I11" s="25" t="s">
        <v>18</v>
      </c>
      <c r="J11" s="46"/>
      <c r="K11" s="28"/>
      <c r="L11" s="3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s="2" customFormat="1" ht="6.95" customHeight="1">
      <c r="A12" s="28"/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3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30" s="2" customFormat="1" ht="25.7" customHeight="1">
      <c r="A13" s="28"/>
      <c r="B13" s="29"/>
      <c r="C13" s="25" t="s">
        <v>19</v>
      </c>
      <c r="D13" s="28"/>
      <c r="E13" s="28"/>
      <c r="F13" s="23"/>
      <c r="G13" s="28"/>
      <c r="H13" s="28"/>
      <c r="I13" s="25" t="s">
        <v>24</v>
      </c>
      <c r="J13" s="26"/>
      <c r="K13" s="28"/>
      <c r="L13" s="3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s="2" customFormat="1" ht="15.2" customHeight="1">
      <c r="A14" s="28"/>
      <c r="B14" s="29"/>
      <c r="C14" s="25" t="s">
        <v>22</v>
      </c>
      <c r="D14" s="28"/>
      <c r="E14" s="28"/>
      <c r="F14" s="23"/>
      <c r="G14" s="28"/>
      <c r="H14" s="28"/>
      <c r="I14" s="25" t="s">
        <v>26</v>
      </c>
      <c r="J14" s="26"/>
      <c r="K14" s="28"/>
      <c r="L14" s="3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s="2" customFormat="1" ht="10.35" customHeight="1">
      <c r="A15" s="28"/>
      <c r="B15" s="29"/>
      <c r="C15" s="28"/>
      <c r="D15" s="28"/>
      <c r="E15" s="28"/>
      <c r="F15" s="28"/>
      <c r="G15" s="28"/>
      <c r="H15" s="28"/>
      <c r="I15" s="28"/>
      <c r="J15" s="28"/>
      <c r="K15" s="28"/>
      <c r="L15" s="3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s="2" customFormat="1" ht="29.25" customHeight="1">
      <c r="A16" s="28"/>
      <c r="B16" s="29"/>
      <c r="C16" s="91" t="s">
        <v>83</v>
      </c>
      <c r="D16" s="90"/>
      <c r="E16" s="90"/>
      <c r="F16" s="90"/>
      <c r="G16" s="90"/>
      <c r="H16" s="90"/>
      <c r="I16" s="90"/>
      <c r="J16" s="92" t="s">
        <v>84</v>
      </c>
      <c r="K16" s="90"/>
      <c r="L16" s="3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s="2" customFormat="1" ht="10.3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</row>
    <row r="18" spans="1:46" s="2" customFormat="1" ht="22.9" customHeight="1">
      <c r="A18" s="28"/>
      <c r="B18" s="29"/>
      <c r="C18" s="93" t="s">
        <v>85</v>
      </c>
      <c r="D18" s="28"/>
      <c r="E18" s="28"/>
      <c r="F18" s="28"/>
      <c r="G18" s="28"/>
      <c r="H18" s="28"/>
      <c r="I18" s="28"/>
      <c r="J18" s="62">
        <f>J45</f>
        <v>0</v>
      </c>
      <c r="K18" s="28"/>
      <c r="L18" s="3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T18" s="16" t="s">
        <v>86</v>
      </c>
    </row>
    <row r="19" spans="2:12" s="9" customFormat="1" ht="24.95" customHeight="1">
      <c r="B19" s="94"/>
      <c r="D19" s="95" t="s">
        <v>87</v>
      </c>
      <c r="E19" s="96"/>
      <c r="F19" s="96"/>
      <c r="G19" s="96"/>
      <c r="H19" s="96"/>
      <c r="I19" s="96"/>
      <c r="J19" s="97">
        <f>J46</f>
        <v>0</v>
      </c>
      <c r="L19" s="94"/>
    </row>
    <row r="20" spans="2:12" s="10" customFormat="1" ht="19.9" customHeight="1">
      <c r="B20" s="98"/>
      <c r="D20" s="99" t="s">
        <v>88</v>
      </c>
      <c r="E20" s="100"/>
      <c r="F20" s="100"/>
      <c r="G20" s="100"/>
      <c r="H20" s="100"/>
      <c r="I20" s="100"/>
      <c r="J20" s="101">
        <f>J47</f>
        <v>0</v>
      </c>
      <c r="L20" s="98"/>
    </row>
    <row r="21" spans="2:12" s="10" customFormat="1" ht="19.9" customHeight="1">
      <c r="B21" s="98"/>
      <c r="D21" s="99" t="s">
        <v>423</v>
      </c>
      <c r="E21" s="100"/>
      <c r="F21" s="100"/>
      <c r="G21" s="100"/>
      <c r="H21" s="100"/>
      <c r="I21" s="100"/>
      <c r="J21" s="101">
        <f>J51</f>
        <v>0</v>
      </c>
      <c r="L21" s="98"/>
    </row>
    <row r="22" spans="2:12" s="10" customFormat="1" ht="19.9" customHeight="1">
      <c r="B22" s="98"/>
      <c r="D22" s="99" t="s">
        <v>89</v>
      </c>
      <c r="E22" s="100"/>
      <c r="F22" s="100"/>
      <c r="G22" s="100"/>
      <c r="H22" s="100"/>
      <c r="I22" s="100"/>
      <c r="J22" s="101">
        <f>J55</f>
        <v>0</v>
      </c>
      <c r="L22" s="98"/>
    </row>
    <row r="23" spans="2:12" s="10" customFormat="1" ht="19.9" customHeight="1">
      <c r="B23" s="98"/>
      <c r="D23" s="99" t="s">
        <v>90</v>
      </c>
      <c r="E23" s="100"/>
      <c r="F23" s="100"/>
      <c r="G23" s="100"/>
      <c r="H23" s="100"/>
      <c r="I23" s="100"/>
      <c r="J23" s="101">
        <f>J67</f>
        <v>0</v>
      </c>
      <c r="L23" s="98"/>
    </row>
    <row r="24" spans="2:12" s="10" customFormat="1" ht="14.85" customHeight="1">
      <c r="B24" s="98"/>
      <c r="D24" s="99" t="s">
        <v>424</v>
      </c>
      <c r="E24" s="100"/>
      <c r="F24" s="100"/>
      <c r="G24" s="100"/>
      <c r="H24" s="100"/>
      <c r="I24" s="100"/>
      <c r="J24" s="101">
        <f>J70</f>
        <v>0</v>
      </c>
      <c r="L24" s="98"/>
    </row>
    <row r="25" spans="2:12" s="10" customFormat="1" ht="19.9" customHeight="1">
      <c r="B25" s="98"/>
      <c r="D25" s="99" t="s">
        <v>91</v>
      </c>
      <c r="E25" s="100"/>
      <c r="F25" s="100"/>
      <c r="G25" s="100"/>
      <c r="H25" s="100"/>
      <c r="I25" s="100"/>
      <c r="J25" s="101">
        <f>J72</f>
        <v>0</v>
      </c>
      <c r="L25" s="98"/>
    </row>
    <row r="26" spans="1:30" s="2" customFormat="1" ht="21.7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1:30" s="2" customFormat="1" ht="6.95" customHeight="1">
      <c r="A27" s="28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7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31" spans="1:30" s="2" customFormat="1" ht="6.95" customHeight="1">
      <c r="A31" s="28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3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s="2" customFormat="1" ht="24.95" customHeight="1">
      <c r="A32" s="28"/>
      <c r="B32" s="29"/>
      <c r="C32" s="20" t="s">
        <v>92</v>
      </c>
      <c r="D32" s="28"/>
      <c r="E32" s="28"/>
      <c r="F32" s="28"/>
      <c r="G32" s="28"/>
      <c r="H32" s="28"/>
      <c r="I32" s="28"/>
      <c r="J32" s="28"/>
      <c r="K32" s="28"/>
      <c r="L32" s="3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s="2" customFormat="1" ht="6.95" customHeight="1">
      <c r="A33" s="28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3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s="2" customFormat="1" ht="12" customHeight="1">
      <c r="A34" s="28"/>
      <c r="B34" s="29"/>
      <c r="C34" s="25" t="s">
        <v>14</v>
      </c>
      <c r="D34" s="28"/>
      <c r="E34" s="28"/>
      <c r="F34" s="28"/>
      <c r="G34" s="28"/>
      <c r="H34" s="28"/>
      <c r="I34" s="28"/>
      <c r="J34" s="28"/>
      <c r="K34" s="28"/>
      <c r="L34" s="3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s="2" customFormat="1" ht="16.5" customHeight="1">
      <c r="A35" s="28"/>
      <c r="B35" s="29"/>
      <c r="C35" s="28"/>
      <c r="D35" s="28"/>
      <c r="E35" s="233"/>
      <c r="F35" s="234"/>
      <c r="G35" s="234"/>
      <c r="H35" s="234"/>
      <c r="I35" s="28"/>
      <c r="J35" s="28"/>
      <c r="K35" s="28"/>
      <c r="L35" s="3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s="2" customFormat="1" ht="12" customHeight="1">
      <c r="A36" s="28"/>
      <c r="B36" s="29"/>
      <c r="C36" s="25" t="s">
        <v>80</v>
      </c>
      <c r="D36" s="28"/>
      <c r="E36" s="28"/>
      <c r="F36" s="28"/>
      <c r="G36" s="28"/>
      <c r="H36" s="28"/>
      <c r="I36" s="28"/>
      <c r="J36" s="28"/>
      <c r="K36" s="28"/>
      <c r="L36" s="3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s="2" customFormat="1" ht="16.5" customHeight="1">
      <c r="A37" s="28"/>
      <c r="B37" s="29"/>
      <c r="C37" s="28"/>
      <c r="D37" s="28"/>
      <c r="E37" s="197"/>
      <c r="F37" s="235"/>
      <c r="G37" s="235"/>
      <c r="H37" s="235"/>
      <c r="I37" s="28"/>
      <c r="J37" s="28"/>
      <c r="K37" s="28"/>
      <c r="L37" s="3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s="2" customFormat="1" ht="12" customHeight="1">
      <c r="A39" s="28"/>
      <c r="B39" s="29"/>
      <c r="C39" s="25" t="s">
        <v>17</v>
      </c>
      <c r="D39" s="28"/>
      <c r="E39" s="28"/>
      <c r="F39" s="23"/>
      <c r="G39" s="28"/>
      <c r="H39" s="28"/>
      <c r="I39" s="25" t="s">
        <v>18</v>
      </c>
      <c r="J39" s="46"/>
      <c r="K39" s="28"/>
      <c r="L39" s="3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s="2" customFormat="1" ht="6.9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s="2" customFormat="1" ht="25.7" customHeight="1">
      <c r="A41" s="28"/>
      <c r="B41" s="29"/>
      <c r="C41" s="25" t="s">
        <v>19</v>
      </c>
      <c r="D41" s="28"/>
      <c r="E41" s="28"/>
      <c r="F41" s="23"/>
      <c r="G41" s="28"/>
      <c r="H41" s="28"/>
      <c r="I41" s="25" t="s">
        <v>24</v>
      </c>
      <c r="J41" s="26"/>
      <c r="K41" s="28"/>
      <c r="L41" s="3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s="2" customFormat="1" ht="15.2" customHeight="1">
      <c r="A42" s="28"/>
      <c r="B42" s="29"/>
      <c r="C42" s="25" t="s">
        <v>22</v>
      </c>
      <c r="D42" s="28"/>
      <c r="E42" s="28"/>
      <c r="F42" s="23"/>
      <c r="G42" s="28"/>
      <c r="H42" s="28"/>
      <c r="I42" s="25" t="s">
        <v>26</v>
      </c>
      <c r="J42" s="26"/>
      <c r="K42" s="28"/>
      <c r="L42" s="3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s="2" customFormat="1" ht="10.35" customHeight="1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3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s="11" customFormat="1" ht="29.25" customHeight="1">
      <c r="A44" s="102"/>
      <c r="B44" s="103"/>
      <c r="C44" s="104" t="s">
        <v>93</v>
      </c>
      <c r="D44" s="105" t="s">
        <v>46</v>
      </c>
      <c r="E44" s="105" t="s">
        <v>42</v>
      </c>
      <c r="F44" s="105" t="s">
        <v>43</v>
      </c>
      <c r="G44" s="105" t="s">
        <v>94</v>
      </c>
      <c r="H44" s="105" t="s">
        <v>95</v>
      </c>
      <c r="I44" s="105" t="s">
        <v>96</v>
      </c>
      <c r="J44" s="106" t="s">
        <v>84</v>
      </c>
      <c r="K44" s="107" t="s">
        <v>97</v>
      </c>
      <c r="L44" s="108"/>
      <c r="M44" s="53" t="s">
        <v>1</v>
      </c>
      <c r="N44" s="54" t="s">
        <v>32</v>
      </c>
      <c r="O44" s="54" t="s">
        <v>98</v>
      </c>
      <c r="P44" s="54" t="s">
        <v>99</v>
      </c>
      <c r="Q44" s="54" t="s">
        <v>100</v>
      </c>
      <c r="R44" s="54" t="s">
        <v>101</v>
      </c>
      <c r="S44" s="54" t="s">
        <v>102</v>
      </c>
      <c r="T44" s="55" t="s">
        <v>103</v>
      </c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</row>
    <row r="45" spans="1:62" s="2" customFormat="1" ht="22.9" customHeight="1">
      <c r="A45" s="28"/>
      <c r="B45" s="29"/>
      <c r="C45" s="60" t="s">
        <v>104</v>
      </c>
      <c r="D45" s="28"/>
      <c r="E45" s="28"/>
      <c r="F45" s="28"/>
      <c r="G45" s="28"/>
      <c r="H45" s="28"/>
      <c r="I45" s="28"/>
      <c r="J45" s="109">
        <f>BJ45</f>
        <v>0</v>
      </c>
      <c r="K45" s="28"/>
      <c r="L45" s="29"/>
      <c r="M45" s="56"/>
      <c r="N45" s="47"/>
      <c r="O45" s="57"/>
      <c r="P45" s="110">
        <f>P46</f>
        <v>49.139996000000004</v>
      </c>
      <c r="Q45" s="57"/>
      <c r="R45" s="110">
        <f>R46</f>
        <v>19.009089839999998</v>
      </c>
      <c r="S45" s="57"/>
      <c r="T45" s="111">
        <f>T46</f>
        <v>9.95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S45" s="16" t="s">
        <v>60</v>
      </c>
      <c r="AT45" s="16" t="s">
        <v>86</v>
      </c>
      <c r="BJ45" s="112">
        <f>BJ46</f>
        <v>0</v>
      </c>
    </row>
    <row r="46" spans="2:62" s="12" customFormat="1" ht="25.9" customHeight="1">
      <c r="B46" s="113"/>
      <c r="D46" s="114" t="s">
        <v>60</v>
      </c>
      <c r="E46" s="115" t="s">
        <v>105</v>
      </c>
      <c r="F46" s="115" t="s">
        <v>106</v>
      </c>
      <c r="J46" s="116">
        <f>J47+J51+J55+J67+J70+J72</f>
        <v>0</v>
      </c>
      <c r="L46" s="113"/>
      <c r="M46" s="117"/>
      <c r="N46" s="118"/>
      <c r="O46" s="118"/>
      <c r="P46" s="119">
        <f>P47+P51+P55+P67+P72</f>
        <v>49.139996000000004</v>
      </c>
      <c r="Q46" s="118"/>
      <c r="R46" s="119">
        <f>R47+R51+R55+R67+R72</f>
        <v>19.009089839999998</v>
      </c>
      <c r="S46" s="118"/>
      <c r="T46" s="120">
        <f>T47+T51+T55+T67+T72</f>
        <v>9.95</v>
      </c>
      <c r="AQ46" s="114" t="s">
        <v>69</v>
      </c>
      <c r="AS46" s="121" t="s">
        <v>60</v>
      </c>
      <c r="AT46" s="121" t="s">
        <v>61</v>
      </c>
      <c r="AX46" s="114" t="s">
        <v>107</v>
      </c>
      <c r="BJ46" s="122">
        <f>BJ47+BJ51+BJ55+BJ67+BJ72</f>
        <v>0</v>
      </c>
    </row>
    <row r="47" spans="2:62" s="12" customFormat="1" ht="22.9" customHeight="1">
      <c r="B47" s="113"/>
      <c r="D47" s="114" t="s">
        <v>60</v>
      </c>
      <c r="E47" s="123" t="s">
        <v>69</v>
      </c>
      <c r="F47" s="123" t="s">
        <v>108</v>
      </c>
      <c r="J47" s="124">
        <f>SUM(J48:J49)</f>
        <v>0</v>
      </c>
      <c r="L47" s="113"/>
      <c r="M47" s="117"/>
      <c r="N47" s="118"/>
      <c r="O47" s="118"/>
      <c r="P47" s="119">
        <f>SUM(P48:P50)</f>
        <v>17</v>
      </c>
      <c r="Q47" s="118"/>
      <c r="R47" s="119">
        <f>SUM(R48:R50)</f>
        <v>0</v>
      </c>
      <c r="S47" s="118"/>
      <c r="T47" s="120">
        <f>SUM(T48:T50)</f>
        <v>9.95</v>
      </c>
      <c r="AQ47" s="114" t="s">
        <v>69</v>
      </c>
      <c r="AS47" s="121" t="s">
        <v>60</v>
      </c>
      <c r="AT47" s="121" t="s">
        <v>69</v>
      </c>
      <c r="AX47" s="114" t="s">
        <v>107</v>
      </c>
      <c r="BJ47" s="122">
        <f>SUM(BJ48:BJ50)</f>
        <v>0</v>
      </c>
    </row>
    <row r="48" spans="1:64" s="2" customFormat="1" ht="24.2" customHeight="1">
      <c r="A48" s="28"/>
      <c r="B48" s="125"/>
      <c r="C48" s="126" t="s">
        <v>69</v>
      </c>
      <c r="D48" s="126" t="s">
        <v>109</v>
      </c>
      <c r="E48" s="127" t="s">
        <v>425</v>
      </c>
      <c r="F48" s="128" t="s">
        <v>426</v>
      </c>
      <c r="G48" s="129" t="s">
        <v>148</v>
      </c>
      <c r="H48" s="130">
        <f>5*5</f>
        <v>25</v>
      </c>
      <c r="I48" s="131">
        <v>0</v>
      </c>
      <c r="J48" s="131">
        <f>ROUND(I48*H48,2)</f>
        <v>0</v>
      </c>
      <c r="K48" s="132"/>
      <c r="L48" s="29"/>
      <c r="M48" s="133" t="s">
        <v>1</v>
      </c>
      <c r="N48" s="134" t="s">
        <v>33</v>
      </c>
      <c r="O48" s="135">
        <v>0.46</v>
      </c>
      <c r="P48" s="135">
        <f>O48*H48</f>
        <v>11.5</v>
      </c>
      <c r="Q48" s="135">
        <v>0</v>
      </c>
      <c r="R48" s="135">
        <f>Q48*H48</f>
        <v>0</v>
      </c>
      <c r="S48" s="135">
        <v>0.3</v>
      </c>
      <c r="T48" s="136">
        <f>S48*H48</f>
        <v>7.5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Q48" s="137" t="s">
        <v>113</v>
      </c>
      <c r="AS48" s="137" t="s">
        <v>109</v>
      </c>
      <c r="AT48" s="137" t="s">
        <v>71</v>
      </c>
      <c r="AX48" s="16" t="s">
        <v>107</v>
      </c>
      <c r="BD48" s="138">
        <f>IF(N48="základní",J48,0)</f>
        <v>0</v>
      </c>
      <c r="BE48" s="138">
        <f>IF(N48="snížená",J48,0)</f>
        <v>0</v>
      </c>
      <c r="BF48" s="138">
        <f>IF(N48="zákl. přenesená",J48,0)</f>
        <v>0</v>
      </c>
      <c r="BG48" s="138">
        <f>IF(N48="sníž. přenesená",J48,0)</f>
        <v>0</v>
      </c>
      <c r="BH48" s="138">
        <f>IF(N48="nulová",J48,0)</f>
        <v>0</v>
      </c>
      <c r="BI48" s="16" t="s">
        <v>69</v>
      </c>
      <c r="BJ48" s="138">
        <f>ROUND(I48*H48,2)</f>
        <v>0</v>
      </c>
      <c r="BK48" s="16" t="s">
        <v>113</v>
      </c>
      <c r="BL48" s="137" t="s">
        <v>427</v>
      </c>
    </row>
    <row r="49" spans="1:64" s="2" customFormat="1" ht="16.5" customHeight="1">
      <c r="A49" s="28"/>
      <c r="B49" s="125"/>
      <c r="C49" s="126" t="s">
        <v>71</v>
      </c>
      <c r="D49" s="126" t="s">
        <v>109</v>
      </c>
      <c r="E49" s="127" t="s">
        <v>428</v>
      </c>
      <c r="F49" s="128" t="s">
        <v>429</v>
      </c>
      <c r="G49" s="129" t="s">
        <v>148</v>
      </c>
      <c r="H49" s="130">
        <v>25</v>
      </c>
      <c r="I49" s="131">
        <v>0</v>
      </c>
      <c r="J49" s="131">
        <f>ROUND(I49*H49,2)</f>
        <v>0</v>
      </c>
      <c r="K49" s="132"/>
      <c r="L49" s="29"/>
      <c r="M49" s="133" t="s">
        <v>1</v>
      </c>
      <c r="N49" s="134" t="s">
        <v>33</v>
      </c>
      <c r="O49" s="135">
        <v>0.22</v>
      </c>
      <c r="P49" s="135">
        <f>O49*H49</f>
        <v>5.5</v>
      </c>
      <c r="Q49" s="135">
        <v>0</v>
      </c>
      <c r="R49" s="135">
        <f>Q49*H49</f>
        <v>0</v>
      </c>
      <c r="S49" s="135">
        <v>0.098</v>
      </c>
      <c r="T49" s="136">
        <f>S49*H49</f>
        <v>2.45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Q49" s="137" t="s">
        <v>113</v>
      </c>
      <c r="AS49" s="137" t="s">
        <v>109</v>
      </c>
      <c r="AT49" s="137" t="s">
        <v>71</v>
      </c>
      <c r="AX49" s="16" t="s">
        <v>107</v>
      </c>
      <c r="BD49" s="138">
        <f>IF(N49="základní",J49,0)</f>
        <v>0</v>
      </c>
      <c r="BE49" s="138">
        <f>IF(N49="snížená",J49,0)</f>
        <v>0</v>
      </c>
      <c r="BF49" s="138">
        <f>IF(N49="zákl. přenesená",J49,0)</f>
        <v>0</v>
      </c>
      <c r="BG49" s="138">
        <f>IF(N49="sníž. přenesená",J49,0)</f>
        <v>0</v>
      </c>
      <c r="BH49" s="138">
        <f>IF(N49="nulová",J49,0)</f>
        <v>0</v>
      </c>
      <c r="BI49" s="16" t="s">
        <v>69</v>
      </c>
      <c r="BJ49" s="138">
        <f>ROUND(I49*H49,2)</f>
        <v>0</v>
      </c>
      <c r="BK49" s="16" t="s">
        <v>113</v>
      </c>
      <c r="BL49" s="137" t="s">
        <v>430</v>
      </c>
    </row>
    <row r="50" spans="2:50" s="13" customFormat="1" ht="12">
      <c r="B50" s="139"/>
      <c r="D50" s="140" t="s">
        <v>115</v>
      </c>
      <c r="E50" s="141" t="s">
        <v>1</v>
      </c>
      <c r="F50" s="142"/>
      <c r="H50" s="143"/>
      <c r="L50" s="139"/>
      <c r="M50" s="144"/>
      <c r="N50" s="145"/>
      <c r="O50" s="145"/>
      <c r="P50" s="145"/>
      <c r="Q50" s="145"/>
      <c r="R50" s="145"/>
      <c r="S50" s="145"/>
      <c r="T50" s="146"/>
      <c r="AS50" s="141" t="s">
        <v>115</v>
      </c>
      <c r="AT50" s="141" t="s">
        <v>71</v>
      </c>
      <c r="AU50" s="13" t="s">
        <v>71</v>
      </c>
      <c r="AV50" s="13" t="s">
        <v>25</v>
      </c>
      <c r="AW50" s="13" t="s">
        <v>69</v>
      </c>
      <c r="AX50" s="141" t="s">
        <v>107</v>
      </c>
    </row>
    <row r="51" spans="2:62" s="12" customFormat="1" ht="22.9" customHeight="1">
      <c r="B51" s="113"/>
      <c r="D51" s="114" t="s">
        <v>60</v>
      </c>
      <c r="E51" s="123" t="s">
        <v>124</v>
      </c>
      <c r="F51" s="123" t="s">
        <v>431</v>
      </c>
      <c r="J51" s="124">
        <f>SUM(J52:J54)</f>
        <v>0</v>
      </c>
      <c r="L51" s="113"/>
      <c r="M51" s="117"/>
      <c r="N51" s="118"/>
      <c r="O51" s="118"/>
      <c r="P51" s="119">
        <f>SUM(P52:P54)</f>
        <v>13.725</v>
      </c>
      <c r="Q51" s="118"/>
      <c r="R51" s="119">
        <f>SUM(R52:R54)</f>
        <v>15.219</v>
      </c>
      <c r="S51" s="118"/>
      <c r="T51" s="120">
        <f>SUM(T52:T54)</f>
        <v>0</v>
      </c>
      <c r="AQ51" s="114" t="s">
        <v>69</v>
      </c>
      <c r="AS51" s="121" t="s">
        <v>60</v>
      </c>
      <c r="AT51" s="121" t="s">
        <v>69</v>
      </c>
      <c r="AX51" s="114" t="s">
        <v>107</v>
      </c>
      <c r="BJ51" s="122">
        <f>SUM(BJ52:BJ54)</f>
        <v>0</v>
      </c>
    </row>
    <row r="52" spans="1:64" s="2" customFormat="1" ht="24.2" customHeight="1">
      <c r="A52" s="28"/>
      <c r="B52" s="125"/>
      <c r="C52" s="126" t="s">
        <v>116</v>
      </c>
      <c r="D52" s="126" t="s">
        <v>109</v>
      </c>
      <c r="E52" s="127" t="s">
        <v>432</v>
      </c>
      <c r="F52" s="128" t="s">
        <v>433</v>
      </c>
      <c r="G52" s="129" t="s">
        <v>148</v>
      </c>
      <c r="H52" s="130">
        <v>25</v>
      </c>
      <c r="I52" s="131">
        <v>0</v>
      </c>
      <c r="J52" s="131">
        <f>ROUND(I52*H52,2)</f>
        <v>0</v>
      </c>
      <c r="K52" s="132"/>
      <c r="L52" s="29"/>
      <c r="M52" s="133" t="s">
        <v>1</v>
      </c>
      <c r="N52" s="134" t="s">
        <v>33</v>
      </c>
      <c r="O52" s="135">
        <v>0.175</v>
      </c>
      <c r="P52" s="135">
        <f>O52*H52</f>
        <v>4.375</v>
      </c>
      <c r="Q52" s="135">
        <v>0.345</v>
      </c>
      <c r="R52" s="135">
        <f>Q52*H52</f>
        <v>8.625</v>
      </c>
      <c r="S52" s="135">
        <v>0</v>
      </c>
      <c r="T52" s="136">
        <f>S52*H52</f>
        <v>0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Q52" s="137" t="s">
        <v>113</v>
      </c>
      <c r="AS52" s="137" t="s">
        <v>109</v>
      </c>
      <c r="AT52" s="137" t="s">
        <v>71</v>
      </c>
      <c r="AX52" s="16" t="s">
        <v>107</v>
      </c>
      <c r="BD52" s="138">
        <f>IF(N52="základní",J52,0)</f>
        <v>0</v>
      </c>
      <c r="BE52" s="138">
        <f>IF(N52="snížená",J52,0)</f>
        <v>0</v>
      </c>
      <c r="BF52" s="138">
        <f>IF(N52="zákl. přenesená",J52,0)</f>
        <v>0</v>
      </c>
      <c r="BG52" s="138">
        <f>IF(N52="sníž. přenesená",J52,0)</f>
        <v>0</v>
      </c>
      <c r="BH52" s="138">
        <f>IF(N52="nulová",J52,0)</f>
        <v>0</v>
      </c>
      <c r="BI52" s="16" t="s">
        <v>69</v>
      </c>
      <c r="BJ52" s="138">
        <f>ROUND(I52*H52,2)</f>
        <v>0</v>
      </c>
      <c r="BK52" s="16" t="s">
        <v>113</v>
      </c>
      <c r="BL52" s="137" t="s">
        <v>434</v>
      </c>
    </row>
    <row r="53" spans="2:50" s="13" customFormat="1" ht="12">
      <c r="B53" s="139"/>
      <c r="D53" s="140" t="s">
        <v>115</v>
      </c>
      <c r="E53" s="141" t="s">
        <v>1</v>
      </c>
      <c r="F53" s="142"/>
      <c r="H53" s="143"/>
      <c r="L53" s="139"/>
      <c r="M53" s="144"/>
      <c r="N53" s="145"/>
      <c r="O53" s="145"/>
      <c r="P53" s="145"/>
      <c r="Q53" s="145"/>
      <c r="R53" s="145"/>
      <c r="S53" s="145"/>
      <c r="T53" s="146"/>
      <c r="AS53" s="141" t="s">
        <v>115</v>
      </c>
      <c r="AT53" s="141" t="s">
        <v>71</v>
      </c>
      <c r="AU53" s="13" t="s">
        <v>71</v>
      </c>
      <c r="AV53" s="13" t="s">
        <v>25</v>
      </c>
      <c r="AW53" s="13" t="s">
        <v>69</v>
      </c>
      <c r="AX53" s="141" t="s">
        <v>107</v>
      </c>
    </row>
    <row r="54" spans="1:64" s="2" customFormat="1" ht="37.9" customHeight="1">
      <c r="A54" s="28"/>
      <c r="B54" s="125"/>
      <c r="C54" s="126" t="s">
        <v>113</v>
      </c>
      <c r="D54" s="126" t="s">
        <v>109</v>
      </c>
      <c r="E54" s="127" t="s">
        <v>435</v>
      </c>
      <c r="F54" s="128" t="s">
        <v>436</v>
      </c>
      <c r="G54" s="129" t="s">
        <v>148</v>
      </c>
      <c r="H54" s="130">
        <v>25</v>
      </c>
      <c r="I54" s="131">
        <v>0</v>
      </c>
      <c r="J54" s="131">
        <f>ROUND(I54*H54,2)</f>
        <v>0</v>
      </c>
      <c r="K54" s="132"/>
      <c r="L54" s="29"/>
      <c r="M54" s="133" t="s">
        <v>1</v>
      </c>
      <c r="N54" s="134" t="s">
        <v>33</v>
      </c>
      <c r="O54" s="135">
        <v>0.374</v>
      </c>
      <c r="P54" s="135">
        <f>O54*H54</f>
        <v>9.35</v>
      </c>
      <c r="Q54" s="135">
        <v>0.26376</v>
      </c>
      <c r="R54" s="135">
        <f>Q54*H54</f>
        <v>6.593999999999999</v>
      </c>
      <c r="S54" s="135">
        <v>0</v>
      </c>
      <c r="T54" s="136">
        <f>S54*H54</f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Q54" s="137" t="s">
        <v>113</v>
      </c>
      <c r="AS54" s="137" t="s">
        <v>109</v>
      </c>
      <c r="AT54" s="137" t="s">
        <v>71</v>
      </c>
      <c r="AX54" s="16" t="s">
        <v>107</v>
      </c>
      <c r="BD54" s="138">
        <f>IF(N54="základní",J54,0)</f>
        <v>0</v>
      </c>
      <c r="BE54" s="138">
        <f>IF(N54="snížená",J54,0)</f>
        <v>0</v>
      </c>
      <c r="BF54" s="138">
        <f>IF(N54="zákl. přenesená",J54,0)</f>
        <v>0</v>
      </c>
      <c r="BG54" s="138">
        <f>IF(N54="sníž. přenesená",J54,0)</f>
        <v>0</v>
      </c>
      <c r="BH54" s="138">
        <f>IF(N54="nulová",J54,0)</f>
        <v>0</v>
      </c>
      <c r="BI54" s="16" t="s">
        <v>69</v>
      </c>
      <c r="BJ54" s="138">
        <f>ROUND(I54*H54,2)</f>
        <v>0</v>
      </c>
      <c r="BK54" s="16" t="s">
        <v>113</v>
      </c>
      <c r="BL54" s="137" t="s">
        <v>437</v>
      </c>
    </row>
    <row r="55" spans="2:62" s="12" customFormat="1" ht="22.9" customHeight="1">
      <c r="B55" s="113"/>
      <c r="D55" s="114" t="s">
        <v>60</v>
      </c>
      <c r="E55" s="123" t="s">
        <v>128</v>
      </c>
      <c r="F55" s="123" t="s">
        <v>211</v>
      </c>
      <c r="J55" s="124">
        <f>SUM(J56:J65)</f>
        <v>0</v>
      </c>
      <c r="L55" s="113"/>
      <c r="M55" s="117"/>
      <c r="N55" s="118"/>
      <c r="O55" s="118"/>
      <c r="P55" s="119">
        <f>SUM(P56:P66)</f>
        <v>6.639642000000001</v>
      </c>
      <c r="Q55" s="118"/>
      <c r="R55" s="119">
        <f>SUM(R56:R66)</f>
        <v>3.7900898399999994</v>
      </c>
      <c r="S55" s="118"/>
      <c r="T55" s="120">
        <f>SUM(T56:T66)</f>
        <v>0</v>
      </c>
      <c r="AQ55" s="114" t="s">
        <v>69</v>
      </c>
      <c r="AS55" s="121" t="s">
        <v>60</v>
      </c>
      <c r="AT55" s="121" t="s">
        <v>69</v>
      </c>
      <c r="AX55" s="114" t="s">
        <v>107</v>
      </c>
      <c r="BJ55" s="122">
        <f>SUM(BJ56:BJ66)</f>
        <v>0</v>
      </c>
    </row>
    <row r="56" spans="1:64" s="2" customFormat="1" ht="33" customHeight="1">
      <c r="A56" s="28"/>
      <c r="B56" s="125"/>
      <c r="C56" s="126" t="s">
        <v>124</v>
      </c>
      <c r="D56" s="126" t="s">
        <v>109</v>
      </c>
      <c r="E56" s="127" t="s">
        <v>438</v>
      </c>
      <c r="F56" s="128" t="s">
        <v>439</v>
      </c>
      <c r="G56" s="129" t="s">
        <v>112</v>
      </c>
      <c r="H56" s="130">
        <v>1.5</v>
      </c>
      <c r="I56" s="131">
        <v>0</v>
      </c>
      <c r="J56" s="131">
        <f>ROUND(I56*H56,2)</f>
        <v>0</v>
      </c>
      <c r="K56" s="132"/>
      <c r="L56" s="29"/>
      <c r="M56" s="133" t="s">
        <v>1</v>
      </c>
      <c r="N56" s="134" t="s">
        <v>33</v>
      </c>
      <c r="O56" s="135">
        <v>2.317</v>
      </c>
      <c r="P56" s="135">
        <f>O56*H56</f>
        <v>3.4755000000000003</v>
      </c>
      <c r="Q56" s="135">
        <v>2.50187</v>
      </c>
      <c r="R56" s="135">
        <f>Q56*H56</f>
        <v>3.7528049999999995</v>
      </c>
      <c r="S56" s="135">
        <v>0</v>
      </c>
      <c r="T56" s="136">
        <f>S56*H56</f>
        <v>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Q56" s="137" t="s">
        <v>113</v>
      </c>
      <c r="AS56" s="137" t="s">
        <v>109</v>
      </c>
      <c r="AT56" s="137" t="s">
        <v>71</v>
      </c>
      <c r="AX56" s="16" t="s">
        <v>107</v>
      </c>
      <c r="BD56" s="138">
        <f>IF(N56="základní",J56,0)</f>
        <v>0</v>
      </c>
      <c r="BE56" s="138">
        <f>IF(N56="snížená",J56,0)</f>
        <v>0</v>
      </c>
      <c r="BF56" s="138">
        <f>IF(N56="zákl. přenesená",J56,0)</f>
        <v>0</v>
      </c>
      <c r="BG56" s="138">
        <f>IF(N56="sníž. přenesená",J56,0)</f>
        <v>0</v>
      </c>
      <c r="BH56" s="138">
        <f>IF(N56="nulová",J56,0)</f>
        <v>0</v>
      </c>
      <c r="BI56" s="16" t="s">
        <v>69</v>
      </c>
      <c r="BJ56" s="138">
        <f>ROUND(I56*H56,2)</f>
        <v>0</v>
      </c>
      <c r="BK56" s="16" t="s">
        <v>113</v>
      </c>
      <c r="BL56" s="137" t="s">
        <v>440</v>
      </c>
    </row>
    <row r="57" spans="2:50" s="13" customFormat="1" ht="12">
      <c r="B57" s="139"/>
      <c r="D57" s="140" t="s">
        <v>115</v>
      </c>
      <c r="E57" s="141" t="s">
        <v>1</v>
      </c>
      <c r="F57" s="142"/>
      <c r="H57" s="143"/>
      <c r="L57" s="139"/>
      <c r="M57" s="144"/>
      <c r="N57" s="145"/>
      <c r="O57" s="145"/>
      <c r="P57" s="145"/>
      <c r="Q57" s="145"/>
      <c r="R57" s="145"/>
      <c r="S57" s="145"/>
      <c r="T57" s="146"/>
      <c r="AS57" s="141" t="s">
        <v>115</v>
      </c>
      <c r="AT57" s="141" t="s">
        <v>71</v>
      </c>
      <c r="AU57" s="13" t="s">
        <v>71</v>
      </c>
      <c r="AV57" s="13" t="s">
        <v>25</v>
      </c>
      <c r="AW57" s="13" t="s">
        <v>69</v>
      </c>
      <c r="AX57" s="141" t="s">
        <v>107</v>
      </c>
    </row>
    <row r="58" spans="1:64" s="2" customFormat="1" ht="24.2" customHeight="1">
      <c r="A58" s="28"/>
      <c r="B58" s="125"/>
      <c r="C58" s="126" t="s">
        <v>128</v>
      </c>
      <c r="D58" s="126" t="s">
        <v>109</v>
      </c>
      <c r="E58" s="127" t="s">
        <v>441</v>
      </c>
      <c r="F58" s="128" t="s">
        <v>442</v>
      </c>
      <c r="G58" s="129" t="s">
        <v>112</v>
      </c>
      <c r="H58" s="130">
        <v>1.5</v>
      </c>
      <c r="I58" s="131">
        <v>0</v>
      </c>
      <c r="J58" s="131">
        <f>ROUND(I58*H58,2)</f>
        <v>0</v>
      </c>
      <c r="K58" s="132"/>
      <c r="L58" s="29"/>
      <c r="M58" s="133" t="s">
        <v>1</v>
      </c>
      <c r="N58" s="134" t="s">
        <v>33</v>
      </c>
      <c r="O58" s="135">
        <v>0.675</v>
      </c>
      <c r="P58" s="135">
        <f>O58*H58</f>
        <v>1.0125000000000002</v>
      </c>
      <c r="Q58" s="135">
        <v>0</v>
      </c>
      <c r="R58" s="135">
        <f>Q58*H58</f>
        <v>0</v>
      </c>
      <c r="S58" s="135">
        <v>0</v>
      </c>
      <c r="T58" s="136">
        <f>S58*H58</f>
        <v>0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  <c r="AQ58" s="137" t="s">
        <v>113</v>
      </c>
      <c r="AS58" s="137" t="s">
        <v>109</v>
      </c>
      <c r="AT58" s="137" t="s">
        <v>71</v>
      </c>
      <c r="AX58" s="16" t="s">
        <v>107</v>
      </c>
      <c r="BD58" s="138">
        <f>IF(N58="základní",J58,0)</f>
        <v>0</v>
      </c>
      <c r="BE58" s="138">
        <f>IF(N58="snížená",J58,0)</f>
        <v>0</v>
      </c>
      <c r="BF58" s="138">
        <f>IF(N58="zákl. přenesená",J58,0)</f>
        <v>0</v>
      </c>
      <c r="BG58" s="138">
        <f>IF(N58="sníž. přenesená",J58,0)</f>
        <v>0</v>
      </c>
      <c r="BH58" s="138">
        <f>IF(N58="nulová",J58,0)</f>
        <v>0</v>
      </c>
      <c r="BI58" s="16" t="s">
        <v>69</v>
      </c>
      <c r="BJ58" s="138">
        <f>ROUND(I58*H58,2)</f>
        <v>0</v>
      </c>
      <c r="BK58" s="16" t="s">
        <v>113</v>
      </c>
      <c r="BL58" s="137" t="s">
        <v>443</v>
      </c>
    </row>
    <row r="59" spans="1:64" s="2" customFormat="1" ht="24.2" customHeight="1">
      <c r="A59" s="28"/>
      <c r="B59" s="125"/>
      <c r="C59" s="126" t="s">
        <v>132</v>
      </c>
      <c r="D59" s="126" t="s">
        <v>109</v>
      </c>
      <c r="E59" s="127" t="s">
        <v>444</v>
      </c>
      <c r="F59" s="128" t="s">
        <v>445</v>
      </c>
      <c r="G59" s="129" t="s">
        <v>112</v>
      </c>
      <c r="H59" s="130">
        <v>1.5</v>
      </c>
      <c r="I59" s="131">
        <v>0</v>
      </c>
      <c r="J59" s="131">
        <f>ROUND(I59*H59,2)</f>
        <v>0</v>
      </c>
      <c r="K59" s="132"/>
      <c r="L59" s="29"/>
      <c r="M59" s="133" t="s">
        <v>1</v>
      </c>
      <c r="N59" s="134" t="s">
        <v>33</v>
      </c>
      <c r="O59" s="135">
        <v>0.675</v>
      </c>
      <c r="P59" s="135">
        <f>O59*H59</f>
        <v>1.0125000000000002</v>
      </c>
      <c r="Q59" s="135">
        <v>0.01</v>
      </c>
      <c r="R59" s="135">
        <f>Q59*H59</f>
        <v>0.015</v>
      </c>
      <c r="S59" s="135">
        <v>0</v>
      </c>
      <c r="T59" s="136">
        <f>S59*H59</f>
        <v>0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  <c r="AQ59" s="137" t="s">
        <v>113</v>
      </c>
      <c r="AS59" s="137" t="s">
        <v>109</v>
      </c>
      <c r="AT59" s="137" t="s">
        <v>71</v>
      </c>
      <c r="AX59" s="16" t="s">
        <v>107</v>
      </c>
      <c r="BD59" s="138">
        <f>IF(N59="základní",J59,0)</f>
        <v>0</v>
      </c>
      <c r="BE59" s="138">
        <f>IF(N59="snížená",J59,0)</f>
        <v>0</v>
      </c>
      <c r="BF59" s="138">
        <f>IF(N59="zákl. přenesená",J59,0)</f>
        <v>0</v>
      </c>
      <c r="BG59" s="138">
        <f>IF(N59="sníž. přenesená",J59,0)</f>
        <v>0</v>
      </c>
      <c r="BH59" s="138">
        <f>IF(N59="nulová",J59,0)</f>
        <v>0</v>
      </c>
      <c r="BI59" s="16" t="s">
        <v>69</v>
      </c>
      <c r="BJ59" s="138">
        <f>ROUND(I59*H59,2)</f>
        <v>0</v>
      </c>
      <c r="BK59" s="16" t="s">
        <v>113</v>
      </c>
      <c r="BL59" s="137" t="s">
        <v>446</v>
      </c>
    </row>
    <row r="60" spans="1:64" s="2" customFormat="1" ht="33" customHeight="1">
      <c r="A60" s="28"/>
      <c r="B60" s="125"/>
      <c r="C60" s="126" t="s">
        <v>137</v>
      </c>
      <c r="D60" s="126" t="s">
        <v>109</v>
      </c>
      <c r="E60" s="127" t="s">
        <v>447</v>
      </c>
      <c r="F60" s="128" t="s">
        <v>448</v>
      </c>
      <c r="G60" s="129" t="s">
        <v>112</v>
      </c>
      <c r="H60" s="130">
        <v>1.23</v>
      </c>
      <c r="I60" s="131">
        <v>0</v>
      </c>
      <c r="J60" s="131">
        <f>ROUND(I60*H60,2)</f>
        <v>0</v>
      </c>
      <c r="K60" s="132"/>
      <c r="L60" s="29"/>
      <c r="M60" s="133" t="s">
        <v>1</v>
      </c>
      <c r="N60" s="134" t="s">
        <v>33</v>
      </c>
      <c r="O60" s="135">
        <v>0.205</v>
      </c>
      <c r="P60" s="135">
        <f>O60*H60</f>
        <v>0.25215</v>
      </c>
      <c r="Q60" s="135">
        <v>0</v>
      </c>
      <c r="R60" s="135">
        <f>Q60*H60</f>
        <v>0</v>
      </c>
      <c r="S60" s="135">
        <v>0</v>
      </c>
      <c r="T60" s="136">
        <f>S60*H60</f>
        <v>0</v>
      </c>
      <c r="U60" s="28"/>
      <c r="V60" s="28"/>
      <c r="W60" s="28"/>
      <c r="X60" s="28"/>
      <c r="Y60" s="28"/>
      <c r="Z60" s="28"/>
      <c r="AA60" s="28"/>
      <c r="AB60" s="28"/>
      <c r="AC60" s="28"/>
      <c r="AD60" s="28"/>
      <c r="AQ60" s="137" t="s">
        <v>113</v>
      </c>
      <c r="AS60" s="137" t="s">
        <v>109</v>
      </c>
      <c r="AT60" s="137" t="s">
        <v>71</v>
      </c>
      <c r="AX60" s="16" t="s">
        <v>107</v>
      </c>
      <c r="BD60" s="138">
        <f>IF(N60="základní",J60,0)</f>
        <v>0</v>
      </c>
      <c r="BE60" s="138">
        <f>IF(N60="snížená",J60,0)</f>
        <v>0</v>
      </c>
      <c r="BF60" s="138">
        <f>IF(N60="zákl. přenesená",J60,0)</f>
        <v>0</v>
      </c>
      <c r="BG60" s="138">
        <f>IF(N60="sníž. přenesená",J60,0)</f>
        <v>0</v>
      </c>
      <c r="BH60" s="138">
        <f>IF(N60="nulová",J60,0)</f>
        <v>0</v>
      </c>
      <c r="BI60" s="16" t="s">
        <v>69</v>
      </c>
      <c r="BJ60" s="138">
        <f>ROUND(I60*H60,2)</f>
        <v>0</v>
      </c>
      <c r="BK60" s="16" t="s">
        <v>113</v>
      </c>
      <c r="BL60" s="137" t="s">
        <v>449</v>
      </c>
    </row>
    <row r="61" spans="1:64" s="2" customFormat="1" ht="24.2" customHeight="1">
      <c r="A61" s="28"/>
      <c r="B61" s="125"/>
      <c r="C61" s="126" t="s">
        <v>141</v>
      </c>
      <c r="D61" s="126" t="s">
        <v>109</v>
      </c>
      <c r="E61" s="127" t="s">
        <v>450</v>
      </c>
      <c r="F61" s="128" t="s">
        <v>451</v>
      </c>
      <c r="G61" s="129" t="s">
        <v>112</v>
      </c>
      <c r="H61" s="130">
        <v>1.23</v>
      </c>
      <c r="I61" s="131">
        <v>0</v>
      </c>
      <c r="J61" s="131">
        <f>ROUND(I61*H61,2)</f>
        <v>0</v>
      </c>
      <c r="K61" s="132"/>
      <c r="L61" s="29"/>
      <c r="M61" s="133" t="s">
        <v>1</v>
      </c>
      <c r="N61" s="134" t="s">
        <v>33</v>
      </c>
      <c r="O61" s="135">
        <v>0.208</v>
      </c>
      <c r="P61" s="135">
        <f>O61*H61</f>
        <v>0.25584</v>
      </c>
      <c r="Q61" s="135">
        <v>0</v>
      </c>
      <c r="R61" s="135">
        <f>Q61*H61</f>
        <v>0</v>
      </c>
      <c r="S61" s="135">
        <v>0</v>
      </c>
      <c r="T61" s="136">
        <f>S61*H61</f>
        <v>0</v>
      </c>
      <c r="U61" s="28"/>
      <c r="V61" s="28"/>
      <c r="W61" s="28"/>
      <c r="X61" s="28"/>
      <c r="Y61" s="28"/>
      <c r="Z61" s="28"/>
      <c r="AA61" s="28"/>
      <c r="AB61" s="28"/>
      <c r="AC61" s="28"/>
      <c r="AD61" s="28"/>
      <c r="AQ61" s="137" t="s">
        <v>113</v>
      </c>
      <c r="AS61" s="137" t="s">
        <v>109</v>
      </c>
      <c r="AT61" s="137" t="s">
        <v>71</v>
      </c>
      <c r="AX61" s="16" t="s">
        <v>107</v>
      </c>
      <c r="BD61" s="138">
        <f>IF(N61="základní",J61,0)</f>
        <v>0</v>
      </c>
      <c r="BE61" s="138">
        <f>IF(N61="snížená",J61,0)</f>
        <v>0</v>
      </c>
      <c r="BF61" s="138">
        <f>IF(N61="zákl. přenesená",J61,0)</f>
        <v>0</v>
      </c>
      <c r="BG61" s="138">
        <f>IF(N61="sníž. přenesená",J61,0)</f>
        <v>0</v>
      </c>
      <c r="BH61" s="138">
        <f>IF(N61="nulová",J61,0)</f>
        <v>0</v>
      </c>
      <c r="BI61" s="16" t="s">
        <v>69</v>
      </c>
      <c r="BJ61" s="138">
        <f>ROUND(I61*H61,2)</f>
        <v>0</v>
      </c>
      <c r="BK61" s="16" t="s">
        <v>113</v>
      </c>
      <c r="BL61" s="137" t="s">
        <v>452</v>
      </c>
    </row>
    <row r="62" spans="1:64" s="2" customFormat="1" ht="16.5" customHeight="1">
      <c r="A62" s="28"/>
      <c r="B62" s="125"/>
      <c r="C62" s="126" t="s">
        <v>145</v>
      </c>
      <c r="D62" s="126" t="s">
        <v>109</v>
      </c>
      <c r="E62" s="127" t="s">
        <v>268</v>
      </c>
      <c r="F62" s="128" t="s">
        <v>269</v>
      </c>
      <c r="G62" s="129" t="s">
        <v>148</v>
      </c>
      <c r="H62" s="130">
        <v>0.705</v>
      </c>
      <c r="I62" s="131">
        <v>0</v>
      </c>
      <c r="J62" s="131">
        <f>ROUND(I62*H62,2)</f>
        <v>0</v>
      </c>
      <c r="K62" s="132"/>
      <c r="L62" s="29"/>
      <c r="M62" s="133" t="s">
        <v>1</v>
      </c>
      <c r="N62" s="134" t="s">
        <v>33</v>
      </c>
      <c r="O62" s="135">
        <v>0.396</v>
      </c>
      <c r="P62" s="135">
        <f>O62*H62</f>
        <v>0.27918</v>
      </c>
      <c r="Q62" s="135">
        <v>0.01352</v>
      </c>
      <c r="R62" s="135">
        <f>Q62*H62</f>
        <v>0.0095316</v>
      </c>
      <c r="S62" s="135">
        <v>0</v>
      </c>
      <c r="T62" s="136">
        <f>S62*H62</f>
        <v>0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Q62" s="137" t="s">
        <v>113</v>
      </c>
      <c r="AS62" s="137" t="s">
        <v>109</v>
      </c>
      <c r="AT62" s="137" t="s">
        <v>71</v>
      </c>
      <c r="AX62" s="16" t="s">
        <v>107</v>
      </c>
      <c r="BD62" s="138">
        <f>IF(N62="základní",J62,0)</f>
        <v>0</v>
      </c>
      <c r="BE62" s="138">
        <f>IF(N62="snížená",J62,0)</f>
        <v>0</v>
      </c>
      <c r="BF62" s="138">
        <f>IF(N62="zákl. přenesená",J62,0)</f>
        <v>0</v>
      </c>
      <c r="BG62" s="138">
        <f>IF(N62="sníž. přenesená",J62,0)</f>
        <v>0</v>
      </c>
      <c r="BH62" s="138">
        <f>IF(N62="nulová",J62,0)</f>
        <v>0</v>
      </c>
      <c r="BI62" s="16" t="s">
        <v>69</v>
      </c>
      <c r="BJ62" s="138">
        <f>ROUND(I62*H62,2)</f>
        <v>0</v>
      </c>
      <c r="BK62" s="16" t="s">
        <v>113</v>
      </c>
      <c r="BL62" s="137" t="s">
        <v>453</v>
      </c>
    </row>
    <row r="63" spans="2:50" s="13" customFormat="1" ht="12">
      <c r="B63" s="139"/>
      <c r="D63" s="140" t="s">
        <v>115</v>
      </c>
      <c r="E63" s="141" t="s">
        <v>1</v>
      </c>
      <c r="F63" s="142"/>
      <c r="H63" s="143">
        <v>0.705</v>
      </c>
      <c r="L63" s="139"/>
      <c r="M63" s="144"/>
      <c r="N63" s="145"/>
      <c r="O63" s="145"/>
      <c r="P63" s="145"/>
      <c r="Q63" s="145"/>
      <c r="R63" s="145"/>
      <c r="S63" s="145"/>
      <c r="T63" s="146"/>
      <c r="AS63" s="141" t="s">
        <v>115</v>
      </c>
      <c r="AT63" s="141" t="s">
        <v>71</v>
      </c>
      <c r="AU63" s="13" t="s">
        <v>71</v>
      </c>
      <c r="AV63" s="13" t="s">
        <v>25</v>
      </c>
      <c r="AW63" s="13" t="s">
        <v>69</v>
      </c>
      <c r="AX63" s="141" t="s">
        <v>107</v>
      </c>
    </row>
    <row r="64" spans="1:64" s="2" customFormat="1" ht="16.5" customHeight="1">
      <c r="A64" s="28"/>
      <c r="B64" s="125"/>
      <c r="C64" s="126" t="s">
        <v>150</v>
      </c>
      <c r="D64" s="126" t="s">
        <v>109</v>
      </c>
      <c r="E64" s="127" t="s">
        <v>270</v>
      </c>
      <c r="F64" s="128" t="s">
        <v>271</v>
      </c>
      <c r="G64" s="129" t="s">
        <v>148</v>
      </c>
      <c r="H64" s="130">
        <v>0.705</v>
      </c>
      <c r="I64" s="131">
        <v>0</v>
      </c>
      <c r="J64" s="131">
        <f>ROUND(I64*H64,2)</f>
        <v>0</v>
      </c>
      <c r="K64" s="132"/>
      <c r="L64" s="29"/>
      <c r="M64" s="133" t="s">
        <v>1</v>
      </c>
      <c r="N64" s="134" t="s">
        <v>33</v>
      </c>
      <c r="O64" s="135">
        <v>0.24</v>
      </c>
      <c r="P64" s="135">
        <f>O64*H64</f>
        <v>0.1692</v>
      </c>
      <c r="Q64" s="135">
        <v>0</v>
      </c>
      <c r="R64" s="135">
        <f>Q64*H64</f>
        <v>0</v>
      </c>
      <c r="S64" s="135">
        <v>0</v>
      </c>
      <c r="T64" s="136">
        <f>S64*H64</f>
        <v>0</v>
      </c>
      <c r="U64" s="28"/>
      <c r="V64" s="28"/>
      <c r="W64" s="28"/>
      <c r="X64" s="28"/>
      <c r="Y64" s="28"/>
      <c r="Z64" s="28"/>
      <c r="AA64" s="28"/>
      <c r="AB64" s="28"/>
      <c r="AC64" s="28"/>
      <c r="AD64" s="28"/>
      <c r="AQ64" s="137" t="s">
        <v>113</v>
      </c>
      <c r="AS64" s="137" t="s">
        <v>109</v>
      </c>
      <c r="AT64" s="137" t="s">
        <v>71</v>
      </c>
      <c r="AX64" s="16" t="s">
        <v>107</v>
      </c>
      <c r="BD64" s="138">
        <f>IF(N64="základní",J64,0)</f>
        <v>0</v>
      </c>
      <c r="BE64" s="138">
        <f>IF(N64="snížená",J64,0)</f>
        <v>0</v>
      </c>
      <c r="BF64" s="138">
        <f>IF(N64="zákl. přenesená",J64,0)</f>
        <v>0</v>
      </c>
      <c r="BG64" s="138">
        <f>IF(N64="sníž. přenesená",J64,0)</f>
        <v>0</v>
      </c>
      <c r="BH64" s="138">
        <f>IF(N64="nulová",J64,0)</f>
        <v>0</v>
      </c>
      <c r="BI64" s="16" t="s">
        <v>69</v>
      </c>
      <c r="BJ64" s="138">
        <f>ROUND(I64*H64,2)</f>
        <v>0</v>
      </c>
      <c r="BK64" s="16" t="s">
        <v>113</v>
      </c>
      <c r="BL64" s="137" t="s">
        <v>454</v>
      </c>
    </row>
    <row r="65" spans="1:64" s="2" customFormat="1" ht="16.5" customHeight="1">
      <c r="A65" s="28"/>
      <c r="B65" s="125"/>
      <c r="C65" s="126" t="s">
        <v>154</v>
      </c>
      <c r="D65" s="126" t="s">
        <v>109</v>
      </c>
      <c r="E65" s="127" t="s">
        <v>455</v>
      </c>
      <c r="F65" s="128" t="s">
        <v>456</v>
      </c>
      <c r="G65" s="129" t="s">
        <v>122</v>
      </c>
      <c r="H65" s="130">
        <v>0.012</v>
      </c>
      <c r="I65" s="131">
        <v>0</v>
      </c>
      <c r="J65" s="131">
        <f>ROUND(I65*H65,2)</f>
        <v>0</v>
      </c>
      <c r="K65" s="132"/>
      <c r="L65" s="29"/>
      <c r="M65" s="133" t="s">
        <v>1</v>
      </c>
      <c r="N65" s="134" t="s">
        <v>33</v>
      </c>
      <c r="O65" s="135">
        <v>15.231</v>
      </c>
      <c r="P65" s="135">
        <f>O65*H65</f>
        <v>0.182772</v>
      </c>
      <c r="Q65" s="135">
        <v>1.06277</v>
      </c>
      <c r="R65" s="135">
        <f>Q65*H65</f>
        <v>0.01275324</v>
      </c>
      <c r="S65" s="135">
        <v>0</v>
      </c>
      <c r="T65" s="136">
        <f>S65*H65</f>
        <v>0</v>
      </c>
      <c r="U65" s="28"/>
      <c r="V65" s="28"/>
      <c r="W65" s="28"/>
      <c r="X65" s="28"/>
      <c r="Y65" s="28"/>
      <c r="Z65" s="28"/>
      <c r="AA65" s="28"/>
      <c r="AB65" s="28"/>
      <c r="AC65" s="28"/>
      <c r="AD65" s="28"/>
      <c r="AQ65" s="137" t="s">
        <v>113</v>
      </c>
      <c r="AS65" s="137" t="s">
        <v>109</v>
      </c>
      <c r="AT65" s="137" t="s">
        <v>71</v>
      </c>
      <c r="AX65" s="16" t="s">
        <v>107</v>
      </c>
      <c r="BD65" s="138">
        <f>IF(N65="základní",J65,0)</f>
        <v>0</v>
      </c>
      <c r="BE65" s="138">
        <f>IF(N65="snížená",J65,0)</f>
        <v>0</v>
      </c>
      <c r="BF65" s="138">
        <f>IF(N65="zákl. přenesená",J65,0)</f>
        <v>0</v>
      </c>
      <c r="BG65" s="138">
        <f>IF(N65="sníž. přenesená",J65,0)</f>
        <v>0</v>
      </c>
      <c r="BH65" s="138">
        <f>IF(N65="nulová",J65,0)</f>
        <v>0</v>
      </c>
      <c r="BI65" s="16" t="s">
        <v>69</v>
      </c>
      <c r="BJ65" s="138">
        <f>ROUND(I65*H65,2)</f>
        <v>0</v>
      </c>
      <c r="BK65" s="16" t="s">
        <v>113</v>
      </c>
      <c r="BL65" s="137" t="s">
        <v>457</v>
      </c>
    </row>
    <row r="66" spans="2:50" s="13" customFormat="1" ht="12">
      <c r="B66" s="139"/>
      <c r="D66" s="140" t="s">
        <v>115</v>
      </c>
      <c r="E66" s="141" t="s">
        <v>1</v>
      </c>
      <c r="F66" s="142" t="s">
        <v>458</v>
      </c>
      <c r="H66" s="143">
        <v>0.012</v>
      </c>
      <c r="J66" s="196"/>
      <c r="L66" s="139"/>
      <c r="M66" s="144"/>
      <c r="N66" s="145"/>
      <c r="O66" s="145"/>
      <c r="P66" s="145"/>
      <c r="Q66" s="145"/>
      <c r="R66" s="145"/>
      <c r="S66" s="145"/>
      <c r="T66" s="146"/>
      <c r="AS66" s="141" t="s">
        <v>115</v>
      </c>
      <c r="AT66" s="141" t="s">
        <v>71</v>
      </c>
      <c r="AU66" s="13" t="s">
        <v>71</v>
      </c>
      <c r="AV66" s="13" t="s">
        <v>25</v>
      </c>
      <c r="AW66" s="13" t="s">
        <v>69</v>
      </c>
      <c r="AX66" s="141" t="s">
        <v>107</v>
      </c>
    </row>
    <row r="67" spans="2:62" s="12" customFormat="1" ht="22.9" customHeight="1">
      <c r="B67" s="113"/>
      <c r="D67" s="114" t="s">
        <v>60</v>
      </c>
      <c r="E67" s="123" t="s">
        <v>141</v>
      </c>
      <c r="F67" s="123" t="s">
        <v>272</v>
      </c>
      <c r="J67" s="124">
        <f>J68</f>
        <v>0</v>
      </c>
      <c r="L67" s="113"/>
      <c r="M67" s="117"/>
      <c r="N67" s="118"/>
      <c r="O67" s="118"/>
      <c r="P67" s="119">
        <f>P68+P69+P70</f>
        <v>5.741304</v>
      </c>
      <c r="Q67" s="118"/>
      <c r="R67" s="119">
        <f>R68+R69+R70</f>
        <v>0</v>
      </c>
      <c r="S67" s="118"/>
      <c r="T67" s="120">
        <f>T68+T69+T70</f>
        <v>0</v>
      </c>
      <c r="AQ67" s="114" t="s">
        <v>69</v>
      </c>
      <c r="AS67" s="121" t="s">
        <v>60</v>
      </c>
      <c r="AT67" s="121" t="s">
        <v>69</v>
      </c>
      <c r="AX67" s="114" t="s">
        <v>107</v>
      </c>
      <c r="BJ67" s="122">
        <f>BJ68+BJ69+BJ70</f>
        <v>0</v>
      </c>
    </row>
    <row r="68" spans="1:64" s="2" customFormat="1" ht="24.2" customHeight="1">
      <c r="A68" s="28"/>
      <c r="B68" s="125"/>
      <c r="C68" s="126" t="s">
        <v>158</v>
      </c>
      <c r="D68" s="126" t="s">
        <v>109</v>
      </c>
      <c r="E68" s="127" t="s">
        <v>459</v>
      </c>
      <c r="F68" s="128" t="s">
        <v>460</v>
      </c>
      <c r="G68" s="129" t="s">
        <v>235</v>
      </c>
      <c r="H68" s="130">
        <v>15</v>
      </c>
      <c r="I68" s="131">
        <v>0</v>
      </c>
      <c r="J68" s="131">
        <f>ROUND(I68*H68,2)</f>
        <v>0</v>
      </c>
      <c r="K68" s="132"/>
      <c r="L68" s="29"/>
      <c r="M68" s="133" t="s">
        <v>1</v>
      </c>
      <c r="N68" s="134" t="s">
        <v>33</v>
      </c>
      <c r="O68" s="135">
        <v>0.196</v>
      </c>
      <c r="P68" s="135">
        <f>O68*H68</f>
        <v>2.94</v>
      </c>
      <c r="Q68" s="135">
        <v>0</v>
      </c>
      <c r="R68" s="135">
        <f>Q68*H68</f>
        <v>0</v>
      </c>
      <c r="S68" s="135">
        <v>0</v>
      </c>
      <c r="T68" s="136">
        <f>S68*H68</f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Q68" s="137" t="s">
        <v>113</v>
      </c>
      <c r="AS68" s="137" t="s">
        <v>109</v>
      </c>
      <c r="AT68" s="137" t="s">
        <v>71</v>
      </c>
      <c r="AX68" s="16" t="s">
        <v>107</v>
      </c>
      <c r="BD68" s="138">
        <f>IF(N68="základní",J68,0)</f>
        <v>0</v>
      </c>
      <c r="BE68" s="138">
        <f>IF(N68="snížená",J68,0)</f>
        <v>0</v>
      </c>
      <c r="BF68" s="138">
        <f>IF(N68="zákl. přenesená",J68,0)</f>
        <v>0</v>
      </c>
      <c r="BG68" s="138">
        <f>IF(N68="sníž. přenesená",J68,0)</f>
        <v>0</v>
      </c>
      <c r="BH68" s="138">
        <f>IF(N68="nulová",J68,0)</f>
        <v>0</v>
      </c>
      <c r="BI68" s="16" t="s">
        <v>69</v>
      </c>
      <c r="BJ68" s="138">
        <f>ROUND(I68*H68,2)</f>
        <v>0</v>
      </c>
      <c r="BK68" s="16" t="s">
        <v>113</v>
      </c>
      <c r="BL68" s="137" t="s">
        <v>461</v>
      </c>
    </row>
    <row r="69" spans="2:50" s="13" customFormat="1" ht="12">
      <c r="B69" s="139"/>
      <c r="D69" s="140" t="s">
        <v>115</v>
      </c>
      <c r="E69" s="141" t="s">
        <v>1</v>
      </c>
      <c r="F69" s="142"/>
      <c r="H69" s="143"/>
      <c r="L69" s="139"/>
      <c r="M69" s="144"/>
      <c r="N69" s="145"/>
      <c r="O69" s="145"/>
      <c r="P69" s="145"/>
      <c r="Q69" s="145"/>
      <c r="R69" s="145"/>
      <c r="S69" s="145"/>
      <c r="T69" s="146"/>
      <c r="AS69" s="141" t="s">
        <v>115</v>
      </c>
      <c r="AT69" s="141" t="s">
        <v>71</v>
      </c>
      <c r="AU69" s="13" t="s">
        <v>71</v>
      </c>
      <c r="AV69" s="13" t="s">
        <v>25</v>
      </c>
      <c r="AW69" s="13" t="s">
        <v>69</v>
      </c>
      <c r="AX69" s="141" t="s">
        <v>107</v>
      </c>
    </row>
    <row r="70" spans="2:62" s="12" customFormat="1" ht="20.85" customHeight="1">
      <c r="B70" s="113"/>
      <c r="D70" s="114" t="s">
        <v>60</v>
      </c>
      <c r="E70" s="123" t="s">
        <v>313</v>
      </c>
      <c r="F70" s="123" t="s">
        <v>314</v>
      </c>
      <c r="J70" s="124">
        <f>J71</f>
        <v>0</v>
      </c>
      <c r="L70" s="113"/>
      <c r="M70" s="117"/>
      <c r="N70" s="118"/>
      <c r="O70" s="118"/>
      <c r="P70" s="119">
        <f>P71</f>
        <v>2.8013040000000005</v>
      </c>
      <c r="Q70" s="118"/>
      <c r="R70" s="119">
        <f>R71</f>
        <v>0</v>
      </c>
      <c r="S70" s="118"/>
      <c r="T70" s="120">
        <f>T71</f>
        <v>0</v>
      </c>
      <c r="AQ70" s="114" t="s">
        <v>69</v>
      </c>
      <c r="AS70" s="121" t="s">
        <v>60</v>
      </c>
      <c r="AT70" s="121" t="s">
        <v>71</v>
      </c>
      <c r="AX70" s="114" t="s">
        <v>107</v>
      </c>
      <c r="BJ70" s="122">
        <f>BJ71</f>
        <v>0</v>
      </c>
    </row>
    <row r="71" spans="1:64" s="2" customFormat="1" ht="33" customHeight="1">
      <c r="A71" s="28"/>
      <c r="B71" s="125"/>
      <c r="C71" s="126" t="s">
        <v>162</v>
      </c>
      <c r="D71" s="126" t="s">
        <v>109</v>
      </c>
      <c r="E71" s="127" t="s">
        <v>462</v>
      </c>
      <c r="F71" s="128" t="s">
        <v>463</v>
      </c>
      <c r="G71" s="129" t="s">
        <v>122</v>
      </c>
      <c r="H71" s="130">
        <v>42.444</v>
      </c>
      <c r="I71" s="131">
        <v>0</v>
      </c>
      <c r="J71" s="131">
        <f>ROUND(I71*H71,2)</f>
        <v>0</v>
      </c>
      <c r="K71" s="132"/>
      <c r="L71" s="29"/>
      <c r="M71" s="133" t="s">
        <v>1</v>
      </c>
      <c r="N71" s="134" t="s">
        <v>33</v>
      </c>
      <c r="O71" s="135">
        <v>0.066</v>
      </c>
      <c r="P71" s="135">
        <f>O71*H71</f>
        <v>2.8013040000000005</v>
      </c>
      <c r="Q71" s="135">
        <v>0</v>
      </c>
      <c r="R71" s="135">
        <f>Q71*H71</f>
        <v>0</v>
      </c>
      <c r="S71" s="135">
        <v>0</v>
      </c>
      <c r="T71" s="136">
        <f>S71*H71</f>
        <v>0</v>
      </c>
      <c r="U71" s="28"/>
      <c r="V71" s="28"/>
      <c r="W71" s="28"/>
      <c r="X71" s="28"/>
      <c r="Y71" s="28"/>
      <c r="Z71" s="28"/>
      <c r="AA71" s="28"/>
      <c r="AB71" s="28"/>
      <c r="AC71" s="28"/>
      <c r="AD71" s="28"/>
      <c r="AQ71" s="137" t="s">
        <v>113</v>
      </c>
      <c r="AS71" s="137" t="s">
        <v>109</v>
      </c>
      <c r="AT71" s="137" t="s">
        <v>116</v>
      </c>
      <c r="AX71" s="16" t="s">
        <v>107</v>
      </c>
      <c r="BD71" s="138">
        <f>IF(N71="základní",J71,0)</f>
        <v>0</v>
      </c>
      <c r="BE71" s="138">
        <f>IF(N71="snížená",J71,0)</f>
        <v>0</v>
      </c>
      <c r="BF71" s="138">
        <f>IF(N71="zákl. přenesená",J71,0)</f>
        <v>0</v>
      </c>
      <c r="BG71" s="138">
        <f>IF(N71="sníž. přenesená",J71,0)</f>
        <v>0</v>
      </c>
      <c r="BH71" s="138">
        <f>IF(N71="nulová",J71,0)</f>
        <v>0</v>
      </c>
      <c r="BI71" s="16" t="s">
        <v>69</v>
      </c>
      <c r="BJ71" s="138">
        <f>ROUND(I71*H71,2)</f>
        <v>0</v>
      </c>
      <c r="BK71" s="16" t="s">
        <v>113</v>
      </c>
      <c r="BL71" s="137" t="s">
        <v>464</v>
      </c>
    </row>
    <row r="72" spans="2:62" s="12" customFormat="1" ht="22.9" customHeight="1">
      <c r="B72" s="113"/>
      <c r="D72" s="114" t="s">
        <v>60</v>
      </c>
      <c r="E72" s="123" t="s">
        <v>298</v>
      </c>
      <c r="F72" s="123" t="s">
        <v>299</v>
      </c>
      <c r="J72" s="124">
        <f>SUM(J73:J78)</f>
        <v>0</v>
      </c>
      <c r="L72" s="113"/>
      <c r="M72" s="117"/>
      <c r="N72" s="118"/>
      <c r="O72" s="118"/>
      <c r="P72" s="119">
        <f>SUM(P73:P78)</f>
        <v>6.034050000000001</v>
      </c>
      <c r="Q72" s="118"/>
      <c r="R72" s="119">
        <f>SUM(R73:R78)</f>
        <v>0</v>
      </c>
      <c r="S72" s="118"/>
      <c r="T72" s="120">
        <f>SUM(T73:T78)</f>
        <v>0</v>
      </c>
      <c r="AQ72" s="114" t="s">
        <v>69</v>
      </c>
      <c r="AS72" s="121" t="s">
        <v>60</v>
      </c>
      <c r="AT72" s="121" t="s">
        <v>69</v>
      </c>
      <c r="AX72" s="114" t="s">
        <v>107</v>
      </c>
      <c r="BJ72" s="122">
        <f>SUM(BJ73:BJ78)</f>
        <v>0</v>
      </c>
    </row>
    <row r="73" spans="1:64" s="2" customFormat="1" ht="21.75" customHeight="1">
      <c r="A73" s="28"/>
      <c r="B73" s="125"/>
      <c r="C73" s="126" t="s">
        <v>8</v>
      </c>
      <c r="D73" s="126" t="s">
        <v>109</v>
      </c>
      <c r="E73" s="127" t="s">
        <v>465</v>
      </c>
      <c r="F73" s="128" t="s">
        <v>466</v>
      </c>
      <c r="G73" s="129" t="s">
        <v>122</v>
      </c>
      <c r="H73" s="130">
        <v>29.15</v>
      </c>
      <c r="I73" s="131">
        <v>0</v>
      </c>
      <c r="J73" s="131">
        <f>ROUND(I73*H73,2)</f>
        <v>0</v>
      </c>
      <c r="K73" s="132"/>
      <c r="L73" s="29"/>
      <c r="M73" s="133" t="s">
        <v>1</v>
      </c>
      <c r="N73" s="134" t="s">
        <v>33</v>
      </c>
      <c r="O73" s="135">
        <v>0.03</v>
      </c>
      <c r="P73" s="135">
        <f>O73*H73</f>
        <v>0.8744999999999999</v>
      </c>
      <c r="Q73" s="135">
        <v>0</v>
      </c>
      <c r="R73" s="135">
        <f>Q73*H73</f>
        <v>0</v>
      </c>
      <c r="S73" s="135">
        <v>0</v>
      </c>
      <c r="T73" s="136">
        <f>S73*H73</f>
        <v>0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Q73" s="137" t="s">
        <v>113</v>
      </c>
      <c r="AS73" s="137" t="s">
        <v>109</v>
      </c>
      <c r="AT73" s="137" t="s">
        <v>71</v>
      </c>
      <c r="AX73" s="16" t="s">
        <v>107</v>
      </c>
      <c r="BD73" s="138">
        <f>IF(N73="základní",J73,0)</f>
        <v>0</v>
      </c>
      <c r="BE73" s="138">
        <f>IF(N73="snížená",J73,0)</f>
        <v>0</v>
      </c>
      <c r="BF73" s="138">
        <f>IF(N73="zákl. přenesená",J73,0)</f>
        <v>0</v>
      </c>
      <c r="BG73" s="138">
        <f>IF(N73="sníž. přenesená",J73,0)</f>
        <v>0</v>
      </c>
      <c r="BH73" s="138">
        <f>IF(N73="nulová",J73,0)</f>
        <v>0</v>
      </c>
      <c r="BI73" s="16" t="s">
        <v>69</v>
      </c>
      <c r="BJ73" s="138">
        <f>ROUND(I73*H73,2)</f>
        <v>0</v>
      </c>
      <c r="BK73" s="16" t="s">
        <v>113</v>
      </c>
      <c r="BL73" s="137" t="s">
        <v>467</v>
      </c>
    </row>
    <row r="74" spans="1:64" s="2" customFormat="1" ht="24.2" customHeight="1">
      <c r="A74" s="28"/>
      <c r="B74" s="125"/>
      <c r="C74" s="126" t="s">
        <v>164</v>
      </c>
      <c r="D74" s="126" t="s">
        <v>109</v>
      </c>
      <c r="E74" s="127" t="s">
        <v>468</v>
      </c>
      <c r="F74" s="128" t="s">
        <v>469</v>
      </c>
      <c r="G74" s="129" t="s">
        <v>122</v>
      </c>
      <c r="H74" s="130">
        <v>262.35</v>
      </c>
      <c r="I74" s="131">
        <v>0</v>
      </c>
      <c r="J74" s="131">
        <f>ROUND(I74*H74,2)</f>
        <v>0</v>
      </c>
      <c r="K74" s="132"/>
      <c r="L74" s="29"/>
      <c r="M74" s="133" t="s">
        <v>1</v>
      </c>
      <c r="N74" s="134" t="s">
        <v>33</v>
      </c>
      <c r="O74" s="135">
        <v>0.002</v>
      </c>
      <c r="P74" s="135">
        <f>O74*H74</f>
        <v>0.5247</v>
      </c>
      <c r="Q74" s="135">
        <v>0</v>
      </c>
      <c r="R74" s="135">
        <f>Q74*H74</f>
        <v>0</v>
      </c>
      <c r="S74" s="135">
        <v>0</v>
      </c>
      <c r="T74" s="136">
        <f>S74*H74</f>
        <v>0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Q74" s="137" t="s">
        <v>113</v>
      </c>
      <c r="AS74" s="137" t="s">
        <v>109</v>
      </c>
      <c r="AT74" s="137" t="s">
        <v>71</v>
      </c>
      <c r="AX74" s="16" t="s">
        <v>107</v>
      </c>
      <c r="BD74" s="138">
        <f>IF(N74="základní",J74,0)</f>
        <v>0</v>
      </c>
      <c r="BE74" s="138">
        <f>IF(N74="snížená",J74,0)</f>
        <v>0</v>
      </c>
      <c r="BF74" s="138">
        <f>IF(N74="zákl. přenesená",J74,0)</f>
        <v>0</v>
      </c>
      <c r="BG74" s="138">
        <f>IF(N74="sníž. přenesená",J74,0)</f>
        <v>0</v>
      </c>
      <c r="BH74" s="138">
        <f>IF(N74="nulová",J74,0)</f>
        <v>0</v>
      </c>
      <c r="BI74" s="16" t="s">
        <v>69</v>
      </c>
      <c r="BJ74" s="138">
        <f>ROUND(I74*H74,2)</f>
        <v>0</v>
      </c>
      <c r="BK74" s="16" t="s">
        <v>113</v>
      </c>
      <c r="BL74" s="137" t="s">
        <v>470</v>
      </c>
    </row>
    <row r="75" spans="2:50" s="13" customFormat="1" ht="12">
      <c r="B75" s="139"/>
      <c r="D75" s="140" t="s">
        <v>115</v>
      </c>
      <c r="F75" s="142" t="s">
        <v>471</v>
      </c>
      <c r="H75" s="143">
        <v>262.35</v>
      </c>
      <c r="L75" s="139"/>
      <c r="M75" s="144"/>
      <c r="N75" s="145"/>
      <c r="O75" s="145"/>
      <c r="P75" s="145"/>
      <c r="Q75" s="145"/>
      <c r="R75" s="145"/>
      <c r="S75" s="145"/>
      <c r="T75" s="146"/>
      <c r="AS75" s="141" t="s">
        <v>115</v>
      </c>
      <c r="AT75" s="141" t="s">
        <v>71</v>
      </c>
      <c r="AU75" s="13" t="s">
        <v>71</v>
      </c>
      <c r="AV75" s="13" t="s">
        <v>3</v>
      </c>
      <c r="AW75" s="13" t="s">
        <v>69</v>
      </c>
      <c r="AX75" s="141" t="s">
        <v>107</v>
      </c>
    </row>
    <row r="76" spans="1:64" s="2" customFormat="1" ht="24.2" customHeight="1">
      <c r="A76" s="28"/>
      <c r="B76" s="125"/>
      <c r="C76" s="126" t="s">
        <v>165</v>
      </c>
      <c r="D76" s="126" t="s">
        <v>109</v>
      </c>
      <c r="E76" s="127" t="s">
        <v>472</v>
      </c>
      <c r="F76" s="128" t="s">
        <v>473</v>
      </c>
      <c r="G76" s="129" t="s">
        <v>122</v>
      </c>
      <c r="H76" s="130">
        <v>29.15</v>
      </c>
      <c r="I76" s="131">
        <v>0</v>
      </c>
      <c r="J76" s="131">
        <f>ROUND(I76*H76,2)</f>
        <v>0</v>
      </c>
      <c r="K76" s="132"/>
      <c r="L76" s="29"/>
      <c r="M76" s="133" t="s">
        <v>1</v>
      </c>
      <c r="N76" s="134" t="s">
        <v>33</v>
      </c>
      <c r="O76" s="135">
        <v>0.159</v>
      </c>
      <c r="P76" s="135">
        <f>O76*H76</f>
        <v>4.63485</v>
      </c>
      <c r="Q76" s="135">
        <v>0</v>
      </c>
      <c r="R76" s="135">
        <f>Q76*H76</f>
        <v>0</v>
      </c>
      <c r="S76" s="135">
        <v>0</v>
      </c>
      <c r="T76" s="136">
        <f>S76*H76</f>
        <v>0</v>
      </c>
      <c r="U76" s="28"/>
      <c r="V76" s="28"/>
      <c r="W76" s="28"/>
      <c r="X76" s="28"/>
      <c r="Y76" s="28"/>
      <c r="Z76" s="28"/>
      <c r="AA76" s="28"/>
      <c r="AB76" s="28"/>
      <c r="AC76" s="28"/>
      <c r="AD76" s="28"/>
      <c r="AQ76" s="137" t="s">
        <v>113</v>
      </c>
      <c r="AS76" s="137" t="s">
        <v>109</v>
      </c>
      <c r="AT76" s="137" t="s">
        <v>71</v>
      </c>
      <c r="AX76" s="16" t="s">
        <v>107</v>
      </c>
      <c r="BD76" s="138">
        <f>IF(N76="základní",J76,0)</f>
        <v>0</v>
      </c>
      <c r="BE76" s="138">
        <f>IF(N76="snížená",J76,0)</f>
        <v>0</v>
      </c>
      <c r="BF76" s="138">
        <f>IF(N76="zákl. přenesená",J76,0)</f>
        <v>0</v>
      </c>
      <c r="BG76" s="138">
        <f>IF(N76="sníž. přenesená",J76,0)</f>
        <v>0</v>
      </c>
      <c r="BH76" s="138">
        <f>IF(N76="nulová",J76,0)</f>
        <v>0</v>
      </c>
      <c r="BI76" s="16" t="s">
        <v>69</v>
      </c>
      <c r="BJ76" s="138">
        <f>ROUND(I76*H76,2)</f>
        <v>0</v>
      </c>
      <c r="BK76" s="16" t="s">
        <v>113</v>
      </c>
      <c r="BL76" s="137" t="s">
        <v>474</v>
      </c>
    </row>
    <row r="77" spans="1:64" s="2" customFormat="1" ht="33" customHeight="1">
      <c r="A77" s="28"/>
      <c r="B77" s="125"/>
      <c r="C77" s="126" t="s">
        <v>168</v>
      </c>
      <c r="D77" s="126" t="s">
        <v>109</v>
      </c>
      <c r="E77" s="127" t="s">
        <v>475</v>
      </c>
      <c r="F77" s="128" t="s">
        <v>476</v>
      </c>
      <c r="G77" s="129" t="s">
        <v>122</v>
      </c>
      <c r="H77" s="130">
        <v>7.178</v>
      </c>
      <c r="I77" s="131">
        <v>0</v>
      </c>
      <c r="J77" s="131">
        <f>ROUND(I77*H77,2)</f>
        <v>0</v>
      </c>
      <c r="K77" s="132"/>
      <c r="L77" s="29"/>
      <c r="M77" s="133" t="s">
        <v>1</v>
      </c>
      <c r="N77" s="134" t="s">
        <v>33</v>
      </c>
      <c r="O77" s="135">
        <v>0</v>
      </c>
      <c r="P77" s="135">
        <f>O77*H77</f>
        <v>0</v>
      </c>
      <c r="Q77" s="135">
        <v>0</v>
      </c>
      <c r="R77" s="135">
        <f>Q77*H77</f>
        <v>0</v>
      </c>
      <c r="S77" s="135">
        <v>0</v>
      </c>
      <c r="T77" s="136">
        <f>S77*H77</f>
        <v>0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Q77" s="137" t="s">
        <v>113</v>
      </c>
      <c r="AS77" s="137" t="s">
        <v>109</v>
      </c>
      <c r="AT77" s="137" t="s">
        <v>71</v>
      </c>
      <c r="AX77" s="16" t="s">
        <v>107</v>
      </c>
      <c r="BD77" s="138">
        <f>IF(N77="základní",J77,0)</f>
        <v>0</v>
      </c>
      <c r="BE77" s="138">
        <f>IF(N77="snížená",J77,0)</f>
        <v>0</v>
      </c>
      <c r="BF77" s="138">
        <f>IF(N77="zákl. přenesená",J77,0)</f>
        <v>0</v>
      </c>
      <c r="BG77" s="138">
        <f>IF(N77="sníž. přenesená",J77,0)</f>
        <v>0</v>
      </c>
      <c r="BH77" s="138">
        <f>IF(N77="nulová",J77,0)</f>
        <v>0</v>
      </c>
      <c r="BI77" s="16" t="s">
        <v>69</v>
      </c>
      <c r="BJ77" s="138">
        <f>ROUND(I77*H77,2)</f>
        <v>0</v>
      </c>
      <c r="BK77" s="16" t="s">
        <v>113</v>
      </c>
      <c r="BL77" s="137" t="s">
        <v>477</v>
      </c>
    </row>
    <row r="78" spans="1:64" s="2" customFormat="1" ht="24.2" customHeight="1">
      <c r="A78" s="28"/>
      <c r="B78" s="125"/>
      <c r="C78" s="126" t="s">
        <v>173</v>
      </c>
      <c r="D78" s="126" t="s">
        <v>109</v>
      </c>
      <c r="E78" s="127" t="s">
        <v>478</v>
      </c>
      <c r="F78" s="128" t="s">
        <v>479</v>
      </c>
      <c r="G78" s="129" t="s">
        <v>122</v>
      </c>
      <c r="H78" s="130">
        <v>21.379</v>
      </c>
      <c r="I78" s="131">
        <v>0</v>
      </c>
      <c r="J78" s="131">
        <f>ROUND(I78*H78,2)</f>
        <v>0</v>
      </c>
      <c r="K78" s="132"/>
      <c r="L78" s="29"/>
      <c r="M78" s="164" t="s">
        <v>1</v>
      </c>
      <c r="N78" s="165" t="s">
        <v>33</v>
      </c>
      <c r="O78" s="166">
        <v>0</v>
      </c>
      <c r="P78" s="166">
        <f>O78*H78</f>
        <v>0</v>
      </c>
      <c r="Q78" s="166">
        <v>0</v>
      </c>
      <c r="R78" s="166">
        <f>Q78*H78</f>
        <v>0</v>
      </c>
      <c r="S78" s="166">
        <v>0</v>
      </c>
      <c r="T78" s="167">
        <f>S78*H78</f>
        <v>0</v>
      </c>
      <c r="U78" s="28"/>
      <c r="V78" s="28"/>
      <c r="W78" s="28"/>
      <c r="X78" s="28"/>
      <c r="Y78" s="28"/>
      <c r="Z78" s="28"/>
      <c r="AA78" s="28"/>
      <c r="AB78" s="28"/>
      <c r="AC78" s="28"/>
      <c r="AD78" s="28"/>
      <c r="AQ78" s="137" t="s">
        <v>113</v>
      </c>
      <c r="AS78" s="137" t="s">
        <v>109</v>
      </c>
      <c r="AT78" s="137" t="s">
        <v>71</v>
      </c>
      <c r="AX78" s="16" t="s">
        <v>107</v>
      </c>
      <c r="BD78" s="138">
        <f>IF(N78="základní",J78,0)</f>
        <v>0</v>
      </c>
      <c r="BE78" s="138">
        <f>IF(N78="snížená",J78,0)</f>
        <v>0</v>
      </c>
      <c r="BF78" s="138">
        <f>IF(N78="zákl. přenesená",J78,0)</f>
        <v>0</v>
      </c>
      <c r="BG78" s="138">
        <f>IF(N78="sníž. přenesená",J78,0)</f>
        <v>0</v>
      </c>
      <c r="BH78" s="138">
        <f>IF(N78="nulová",J78,0)</f>
        <v>0</v>
      </c>
      <c r="BI78" s="16" t="s">
        <v>69</v>
      </c>
      <c r="BJ78" s="138">
        <f>ROUND(I78*H78,2)</f>
        <v>0</v>
      </c>
      <c r="BK78" s="16" t="s">
        <v>113</v>
      </c>
      <c r="BL78" s="137" t="s">
        <v>480</v>
      </c>
    </row>
    <row r="79" spans="1:30" s="2" customFormat="1" ht="6.95" customHeight="1">
      <c r="A79" s="28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29"/>
      <c r="M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</row>
  </sheetData>
  <autoFilter ref="C44:K78"/>
  <mergeCells count="4">
    <mergeCell ref="E9:H9"/>
    <mergeCell ref="E35:H35"/>
    <mergeCell ref="E37:H37"/>
    <mergeCell ref="E7:H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"/>
  <sheetViews>
    <sheetView zoomScale="130" zoomScaleNormal="130" workbookViewId="0" topLeftCell="A7">
      <selection activeCell="D22" sqref="D22"/>
    </sheetView>
  </sheetViews>
  <sheetFormatPr defaultColWidth="9.140625" defaultRowHeight="12"/>
  <cols>
    <col min="4" max="4" width="99.140625" style="0" customWidth="1"/>
    <col min="7" max="7" width="14.421875" style="0" customWidth="1"/>
    <col min="8" max="8" width="23.28125" style="0" customWidth="1"/>
  </cols>
  <sheetData>
    <row r="1" spans="1:52" s="12" customFormat="1" ht="25.9" customHeight="1">
      <c r="A1" s="182"/>
      <c r="B1" s="183" t="s">
        <v>60</v>
      </c>
      <c r="C1" s="184" t="s">
        <v>405</v>
      </c>
      <c r="D1" s="184" t="s">
        <v>490</v>
      </c>
      <c r="E1" s="185"/>
      <c r="F1" s="185"/>
      <c r="G1" s="185"/>
      <c r="H1" s="186">
        <f>H2+H6</f>
        <v>0</v>
      </c>
      <c r="I1" s="118"/>
      <c r="AG1" s="114" t="s">
        <v>113</v>
      </c>
      <c r="AI1" s="121" t="s">
        <v>60</v>
      </c>
      <c r="AJ1" s="121" t="s">
        <v>61</v>
      </c>
      <c r="AN1" s="114" t="s">
        <v>107</v>
      </c>
      <c r="AZ1" s="122">
        <f>AZ2</f>
        <v>0</v>
      </c>
    </row>
    <row r="2" spans="1:54" s="2" customFormat="1" ht="13.5" customHeight="1">
      <c r="A2" s="187"/>
      <c r="B2" s="188" t="s">
        <v>487</v>
      </c>
      <c r="C2" s="189"/>
      <c r="D2" s="190" t="s">
        <v>483</v>
      </c>
      <c r="E2" s="191" t="s">
        <v>404</v>
      </c>
      <c r="F2" s="192">
        <v>1</v>
      </c>
      <c r="G2" s="193">
        <v>0</v>
      </c>
      <c r="H2" s="194">
        <f>ROUND(G2*F2,2)</f>
        <v>0</v>
      </c>
      <c r="I2" s="181" t="s">
        <v>1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AG2" s="137" t="s">
        <v>406</v>
      </c>
      <c r="AI2" s="137" t="s">
        <v>109</v>
      </c>
      <c r="AJ2" s="137" t="s">
        <v>69</v>
      </c>
      <c r="AN2" s="16" t="s">
        <v>107</v>
      </c>
      <c r="AT2" s="138" t="e">
        <f>IF(#REF!="základní",H2,0)</f>
        <v>#REF!</v>
      </c>
      <c r="AU2" s="138" t="e">
        <f>IF(#REF!="snížená",H2,0)</f>
        <v>#REF!</v>
      </c>
      <c r="AV2" s="138" t="e">
        <f>IF(#REF!="zákl. přenesená",H2,0)</f>
        <v>#REF!</v>
      </c>
      <c r="AW2" s="138" t="e">
        <f>IF(#REF!="sníž. přenesená",H2,0)</f>
        <v>#REF!</v>
      </c>
      <c r="AX2" s="138" t="e">
        <f>IF(#REF!="nulová",H2,0)</f>
        <v>#REF!</v>
      </c>
      <c r="AY2" s="16" t="s">
        <v>69</v>
      </c>
      <c r="AZ2" s="138">
        <f>ROUND(G2*F2,2)</f>
        <v>0</v>
      </c>
      <c r="BA2" s="16" t="s">
        <v>406</v>
      </c>
      <c r="BB2" s="137" t="s">
        <v>407</v>
      </c>
    </row>
    <row r="3" spans="1:20" s="2" customFormat="1" ht="28.5" customHeight="1">
      <c r="A3" s="49"/>
      <c r="B3" s="49"/>
      <c r="C3" s="49"/>
      <c r="D3" s="171" t="s">
        <v>484</v>
      </c>
      <c r="E3" s="49"/>
      <c r="F3" s="49"/>
      <c r="G3" s="49"/>
      <c r="H3" s="4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54" ht="12">
      <c r="A4" s="172"/>
      <c r="B4" s="172"/>
      <c r="C4" s="172"/>
      <c r="D4" s="172" t="s">
        <v>485</v>
      </c>
      <c r="E4" s="172"/>
      <c r="F4" s="172"/>
      <c r="G4" s="172"/>
      <c r="H4" s="17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">
      <c r="A5" s="172"/>
      <c r="B5" s="172"/>
      <c r="C5" s="172"/>
      <c r="D5" s="172" t="s">
        <v>486</v>
      </c>
      <c r="E5" s="172"/>
      <c r="F5" s="172"/>
      <c r="G5" s="172"/>
      <c r="H5" s="17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">
      <c r="A6" s="173"/>
      <c r="B6" s="174" t="s">
        <v>487</v>
      </c>
      <c r="C6" s="175"/>
      <c r="D6" s="176" t="s">
        <v>488</v>
      </c>
      <c r="E6" s="177" t="s">
        <v>404</v>
      </c>
      <c r="F6" s="178">
        <v>1</v>
      </c>
      <c r="G6" s="179">
        <v>0</v>
      </c>
      <c r="H6" s="180">
        <f>ROUND(G6*F6,2)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45">
      <c r="A7" s="1"/>
      <c r="B7" s="1"/>
      <c r="C7" s="1"/>
      <c r="D7" s="236" t="s">
        <v>495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5"/>
  <sheetViews>
    <sheetView showGridLines="0" tabSelected="1" zoomScale="160" zoomScaleNormal="160" workbookViewId="0" topLeftCell="A43">
      <selection activeCell="F53" sqref="F5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5" customHeight="1">
      <c r="L2" s="224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6" t="s">
        <v>75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2:46" s="1" customFormat="1" ht="24.95" customHeight="1">
      <c r="B4" s="19"/>
      <c r="D4" s="20" t="s">
        <v>79</v>
      </c>
      <c r="L4" s="19"/>
      <c r="M4" s="85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14</v>
      </c>
      <c r="L6" s="19"/>
    </row>
    <row r="7" spans="2:12" s="1" customFormat="1" ht="16.5" customHeight="1">
      <c r="B7" s="19"/>
      <c r="E7" s="233"/>
      <c r="F7" s="234"/>
      <c r="G7" s="234"/>
      <c r="H7" s="234"/>
      <c r="L7" s="19"/>
    </row>
    <row r="8" spans="1:31" s="2" customFormat="1" ht="12" customHeight="1">
      <c r="A8" s="28"/>
      <c r="B8" s="29"/>
      <c r="C8" s="28"/>
      <c r="D8" s="25" t="s">
        <v>80</v>
      </c>
      <c r="E8" s="28"/>
      <c r="F8" s="28"/>
      <c r="G8" s="28"/>
      <c r="H8" s="28"/>
      <c r="I8" s="28"/>
      <c r="J8" s="28"/>
      <c r="K8" s="28"/>
      <c r="L8" s="3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97" t="s">
        <v>408</v>
      </c>
      <c r="F9" s="235"/>
      <c r="G9" s="235"/>
      <c r="H9" s="235"/>
      <c r="I9" s="28"/>
      <c r="J9" s="28"/>
      <c r="K9" s="28"/>
      <c r="L9" s="3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3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17</v>
      </c>
      <c r="E12" s="28"/>
      <c r="F12" s="23"/>
      <c r="G12" s="28"/>
      <c r="H12" s="28"/>
      <c r="I12" s="25" t="s">
        <v>18</v>
      </c>
      <c r="J12" s="46">
        <f>'Rekapitulace stavby'!AN8</f>
        <v>0</v>
      </c>
      <c r="K12" s="28"/>
      <c r="L12" s="3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3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/>
      <c r="F15" s="28"/>
      <c r="G15" s="28"/>
      <c r="H15" s="28"/>
      <c r="I15" s="25" t="s">
        <v>21</v>
      </c>
      <c r="J15" s="23" t="s">
        <v>1</v>
      </c>
      <c r="K15" s="28"/>
      <c r="L15" s="3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22</v>
      </c>
      <c r="E17" s="28"/>
      <c r="F17" s="28"/>
      <c r="G17" s="28"/>
      <c r="H17" s="28"/>
      <c r="I17" s="25" t="s">
        <v>20</v>
      </c>
      <c r="J17" s="23" t="str">
        <f>'Rekapitulace stavby'!AN13</f>
        <v/>
      </c>
      <c r="K17" s="28"/>
      <c r="L17" s="3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32" t="str">
        <f>'Rekapitulace stavby'!E14</f>
        <v xml:space="preserve"> </v>
      </c>
      <c r="F18" s="232"/>
      <c r="G18" s="232"/>
      <c r="H18" s="232"/>
      <c r="I18" s="25" t="s">
        <v>21</v>
      </c>
      <c r="J18" s="23" t="str">
        <f>'Rekapitulace stavby'!AN14</f>
        <v/>
      </c>
      <c r="K18" s="28"/>
      <c r="L18" s="3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24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3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/>
      <c r="F21" s="28"/>
      <c r="G21" s="28"/>
      <c r="H21" s="28"/>
      <c r="I21" s="25" t="s">
        <v>21</v>
      </c>
      <c r="J21" s="23" t="s">
        <v>1</v>
      </c>
      <c r="K21" s="28"/>
      <c r="L21" s="3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7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26</v>
      </c>
      <c r="E23" s="28"/>
      <c r="F23" s="28"/>
      <c r="G23" s="28"/>
      <c r="H23" s="28"/>
      <c r="I23" s="25" t="s">
        <v>20</v>
      </c>
      <c r="J23" s="23" t="str">
        <f>IF('Rekapitulace stavby'!AN19="","",'Rekapitulace stavby'!AN19)</f>
        <v/>
      </c>
      <c r="K23" s="28"/>
      <c r="L23" s="37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21</v>
      </c>
      <c r="J24" s="23" t="str">
        <f>IF('Rekapitulace stavby'!AN20="","",'Rekapitulace stavby'!AN20)</f>
        <v/>
      </c>
      <c r="K24" s="28"/>
      <c r="L24" s="3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27</v>
      </c>
      <c r="E26" s="28"/>
      <c r="F26" s="28"/>
      <c r="G26" s="28"/>
      <c r="H26" s="28"/>
      <c r="I26" s="28"/>
      <c r="J26" s="28"/>
      <c r="K26" s="28"/>
      <c r="L26" s="3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86"/>
      <c r="B27" s="87"/>
      <c r="C27" s="86"/>
      <c r="D27" s="86"/>
      <c r="E27" s="220" t="s">
        <v>1</v>
      </c>
      <c r="F27" s="220"/>
      <c r="G27" s="220"/>
      <c r="H27" s="220"/>
      <c r="I27" s="86"/>
      <c r="J27" s="86"/>
      <c r="K27" s="86"/>
      <c r="L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57"/>
      <c r="E29" s="57"/>
      <c r="F29" s="57"/>
      <c r="G29" s="57"/>
      <c r="H29" s="57"/>
      <c r="I29" s="57"/>
      <c r="J29" s="57"/>
      <c r="K29" s="57"/>
      <c r="L29" s="37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89" t="s">
        <v>28</v>
      </c>
      <c r="E30" s="28"/>
      <c r="F30" s="28"/>
      <c r="G30" s="28"/>
      <c r="H30" s="28"/>
      <c r="I30" s="28"/>
      <c r="J30" s="62">
        <f>ROUND(J48,2)</f>
        <v>0</v>
      </c>
      <c r="K30" s="28"/>
      <c r="L30" s="37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57"/>
      <c r="E31" s="57"/>
      <c r="F31" s="57"/>
      <c r="G31" s="57"/>
      <c r="H31" s="57"/>
      <c r="I31" s="57"/>
      <c r="J31" s="57"/>
      <c r="K31" s="57"/>
      <c r="L31" s="3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4" spans="1:31" s="2" customFormat="1" ht="6.95" customHeight="1">
      <c r="A34" s="28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37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24.95" customHeight="1">
      <c r="A35" s="28"/>
      <c r="B35" s="29"/>
      <c r="C35" s="20" t="s">
        <v>92</v>
      </c>
      <c r="D35" s="28"/>
      <c r="E35" s="28"/>
      <c r="F35" s="28"/>
      <c r="G35" s="28"/>
      <c r="H35" s="28"/>
      <c r="I35" s="28"/>
      <c r="J35" s="28"/>
      <c r="K35" s="28"/>
      <c r="L35" s="3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37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2" customHeight="1">
      <c r="A37" s="28"/>
      <c r="B37" s="29"/>
      <c r="C37" s="25" t="s">
        <v>14</v>
      </c>
      <c r="D37" s="28"/>
      <c r="E37" s="28"/>
      <c r="F37" s="28"/>
      <c r="G37" s="28"/>
      <c r="H37" s="28"/>
      <c r="I37" s="28"/>
      <c r="J37" s="28"/>
      <c r="K37" s="28"/>
      <c r="L37" s="3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6.5" customHeight="1">
      <c r="A38" s="28"/>
      <c r="B38" s="29"/>
      <c r="C38" s="28"/>
      <c r="D38" s="28"/>
      <c r="E38" s="233"/>
      <c r="F38" s="234"/>
      <c r="G38" s="234"/>
      <c r="H38" s="234"/>
      <c r="I38" s="28"/>
      <c r="J38" s="28"/>
      <c r="K38" s="28"/>
      <c r="L38" s="37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2" customHeight="1">
      <c r="A39" s="28"/>
      <c r="B39" s="29"/>
      <c r="C39" s="25" t="s">
        <v>80</v>
      </c>
      <c r="D39" s="28"/>
      <c r="E39" s="28"/>
      <c r="F39" s="28"/>
      <c r="G39" s="28"/>
      <c r="H39" s="28"/>
      <c r="I39" s="28"/>
      <c r="J39" s="28"/>
      <c r="K39" s="28"/>
      <c r="L39" s="3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6.5" customHeight="1">
      <c r="A40" s="28"/>
      <c r="B40" s="29"/>
      <c r="C40" s="28"/>
      <c r="D40" s="28"/>
      <c r="E40" s="197" t="str">
        <f>E9</f>
        <v>SO - 04 - VRN</v>
      </c>
      <c r="F40" s="235"/>
      <c r="G40" s="235"/>
      <c r="H40" s="235"/>
      <c r="I40" s="28"/>
      <c r="J40" s="28"/>
      <c r="K40" s="28"/>
      <c r="L40" s="37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6.95" customHeight="1">
      <c r="A41" s="28"/>
      <c r="B41" s="29"/>
      <c r="C41" s="28"/>
      <c r="D41" s="28"/>
      <c r="E41" s="28"/>
      <c r="F41" s="28"/>
      <c r="G41" s="28"/>
      <c r="H41" s="28"/>
      <c r="I41" s="28"/>
      <c r="J41" s="28"/>
      <c r="K41" s="28"/>
      <c r="L41" s="37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2" customHeight="1">
      <c r="A42" s="28"/>
      <c r="B42" s="29"/>
      <c r="C42" s="25" t="s">
        <v>17</v>
      </c>
      <c r="D42" s="28"/>
      <c r="E42" s="28"/>
      <c r="F42" s="23"/>
      <c r="G42" s="28"/>
      <c r="H42" s="28"/>
      <c r="I42" s="25" t="s">
        <v>18</v>
      </c>
      <c r="J42" s="46">
        <f>IF(J12="","",J12)</f>
        <v>0</v>
      </c>
      <c r="K42" s="28"/>
      <c r="L42" s="37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s="2" customFormat="1" ht="6.95" customHeight="1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37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25.7" customHeight="1">
      <c r="A44" s="28"/>
      <c r="B44" s="29"/>
      <c r="C44" s="25" t="s">
        <v>19</v>
      </c>
      <c r="D44" s="28"/>
      <c r="E44" s="28"/>
      <c r="F44" s="23"/>
      <c r="G44" s="28"/>
      <c r="H44" s="28"/>
      <c r="I44" s="25" t="s">
        <v>24</v>
      </c>
      <c r="J44" s="26">
        <f>E21</f>
        <v>0</v>
      </c>
      <c r="K44" s="28"/>
      <c r="L44" s="3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2" customFormat="1" ht="15.2" customHeight="1">
      <c r="A45" s="28"/>
      <c r="B45" s="29"/>
      <c r="C45" s="25" t="s">
        <v>22</v>
      </c>
      <c r="D45" s="28"/>
      <c r="E45" s="28"/>
      <c r="F45" s="23" t="str">
        <f>IF(E18="","",E18)</f>
        <v xml:space="preserve"> </v>
      </c>
      <c r="G45" s="28"/>
      <c r="H45" s="28"/>
      <c r="I45" s="25" t="s">
        <v>26</v>
      </c>
      <c r="J45" s="26" t="str">
        <f>E24</f>
        <v xml:space="preserve"> </v>
      </c>
      <c r="K45" s="28"/>
      <c r="L45" s="37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2" customFormat="1" ht="10.35" customHeight="1">
      <c r="A46" s="28"/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3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11" customFormat="1" ht="29.25" customHeight="1">
      <c r="A47" s="102"/>
      <c r="B47" s="103"/>
      <c r="C47" s="104" t="s">
        <v>93</v>
      </c>
      <c r="D47" s="105" t="s">
        <v>46</v>
      </c>
      <c r="E47" s="105" t="s">
        <v>42</v>
      </c>
      <c r="F47" s="105" t="s">
        <v>43</v>
      </c>
      <c r="G47" s="105" t="s">
        <v>94</v>
      </c>
      <c r="H47" s="105" t="s">
        <v>95</v>
      </c>
      <c r="I47" s="105" t="s">
        <v>96</v>
      </c>
      <c r="J47" s="106" t="s">
        <v>84</v>
      </c>
      <c r="K47" s="107" t="s">
        <v>97</v>
      </c>
      <c r="L47" s="108"/>
      <c r="M47" s="53" t="s">
        <v>1</v>
      </c>
      <c r="N47" s="54" t="s">
        <v>32</v>
      </c>
      <c r="O47" s="54" t="s">
        <v>98</v>
      </c>
      <c r="P47" s="54" t="s">
        <v>99</v>
      </c>
      <c r="Q47" s="54" t="s">
        <v>100</v>
      </c>
      <c r="R47" s="54" t="s">
        <v>101</v>
      </c>
      <c r="S47" s="54" t="s">
        <v>102</v>
      </c>
      <c r="T47" s="55" t="s">
        <v>103</v>
      </c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63" s="2" customFormat="1" ht="22.9" customHeight="1">
      <c r="A48" s="28"/>
      <c r="B48" s="29"/>
      <c r="C48" s="60" t="s">
        <v>104</v>
      </c>
      <c r="D48" s="28"/>
      <c r="E48" s="28"/>
      <c r="F48" s="28"/>
      <c r="G48" s="28"/>
      <c r="H48" s="28"/>
      <c r="I48" s="28"/>
      <c r="J48" s="109">
        <f>J49</f>
        <v>0</v>
      </c>
      <c r="K48" s="28"/>
      <c r="L48" s="29"/>
      <c r="M48" s="56"/>
      <c r="N48" s="47"/>
      <c r="O48" s="57"/>
      <c r="P48" s="110">
        <f>P49</f>
        <v>0</v>
      </c>
      <c r="Q48" s="57"/>
      <c r="R48" s="110">
        <f>R49</f>
        <v>0</v>
      </c>
      <c r="S48" s="57"/>
      <c r="T48" s="111">
        <f>T49</f>
        <v>0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T48" s="16" t="s">
        <v>60</v>
      </c>
      <c r="AU48" s="16" t="s">
        <v>86</v>
      </c>
      <c r="BK48" s="112">
        <f>BK49</f>
        <v>0</v>
      </c>
    </row>
    <row r="49" spans="2:63" s="12" customFormat="1" ht="25.9" customHeight="1">
      <c r="B49" s="113"/>
      <c r="D49" s="114" t="s">
        <v>60</v>
      </c>
      <c r="E49" s="115" t="s">
        <v>74</v>
      </c>
      <c r="F49" s="115" t="s">
        <v>409</v>
      </c>
      <c r="J49" s="116">
        <f>J50+J52</f>
        <v>0</v>
      </c>
      <c r="L49" s="113"/>
      <c r="M49" s="117"/>
      <c r="N49" s="118"/>
      <c r="O49" s="118"/>
      <c r="P49" s="119">
        <f>P50+P52</f>
        <v>0</v>
      </c>
      <c r="Q49" s="118"/>
      <c r="R49" s="119">
        <f>R50+R52</f>
        <v>0</v>
      </c>
      <c r="S49" s="118"/>
      <c r="T49" s="120">
        <f>T50+T52</f>
        <v>0</v>
      </c>
      <c r="AR49" s="114" t="s">
        <v>124</v>
      </c>
      <c r="AT49" s="121" t="s">
        <v>60</v>
      </c>
      <c r="AU49" s="121" t="s">
        <v>61</v>
      </c>
      <c r="AY49" s="114" t="s">
        <v>107</v>
      </c>
      <c r="BK49" s="122">
        <f>BK50+BK52</f>
        <v>0</v>
      </c>
    </row>
    <row r="50" spans="2:63" s="12" customFormat="1" ht="22.9" customHeight="1">
      <c r="B50" s="113"/>
      <c r="D50" s="114" t="s">
        <v>60</v>
      </c>
      <c r="E50" s="123" t="s">
        <v>410</v>
      </c>
      <c r="F50" s="123" t="s">
        <v>411</v>
      </c>
      <c r="J50" s="124">
        <f>J51</f>
        <v>0</v>
      </c>
      <c r="L50" s="113"/>
      <c r="M50" s="117"/>
      <c r="N50" s="118"/>
      <c r="O50" s="118"/>
      <c r="P50" s="119">
        <f>P51</f>
        <v>0</v>
      </c>
      <c r="Q50" s="118"/>
      <c r="R50" s="119">
        <f>R51</f>
        <v>0</v>
      </c>
      <c r="S50" s="118"/>
      <c r="T50" s="120">
        <f>T51</f>
        <v>0</v>
      </c>
      <c r="AR50" s="114" t="s">
        <v>124</v>
      </c>
      <c r="AT50" s="121" t="s">
        <v>60</v>
      </c>
      <c r="AU50" s="121" t="s">
        <v>69</v>
      </c>
      <c r="AY50" s="114" t="s">
        <v>107</v>
      </c>
      <c r="BK50" s="122">
        <f>BK51</f>
        <v>0</v>
      </c>
    </row>
    <row r="51" spans="1:65" s="2" customFormat="1" ht="51.75" customHeight="1">
      <c r="A51" s="28"/>
      <c r="B51" s="125"/>
      <c r="C51" s="126" t="s">
        <v>69</v>
      </c>
      <c r="D51" s="126" t="s">
        <v>109</v>
      </c>
      <c r="E51" s="127" t="s">
        <v>412</v>
      </c>
      <c r="F51" s="128" t="s">
        <v>489</v>
      </c>
      <c r="G51" s="129" t="s">
        <v>404</v>
      </c>
      <c r="H51" s="130">
        <v>1</v>
      </c>
      <c r="I51" s="131">
        <v>0</v>
      </c>
      <c r="J51" s="131">
        <f>I51*H51</f>
        <v>0</v>
      </c>
      <c r="K51" s="132"/>
      <c r="L51" s="29"/>
      <c r="M51" s="133" t="s">
        <v>1</v>
      </c>
      <c r="N51" s="134" t="s">
        <v>33</v>
      </c>
      <c r="O51" s="135">
        <v>0</v>
      </c>
      <c r="P51" s="135">
        <f>O51*H51</f>
        <v>0</v>
      </c>
      <c r="Q51" s="135">
        <v>0</v>
      </c>
      <c r="R51" s="135">
        <f>Q51*H51</f>
        <v>0</v>
      </c>
      <c r="S51" s="135">
        <v>0</v>
      </c>
      <c r="T51" s="136">
        <f>S51*H51</f>
        <v>0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R51" s="137" t="s">
        <v>413</v>
      </c>
      <c r="AT51" s="137" t="s">
        <v>109</v>
      </c>
      <c r="AU51" s="137" t="s">
        <v>71</v>
      </c>
      <c r="AY51" s="16" t="s">
        <v>107</v>
      </c>
      <c r="BE51" s="138">
        <f>IF(N51="základní",J51,0)</f>
        <v>0</v>
      </c>
      <c r="BF51" s="138">
        <f>IF(N51="snížená",J51,0)</f>
        <v>0</v>
      </c>
      <c r="BG51" s="138">
        <f>IF(N51="zákl. přenesená",J51,0)</f>
        <v>0</v>
      </c>
      <c r="BH51" s="138">
        <f>IF(N51="sníž. přenesená",J51,0)</f>
        <v>0</v>
      </c>
      <c r="BI51" s="138">
        <f>IF(N51="nulová",J51,0)</f>
        <v>0</v>
      </c>
      <c r="BJ51" s="16" t="s">
        <v>69</v>
      </c>
      <c r="BK51" s="138">
        <f>ROUND(I51*H51,2)</f>
        <v>0</v>
      </c>
      <c r="BL51" s="16" t="s">
        <v>413</v>
      </c>
      <c r="BM51" s="137" t="s">
        <v>414</v>
      </c>
    </row>
    <row r="52" spans="2:63" s="12" customFormat="1" ht="22.9" customHeight="1">
      <c r="B52" s="113"/>
      <c r="D52" s="114" t="s">
        <v>60</v>
      </c>
      <c r="E52" s="123" t="s">
        <v>415</v>
      </c>
      <c r="F52" s="123" t="s">
        <v>416</v>
      </c>
      <c r="J52" s="124">
        <f>J53+J54</f>
        <v>0</v>
      </c>
      <c r="L52" s="113"/>
      <c r="M52" s="117"/>
      <c r="N52" s="118"/>
      <c r="O52" s="118"/>
      <c r="P52" s="119">
        <f>SUM(P53:P54)</f>
        <v>0</v>
      </c>
      <c r="Q52" s="118"/>
      <c r="R52" s="119">
        <f>SUM(R53:R54)</f>
        <v>0</v>
      </c>
      <c r="S52" s="118"/>
      <c r="T52" s="120">
        <f>SUM(T53:T54)</f>
        <v>0</v>
      </c>
      <c r="AR52" s="114" t="s">
        <v>124</v>
      </c>
      <c r="AT52" s="121" t="s">
        <v>60</v>
      </c>
      <c r="AU52" s="121" t="s">
        <v>69</v>
      </c>
      <c r="AY52" s="114" t="s">
        <v>107</v>
      </c>
      <c r="BK52" s="122">
        <f>SUM(BK53:BK54)</f>
        <v>0</v>
      </c>
    </row>
    <row r="53" spans="1:65" s="2" customFormat="1" ht="16.5" customHeight="1">
      <c r="A53" s="28"/>
      <c r="B53" s="125"/>
      <c r="C53" s="126" t="s">
        <v>71</v>
      </c>
      <c r="D53" s="126" t="s">
        <v>109</v>
      </c>
      <c r="E53" s="127" t="s">
        <v>417</v>
      </c>
      <c r="F53" s="128" t="s">
        <v>418</v>
      </c>
      <c r="G53" s="129" t="s">
        <v>404</v>
      </c>
      <c r="H53" s="130">
        <v>1</v>
      </c>
      <c r="I53" s="131">
        <v>0</v>
      </c>
      <c r="J53" s="131">
        <f>I53*H53</f>
        <v>0</v>
      </c>
      <c r="K53" s="132"/>
      <c r="L53" s="29"/>
      <c r="M53" s="133" t="s">
        <v>1</v>
      </c>
      <c r="N53" s="134" t="s">
        <v>33</v>
      </c>
      <c r="O53" s="135">
        <v>0</v>
      </c>
      <c r="P53" s="135">
        <f>O53*H53</f>
        <v>0</v>
      </c>
      <c r="Q53" s="135">
        <v>0</v>
      </c>
      <c r="R53" s="135">
        <f>Q53*H53</f>
        <v>0</v>
      </c>
      <c r="S53" s="135">
        <v>0</v>
      </c>
      <c r="T53" s="136">
        <f>S53*H53</f>
        <v>0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R53" s="137" t="s">
        <v>413</v>
      </c>
      <c r="AT53" s="137" t="s">
        <v>109</v>
      </c>
      <c r="AU53" s="137" t="s">
        <v>71</v>
      </c>
      <c r="AY53" s="16" t="s">
        <v>107</v>
      </c>
      <c r="BE53" s="138">
        <f>IF(N53="základní",J53,0)</f>
        <v>0</v>
      </c>
      <c r="BF53" s="138">
        <f>IF(N53="snížená",J53,0)</f>
        <v>0</v>
      </c>
      <c r="BG53" s="138">
        <f>IF(N53="zákl. přenesená",J53,0)</f>
        <v>0</v>
      </c>
      <c r="BH53" s="138">
        <f>IF(N53="sníž. přenesená",J53,0)</f>
        <v>0</v>
      </c>
      <c r="BI53" s="138">
        <f>IF(N53="nulová",J53,0)</f>
        <v>0</v>
      </c>
      <c r="BJ53" s="16" t="s">
        <v>69</v>
      </c>
      <c r="BK53" s="138">
        <f>ROUND(I53*H53,2)</f>
        <v>0</v>
      </c>
      <c r="BL53" s="16" t="s">
        <v>413</v>
      </c>
      <c r="BM53" s="137" t="s">
        <v>419</v>
      </c>
    </row>
    <row r="54" spans="1:65" s="2" customFormat="1" ht="16.5" customHeight="1">
      <c r="A54" s="28"/>
      <c r="B54" s="125"/>
      <c r="C54" s="126" t="s">
        <v>116</v>
      </c>
      <c r="D54" s="126" t="s">
        <v>109</v>
      </c>
      <c r="E54" s="127" t="s">
        <v>420</v>
      </c>
      <c r="F54" s="128" t="s">
        <v>421</v>
      </c>
      <c r="G54" s="129" t="s">
        <v>404</v>
      </c>
      <c r="H54" s="130">
        <v>1</v>
      </c>
      <c r="I54" s="131">
        <v>0</v>
      </c>
      <c r="J54" s="131">
        <f>I54*H54</f>
        <v>0</v>
      </c>
      <c r="K54" s="132"/>
      <c r="L54" s="29"/>
      <c r="M54" s="164" t="s">
        <v>1</v>
      </c>
      <c r="N54" s="165" t="s">
        <v>33</v>
      </c>
      <c r="O54" s="166">
        <v>0</v>
      </c>
      <c r="P54" s="166">
        <f>O54*H54</f>
        <v>0</v>
      </c>
      <c r="Q54" s="166">
        <v>0</v>
      </c>
      <c r="R54" s="166">
        <f>Q54*H54</f>
        <v>0</v>
      </c>
      <c r="S54" s="166">
        <v>0</v>
      </c>
      <c r="T54" s="167">
        <f>S54*H54</f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R54" s="137" t="s">
        <v>413</v>
      </c>
      <c r="AT54" s="137" t="s">
        <v>109</v>
      </c>
      <c r="AU54" s="137" t="s">
        <v>71</v>
      </c>
      <c r="AY54" s="16" t="s">
        <v>107</v>
      </c>
      <c r="BE54" s="138">
        <f>IF(N54="základní",J54,0)</f>
        <v>0</v>
      </c>
      <c r="BF54" s="138">
        <f>IF(N54="snížená",J54,0)</f>
        <v>0</v>
      </c>
      <c r="BG54" s="138">
        <f>IF(N54="zákl. přenesená",J54,0)</f>
        <v>0</v>
      </c>
      <c r="BH54" s="138">
        <f>IF(N54="sníž. přenesená",J54,0)</f>
        <v>0</v>
      </c>
      <c r="BI54" s="138">
        <f>IF(N54="nulová",J54,0)</f>
        <v>0</v>
      </c>
      <c r="BJ54" s="16" t="s">
        <v>69</v>
      </c>
      <c r="BK54" s="138">
        <f>ROUND(I54*H54,2)</f>
        <v>0</v>
      </c>
      <c r="BL54" s="16" t="s">
        <v>413</v>
      </c>
      <c r="BM54" s="137" t="s">
        <v>422</v>
      </c>
    </row>
    <row r="55" spans="1:31" s="2" customFormat="1" ht="6.95" customHeight="1">
      <c r="A55" s="28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29"/>
      <c r="M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</sheetData>
  <autoFilter ref="C47:K54"/>
  <mergeCells count="7">
    <mergeCell ref="E38:H38"/>
    <mergeCell ref="E40:H40"/>
    <mergeCell ref="L2:V2"/>
    <mergeCell ref="E7:H7"/>
    <mergeCell ref="E9:H9"/>
    <mergeCell ref="E18:H18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Čápová Soňa</dc:creator>
  <cp:keywords/>
  <dc:description/>
  <cp:lastModifiedBy>sagl@ksarchitekti.cz</cp:lastModifiedBy>
  <dcterms:created xsi:type="dcterms:W3CDTF">2022-05-09T08:23:12Z</dcterms:created>
  <dcterms:modified xsi:type="dcterms:W3CDTF">2023-12-05T10:45:50Z</dcterms:modified>
  <cp:category/>
  <cp:version/>
  <cp:contentType/>
  <cp:contentStatus/>
</cp:coreProperties>
</file>