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810" windowWidth="28215" windowHeight="11415" activeTab="1"/>
  </bookViews>
  <sheets>
    <sheet name="Rekapitulace stavby" sheetId="1" r:id="rId1"/>
    <sheet name="SO 01 _stavební část" sheetId="7" r:id="rId2"/>
    <sheet name="SO 02 - EL" sheetId="3" r:id="rId3"/>
    <sheet name="Vedlejší a ostatn..." sheetId="4" r:id="rId4"/>
  </sheets>
  <externalReferences>
    <externalReference r:id="rId7"/>
  </externalReferences>
  <definedNames>
    <definedName name="_xlnm._FilterDatabase" localSheetId="1" hidden="1">'SO 01 _stavební část'!$C$63:$K$108</definedName>
    <definedName name="_xlnm._FilterDatabase" localSheetId="2" hidden="1">'SO 02 - EL'!$C$55:$K$59</definedName>
    <definedName name="_xlnm._FilterDatabase" localSheetId="3" hidden="1">'Vedlejší a ostatn...'!$C$119:$K$128</definedName>
    <definedName name="cisloobjektu" localSheetId="1">#REF!</definedName>
    <definedName name="cisloobjektu">#REF!</definedName>
    <definedName name="cislostavby" localSheetId="1">#REF!</definedName>
    <definedName name="cislostavby">#REF!</definedName>
    <definedName name="Datum" localSheetId="1">#REF!</definedName>
    <definedName name="Datum">#REF!</definedName>
    <definedName name="Dodavka" localSheetId="1">#REF!</definedName>
    <definedName name="Dodavka">#REF!</definedName>
    <definedName name="Dodavka0" localSheetId="1">#REF!</definedName>
    <definedName name="Dodavka0">#REF!</definedName>
    <definedName name="HSV">'[1]Rekapitulace STAVEBNÍ ČÁST'!$E$17</definedName>
    <definedName name="HSV0" localSheetId="1">#REF!</definedName>
    <definedName name="HSV0">#REF!</definedName>
    <definedName name="HZS" localSheetId="1">#REF!</definedName>
    <definedName name="HZS">#REF!</definedName>
    <definedName name="HZS0" localSheetId="1">#REF!</definedName>
    <definedName name="HZS0">#REF!</definedName>
    <definedName name="JKSO" localSheetId="1">#REF!</definedName>
    <definedName name="JKSO">#REF!</definedName>
    <definedName name="MJ" localSheetId="1">#REF!</definedName>
    <definedName name="MJ">#REF!</definedName>
    <definedName name="Mont" localSheetId="1">#REF!</definedName>
    <definedName name="Mont">#REF!</definedName>
    <definedName name="Montaz0" localSheetId="1">#REF!</definedName>
    <definedName name="Montaz0">#REF!</definedName>
    <definedName name="nazevobjektu" localSheetId="1">#REF!</definedName>
    <definedName name="nazevobjektu">#REF!</definedName>
    <definedName name="nazevstavby" localSheetId="1">#REF!</definedName>
    <definedName name="nazevstavby">#REF!</definedName>
    <definedName name="Objednatel" localSheetId="1">#REF!</definedName>
    <definedName name="Objednatel">#REF!</definedName>
    <definedName name="_xlnm.Print_Area" localSheetId="0">'Rekapitulace stavby'!$D$4:$AO$75,'Rekapitulace stavby'!$C$81:$AQ$98</definedName>
    <definedName name="_xlnm.Print_Area" localSheetId="1">'SO 01 _stavební část'!$C$4:$J$30,'SO 01 _stavební část'!$C$34:$J$45,'SO 01 _stavební část'!$C$51:$J$108</definedName>
    <definedName name="_xlnm.Print_Area" localSheetId="3">'Vedlejší a ostatn...'!$C$4:$J$76,'Vedlejší a ostatn...'!$C$82:$J$101,'Vedlejší a ostatn...'!$C$107:$J$128</definedName>
    <definedName name="PocetMJ" localSheetId="1">#REF!</definedName>
    <definedName name="PocetMJ">#REF!</definedName>
    <definedName name="Poznamka" localSheetId="1">#REF!</definedName>
    <definedName name="Poznamka">#REF!</definedName>
    <definedName name="Projektant" localSheetId="1">#REF!</definedName>
    <definedName name="Projektant">#REF!</definedName>
    <definedName name="PSV" localSheetId="1">#REF!</definedName>
    <definedName name="PSV">#REF!</definedName>
    <definedName name="PSV0" localSheetId="1">#REF!</definedName>
    <definedName name="PSV0">#REF!</definedName>
    <definedName name="Typ" localSheetId="1">#REF!</definedName>
    <definedName name="Typ">#REF!</definedName>
    <definedName name="VRN" localSheetId="1">#REF!</definedName>
    <definedName name="VRN">#REF!</definedName>
    <definedName name="VRNKc" localSheetId="1">#REF!</definedName>
    <definedName name="VRNKc">#REF!</definedName>
    <definedName name="VRNnazev" localSheetId="1">#REF!</definedName>
    <definedName name="VRNnazev">#REF!</definedName>
    <definedName name="VRNproc" localSheetId="1">#REF!</definedName>
    <definedName name="VRNproc">#REF!</definedName>
    <definedName name="VRNzakl" localSheetId="1">#REF!</definedName>
    <definedName name="VRNzakl">#REF!</definedName>
    <definedName name="Zakazka" localSheetId="1">#REF!</definedName>
    <definedName name="Zakazka">#REF!</definedName>
    <definedName name="Zaklad22" localSheetId="1">#REF!</definedName>
    <definedName name="Zaklad22">#REF!</definedName>
    <definedName name="Zaklad5" localSheetId="1">#REF!</definedName>
    <definedName name="Zaklad5">#REF!</definedName>
    <definedName name="Zhotovitel" localSheetId="1">#REF!</definedName>
    <definedName name="Zhotovitel">#REF!</definedName>
    <definedName name="_xlnm.Print_Titles" localSheetId="0">'Rekapitulace stavby'!$91:$91</definedName>
    <definedName name="_xlnm.Print_Titles" localSheetId="1">'SO 01 _stavební část'!$63:$63</definedName>
    <definedName name="_xlnm.Print_Titles" localSheetId="2">'SO 02 - EL'!$55:$55</definedName>
    <definedName name="_xlnm.Print_Titles" localSheetId="3">'Vedlejší a ostatn...'!$119:$119</definedName>
  </definedNames>
  <calcPr calcId="125725"/>
</workbook>
</file>

<file path=xl/sharedStrings.xml><?xml version="1.0" encoding="utf-8"?>
<sst xmlns="http://schemas.openxmlformats.org/spreadsheetml/2006/main" count="731" uniqueCount="227">
  <si>
    <t>Export Komplet</t>
  </si>
  <si>
    <t/>
  </si>
  <si>
    <t>2.0</t>
  </si>
  <si>
    <t>False</t>
  </si>
  <si>
    <t>{066c7d95-e1c1-432f-a81b-e41c200196fb}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</si>
  <si>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</si>
  <si>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</si>
  <si>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</si>
  <si>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</si>
  <si>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</si>
  <si>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</si>
  <si>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</si>
  <si>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</si>
  <si>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9033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</si>
  <si>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</si>
  <si>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</si>
  <si>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</si>
  <si>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</si>
  <si>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</si>
  <si>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</si>
  <si>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</si>
  <si>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</si>
  <si>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</si>
  <si>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</si>
  <si>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</si>
  <si>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Ing. Arch. Jan Ságl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</si>
  <si>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</si>
  <si>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</si>
  <si>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</si>
  <si>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</si>
  <si>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</si>
  <si>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</si>
  <si>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</si>
  <si>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</si>
  <si>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</si>
  <si>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</si>
  <si>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</si>
  <si>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</si>
  <si>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</si>
  <si>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</si>
  <si>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</si>
  <si>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</si>
  <si>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</si>
  <si>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</si>
  <si>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</si>
  <si>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</si>
  <si>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</si>
  <si>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</si>
  <si>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</si>
  <si>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</si>
  <si>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</si>
  <si>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</si>
  <si>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</si>
  <si>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</si>
  <si>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</si>
  <si>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</si>
  <si>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</si>
  <si>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</si>
  <si>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</si>
  <si>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</si>
  <si>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</si>
  <si>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</si>
  <si>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</si>
  <si>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</si>
  <si>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</si>
  <si>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</si>
  <si>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</si>
  <si>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</si>
  <si>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</si>
  <si>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</si>
  <si>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</si>
  <si>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</si>
  <si>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</si>
  <si>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</si>
  <si>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</si>
  <si>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</si>
  <si>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</t>
  </si>
  <si>
    <t>1</t>
  </si>
  <si>
    <t>{bd4f265b-82f1-49c5-9537-4077ec0322fb}</t>
  </si>
  <si>
    <t>2</t>
  </si>
  <si>
    <t>SO 02</t>
  </si>
  <si>
    <t>{cce428d3-d5cb-4de9-b18e-d03a4fd44952}</t>
  </si>
  <si>
    <t>Vedlejší a ostatní náklady</t>
  </si>
  <si>
    <t>{bf6113bf-d119-4be7-a096-8119b9267a97}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</si>
  <si>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</si>
  <si>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</si>
  <si>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</si>
  <si>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</si>
  <si>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</si>
  <si>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</si>
  <si>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</si>
  <si>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</si>
  <si>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</si>
  <si>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</si>
  <si>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</si>
  <si>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</si>
  <si>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</si>
  <si>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</si>
  <si>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</si>
  <si>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</si>
  <si>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</si>
  <si>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</si>
  <si>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</si>
  <si>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</si>
  <si>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</si>
  <si>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</si>
  <si>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</si>
  <si>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</si>
  <si>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K</t>
  </si>
  <si>
    <t>kus</t>
  </si>
  <si>
    <t>4</t>
  </si>
  <si>
    <t>VV</t>
  </si>
  <si>
    <t>m2</t>
  </si>
  <si>
    <t>6</t>
  </si>
  <si>
    <t>5</t>
  </si>
  <si>
    <t>m</t>
  </si>
  <si>
    <t>Úpravy povrchů, podlahy a osazování výplní</t>
  </si>
  <si>
    <t>9</t>
  </si>
  <si>
    <t>m3</t>
  </si>
  <si>
    <t>t</t>
  </si>
  <si>
    <t>Ostatní konstrukce a práce, bourání</t>
  </si>
  <si>
    <t>997</t>
  </si>
  <si>
    <t>Přesun sutě</t>
  </si>
  <si>
    <t>997013113</t>
  </si>
  <si>
    <t>Vnitrostaveništní doprava suti a vybouraných hmot pro budovy v přes 9 do 12 m s použitím mechanizace</t>
  </si>
  <si>
    <t>997013511</t>
  </si>
  <si>
    <t>Odvoz suti a vybouraných hmot z meziskládky na skládku do 1 km s naložením a se složením</t>
  </si>
  <si>
    <t>997013509</t>
  </si>
  <si>
    <t>Příplatek k odvozu suti a vybouraných hmot na skládku ZKD 1 km přes 1 km</t>
  </si>
  <si>
    <t>997013609</t>
  </si>
  <si>
    <t>Poplatek za uložení na skládce (skládkovné) stavebního odpadu ze směsí nebo oddělených frakcí betonu, cihel a keramických výrobků kód odpadu 17 01 07</t>
  </si>
  <si>
    <t>PSV</t>
  </si>
  <si>
    <t>Práce a dodávky PSV</t>
  </si>
  <si>
    <t>soub</t>
  </si>
  <si>
    <t>763</t>
  </si>
  <si>
    <t>Konstrukce suché výstavby</t>
  </si>
  <si>
    <t>766</t>
  </si>
  <si>
    <t>Konstrukce truhlářské</t>
  </si>
  <si>
    <t>783</t>
  </si>
  <si>
    <t>Dokončovací práce - nátěry</t>
  </si>
  <si>
    <t>783314101a</t>
  </si>
  <si>
    <t>784</t>
  </si>
  <si>
    <t>Dokončovací práce - malby a tapety</t>
  </si>
  <si>
    <t>784211101</t>
  </si>
  <si>
    <t>Dvojnásobné bílé malby ze směsí za mokra výborně oděruvzdorných v místnostech v do 3,80 m</t>
  </si>
  <si>
    <t>plocha_vsech_mistn</t>
  </si>
  <si>
    <t>plocha všech místností M 1.01 - M1.16</t>
  </si>
  <si>
    <t>100,91</t>
  </si>
  <si>
    <t>obklady</t>
  </si>
  <si>
    <t>plocha nových obkladů</t>
  </si>
  <si>
    <t>39,994</t>
  </si>
  <si>
    <t>plocha_omítek_štukov</t>
  </si>
  <si>
    <t>plochy dvouvrstvé štukové omítky celkem</t>
  </si>
  <si>
    <t>344,318</t>
  </si>
  <si>
    <t>Dlažby</t>
  </si>
  <si>
    <t>16,67</t>
  </si>
  <si>
    <t>-760845384</t>
  </si>
  <si>
    <t>kpl</t>
  </si>
  <si>
    <t>Provedení izolace proti zemní vlhkosti vodorovné za studena nátěrem penetračním</t>
  </si>
  <si>
    <t>784181101</t>
  </si>
  <si>
    <t>SO 03 -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</si>
  <si>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</si>
  <si>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</si>
  <si>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</si>
  <si>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</si>
  <si>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</si>
  <si>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</si>
  <si>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</si>
  <si>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</si>
  <si>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</si>
  <si>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1024</t>
  </si>
  <si>
    <t>-2147275011</t>
  </si>
  <si>
    <t>VRN3</t>
  </si>
  <si>
    <t>Zařízení staveniště</t>
  </si>
  <si>
    <t>030001000</t>
  </si>
  <si>
    <t>715519582</t>
  </si>
  <si>
    <t>VRN4</t>
  </si>
  <si>
    <t>Inženýrská činnost</t>
  </si>
  <si>
    <t>044003000</t>
  </si>
  <si>
    <t>1251715589</t>
  </si>
  <si>
    <t>R</t>
  </si>
  <si>
    <t>Revize - kpl</t>
  </si>
  <si>
    <t>Nátěr zárubní světle šedý</t>
  </si>
  <si>
    <t>M a D kuchyňské linky</t>
  </si>
  <si>
    <t>plocha_dlažeb</t>
  </si>
  <si>
    <t>Rekonstrukce částí objektu budovy Pavilonu H</t>
  </si>
  <si>
    <t>713120811</t>
  </si>
  <si>
    <t>vysazeni dveří, uložení do skladu v 1PP a zpětná motnáž</t>
  </si>
  <si>
    <t>ks</t>
  </si>
  <si>
    <t>Vysátí podkladu povlakových podlah</t>
  </si>
  <si>
    <t>Hloubková jednonásobná bezbarvá penetrace podkladu v místnostech v přes 5,00 m</t>
  </si>
  <si>
    <t>Příplatek k mazaninám za přidání ocelových vláken (drátkobeton) pro objemové vyztužení 35 kg/m3</t>
  </si>
  <si>
    <t>631319205</t>
  </si>
  <si>
    <t>Provedení izolace proti zemní vlhkosti vodorovné za horka nátěrem asfaltovým pomocným</t>
  </si>
  <si>
    <t xml:space="preserve"> 711121231</t>
  </si>
  <si>
    <t>Stěrkování speciální samonivelační stěrkou rychleschnoucí</t>
  </si>
  <si>
    <t>Strojní přeborušení nivelace včetně vysátí</t>
  </si>
  <si>
    <t>Dodávka a montáž vodivé lepené PVC podlahy</t>
  </si>
  <si>
    <t>Dodávka a montáž fabionového soklu včetně výplní, chemoprénu a akrylátů</t>
  </si>
  <si>
    <t>přesun hmot</t>
  </si>
  <si>
    <t>Kancelářská pozice - rozvody DAT- sesterna 4 poz</t>
  </si>
  <si>
    <t>Kancelářská pozice - rozvody DAT 2 poz</t>
  </si>
  <si>
    <t>Kancelářská pozice - rozvody DAT 3poz</t>
  </si>
  <si>
    <t>Kancelářská pozice - rozvody DAT 2poz</t>
  </si>
  <si>
    <t>Kancelářská pozice - rozvody DAT 3poz sesterna</t>
  </si>
  <si>
    <t xml:space="preserve">rozvody DAT </t>
  </si>
  <si>
    <t>Dokumentace skutečného provedení stavby + tičr</t>
  </si>
  <si>
    <t>úklid staveniště, zakrývání kci</t>
  </si>
  <si>
    <t>v ---  níže se nacházejí doplňkové a pomocné údaje k sestavám  --- v</t>
  </si>
  <si>
    <t>asfaltový pás z SBS modifikovaného asfaltu, nosná vložka ze skleněné tkaniny, horní povrch jemnozrnný minerální posyp, spodní povrch spalitelná PE fólie, tloušťka 4 mm</t>
  </si>
  <si>
    <t>Demontáž PVC lepeného k podkladu včetně likvidace</t>
  </si>
  <si>
    <t>Demontáž soklů (fabionu) včetně likvidace</t>
  </si>
  <si>
    <t>Odstranění tepelné izolace podlah volně kladené z vláknitých materiálů suchých tl do 100 mm - původní kročejová izolace</t>
  </si>
  <si>
    <t>Bourání podkladů pod dlažby nebo mazanin betonových nebo z litého asfaltu tl do 100 mm pl přes 4 m2 - vyztužených karisítí</t>
  </si>
  <si>
    <t>sesterna</t>
  </si>
  <si>
    <t>cistici m.</t>
  </si>
  <si>
    <t>pracovna</t>
  </si>
  <si>
    <t>Oprava celistvého SDK podhledu v rozsahu do 30 %  včetně obnovy povrchů :vybroušení, vložení skelné pásky do tmel, přetmelení. Součástí bude demotáž původních desek v místě instalace slaboproudých rozvodů a  zpětné osazení všech demontovaných koncových prvků</t>
  </si>
  <si>
    <t>LED svítidla do čistých prostor IP65. Přisazená, delky 1,8m/ velky jip + demontáž původních</t>
  </si>
  <si>
    <t>LED svítidla do čistých prostor IP65. Přisazená, delky 1,8m/ malý jip + demontáž původních</t>
  </si>
  <si>
    <t>Kancelářská pozice - rozvody DAT vedené v podlaze, kabel CAT6 UTP PE Fca venkovní  SXKD-6-UTP-PE , D+M.  pokládka do podlahy</t>
  </si>
  <si>
    <t>wifi - rozvody DAT vedeny pod stropem, kabel CAT6A v provedením oheň retardujícím, D+M. Sdružená pokládka pod strop do drátěných žlabů</t>
  </si>
  <si>
    <t>kamery - rozvody DAT vedeny pod stropem, kabel CAT6A v provedením oheň retardujícím, D+M. Sdružená pokládka pod strop do drátěných žlabů</t>
  </si>
  <si>
    <t>dozbrojeni ramp - rozvody DAT vedeny pod stropem, kabel CAT6A v provedením oheň retardujícím, D+M. Sdružená pokládka pod strop do drátěných žlabů</t>
  </si>
  <si>
    <t xml:space="preserve">systém sestra - pacient                                       Sběrnicový modul pro bezdrátové připojení komponentů 3
Bezdrátové nástěnné tlačítko pro systém 16
Bezdrátová klávesnice s displejem, klávesnicí a čtečkou 2
tažný spínač, 16
Bezdrátový magnetický detektor, 2
Bezdrátová siréna vnitřní do zásuvky 2
kabeláže a akumulátory
</t>
  </si>
  <si>
    <t>Základní akrylátová jednonásobná penetrace podkladu v místnostech výšky do 3,80m, součástí bude lokální oprava původního obkladu vč. zapravení otvorů po kotvení</t>
  </si>
  <si>
    <t>Mazanina tl přes 50 do 80 mm z betonu prostého bez zvýšených nároků na prostředí tř. C 25/30 včetně dilataci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</si>
</sst>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9"/>
      <color rgb="FFFF0000"/>
      <name val="Arial CE"/>
      <family val="2"/>
    </font>
    <font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>
      <alignment vertical="top"/>
      <protection/>
    </xf>
    <xf numFmtId="0" fontId="35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3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4" fontId="9" fillId="0" borderId="4" xfId="0" applyNumberFormat="1" applyFont="1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 applyProtection="1">
      <alignment vertical="center"/>
      <protection locked="0"/>
    </xf>
    <xf numFmtId="166" fontId="22" fillId="0" borderId="0" xfId="0" applyNumberFormat="1" applyFont="1" applyBorder="1" applyAlignment="1">
      <alignment vertical="center"/>
    </xf>
    <xf numFmtId="166" fontId="22" fillId="0" borderId="13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3" fontId="21" fillId="0" borderId="23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/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 applyProtection="1">
      <alignment vertical="center"/>
      <protection locked="0"/>
    </xf>
    <xf numFmtId="0" fontId="39" fillId="0" borderId="23" xfId="0" applyFont="1" applyBorder="1" applyAlignment="1" applyProtection="1">
      <alignment horizontal="center" vertical="center"/>
      <protection locked="0"/>
    </xf>
    <xf numFmtId="49" fontId="39" fillId="0" borderId="23" xfId="0" applyNumberFormat="1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167" fontId="39" fillId="0" borderId="23" xfId="0" applyNumberFormat="1" applyFont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39" fillId="0" borderId="18" xfId="0" applyFont="1" applyBorder="1" applyAlignment="1">
      <alignment horizontal="left" vertical="center"/>
    </xf>
    <xf numFmtId="166" fontId="39" fillId="0" borderId="0" xfId="0" applyNumberFormat="1" applyFont="1" applyBorder="1" applyAlignment="1">
      <alignment vertical="center"/>
    </xf>
    <xf numFmtId="166" fontId="39" fillId="0" borderId="13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39" fillId="0" borderId="23" xfId="0" applyFont="1" applyBorder="1" applyAlignment="1" applyProtection="1">
      <alignment horizontal="center" vertical="center"/>
      <protection locked="0"/>
    </xf>
    <xf numFmtId="49" fontId="39" fillId="0" borderId="23" xfId="0" applyNumberFormat="1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3" fontId="39" fillId="0" borderId="23" xfId="0" applyNumberFormat="1" applyFont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left" vertical="center" wrapText="1"/>
      <protection locked="0"/>
    </xf>
    <xf numFmtId="4" fontId="21" fillId="0" borderId="0" xfId="0" applyNumberFormat="1" applyFont="1" applyBorder="1" applyAlignment="1" applyProtection="1">
      <alignment vertical="center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167" fontId="39" fillId="0" borderId="23" xfId="0" applyNumberFormat="1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right" vertical="center"/>
    </xf>
    <xf numFmtId="0" fontId="21" fillId="3" borderId="22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fnRegressQ" xfId="22"/>
    <cellStyle name="Normal_J35_Galerie HARFA_VV" xfId="23"/>
    <cellStyle name="Měna 2" xfId="24"/>
    <cellStyle name="Měna 3" xfId="25"/>
    <cellStyle name="Název 2" xfId="26"/>
    <cellStyle name="Normální 9" xfId="27"/>
    <cellStyle name="Hypertextový odkaz 2" xfId="2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gl\iCloudDrive\Magnet\OC%20KRAKOV%20-%20FIT2B%20v&#253;kaz%20v&#253;m&#283;r_1.7_20180827_rev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ekapitulace STAVEBNÍ ČÁST"/>
      <sheetName val="STAVEBNÍ ČÁST"/>
      <sheetName val="ZTI"/>
      <sheetName val="VZT"/>
      <sheetName val="EL"/>
      <sheetName val="SHZ"/>
      <sheetName val="EPS"/>
      <sheetName val="ROZVODY TEPLA CHLADU"/>
      <sheetName val="MaR"/>
      <sheetName val="SOZ"/>
    </sheetNames>
    <sheetDataSet>
      <sheetData sheetId="0"/>
      <sheetData sheetId="1">
        <row r="17">
          <cell r="E17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workbookViewId="0" topLeftCell="A45">
      <selection activeCell="AN110" sqref="AN1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48" t="s">
        <v>5</v>
      </c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276" t="s">
        <v>13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R5" s="20"/>
      <c r="BS5" s="17" t="s">
        <v>6</v>
      </c>
    </row>
    <row r="6" spans="2:71" s="1" customFormat="1" ht="36.95" customHeight="1">
      <c r="B6" s="20"/>
      <c r="D6" s="25" t="s">
        <v>14</v>
      </c>
      <c r="K6" s="277" t="s">
        <v>185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R6" s="20"/>
      <c r="BS6" s="17" t="s">
        <v>6</v>
      </c>
    </row>
    <row r="7" spans="2:71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17</v>
      </c>
      <c r="K8" s="24" t="s">
        <v>18</v>
      </c>
      <c r="AK8" s="26" t="s">
        <v>19</v>
      </c>
      <c r="AN8" s="201">
        <v>45323</v>
      </c>
      <c r="AR8" s="20"/>
      <c r="BS8" s="17" t="s">
        <v>6</v>
      </c>
    </row>
    <row r="9" spans="2:71" s="1" customFormat="1" ht="14.45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20</v>
      </c>
      <c r="AK10" s="26" t="s">
        <v>21</v>
      </c>
      <c r="AN10" s="24" t="s">
        <v>1</v>
      </c>
      <c r="AR10" s="20"/>
      <c r="BS10" s="17" t="s">
        <v>6</v>
      </c>
    </row>
    <row r="11" spans="2:71" s="1" customFormat="1" ht="18.4" customHeight="1">
      <c r="B11" s="20"/>
      <c r="E11" s="24" t="s">
        <v>18</v>
      </c>
      <c r="AK11" s="26" t="s">
        <v>22</v>
      </c>
      <c r="AN11" s="24" t="s">
        <v>1</v>
      </c>
      <c r="AR11" s="20"/>
      <c r="BS11" s="17" t="s">
        <v>6</v>
      </c>
    </row>
    <row r="12" spans="2:71" s="1" customFormat="1" ht="6.95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23</v>
      </c>
      <c r="AK13" s="26" t="s">
        <v>21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18</v>
      </c>
      <c r="AK14" s="26" t="s">
        <v>22</v>
      </c>
      <c r="AN14" s="24" t="s">
        <v>1</v>
      </c>
      <c r="AR14" s="20"/>
      <c r="BS14" s="17" t="s">
        <v>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24</v>
      </c>
      <c r="AK16" s="26" t="s">
        <v>21</v>
      </c>
      <c r="AN16" s="24" t="s">
        <v>1</v>
      </c>
      <c r="AR16" s="20"/>
      <c r="BS16" s="17" t="s">
        <v>3</v>
      </c>
    </row>
    <row r="17" spans="2:71" s="1" customFormat="1" ht="18.4" customHeight="1">
      <c r="B17" s="20"/>
      <c r="E17" s="24" t="s">
        <v>25</v>
      </c>
      <c r="AK17" s="26" t="s">
        <v>22</v>
      </c>
      <c r="AN17" s="24" t="s">
        <v>1</v>
      </c>
      <c r="AR17" s="20"/>
      <c r="BS17" s="17" t="s">
        <v>26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27</v>
      </c>
      <c r="AK19" s="26" t="s">
        <v>21</v>
      </c>
      <c r="AN19" s="24" t="s">
        <v>1</v>
      </c>
      <c r="AR19" s="20"/>
      <c r="BS19" s="17" t="s">
        <v>6</v>
      </c>
    </row>
    <row r="20" spans="2:71" s="1" customFormat="1" ht="18.4" customHeight="1">
      <c r="B20" s="20"/>
      <c r="E20" s="24" t="s">
        <v>18</v>
      </c>
      <c r="AK20" s="26" t="s">
        <v>22</v>
      </c>
      <c r="AN20" s="24" t="s">
        <v>1</v>
      </c>
      <c r="AR20" s="20"/>
      <c r="BS20" s="17" t="s">
        <v>26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28</v>
      </c>
      <c r="AR22" s="20"/>
    </row>
    <row r="23" spans="2:44" s="1" customFormat="1" ht="47.25" customHeight="1">
      <c r="B23" s="20"/>
      <c r="E23" s="278" t="s">
        <v>29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9">
        <f>ROUND(AG93,2)</f>
        <v>0</v>
      </c>
      <c r="AL26" s="280"/>
      <c r="AM26" s="280"/>
      <c r="AN26" s="280"/>
      <c r="AO26" s="280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81" t="s">
        <v>31</v>
      </c>
      <c r="M28" s="281"/>
      <c r="N28" s="281"/>
      <c r="O28" s="281"/>
      <c r="P28" s="281"/>
      <c r="Q28" s="29"/>
      <c r="R28" s="29"/>
      <c r="S28" s="29"/>
      <c r="T28" s="29"/>
      <c r="U28" s="29"/>
      <c r="V28" s="29"/>
      <c r="W28" s="281" t="s">
        <v>32</v>
      </c>
      <c r="X28" s="281"/>
      <c r="Y28" s="281"/>
      <c r="Z28" s="281"/>
      <c r="AA28" s="281"/>
      <c r="AB28" s="281"/>
      <c r="AC28" s="281"/>
      <c r="AD28" s="281"/>
      <c r="AE28" s="281"/>
      <c r="AF28" s="29"/>
      <c r="AG28" s="29"/>
      <c r="AH28" s="29"/>
      <c r="AI28" s="29"/>
      <c r="AJ28" s="29"/>
      <c r="AK28" s="281" t="s">
        <v>33</v>
      </c>
      <c r="AL28" s="281"/>
      <c r="AM28" s="281"/>
      <c r="AN28" s="281"/>
      <c r="AO28" s="281"/>
      <c r="AP28" s="29"/>
      <c r="AQ28" s="29"/>
      <c r="AR28" s="30"/>
      <c r="BE28" s="29"/>
    </row>
    <row r="29" spans="2:44" s="3" customFormat="1" ht="14.45" customHeight="1">
      <c r="B29" s="34"/>
      <c r="D29" s="26" t="s">
        <v>34</v>
      </c>
      <c r="F29" s="26" t="s">
        <v>35</v>
      </c>
      <c r="L29" s="264">
        <v>0.21</v>
      </c>
      <c r="M29" s="263"/>
      <c r="N29" s="263"/>
      <c r="O29" s="263"/>
      <c r="P29" s="263"/>
      <c r="W29" s="262">
        <f>AK26</f>
        <v>0</v>
      </c>
      <c r="X29" s="263"/>
      <c r="Y29" s="263"/>
      <c r="Z29" s="263"/>
      <c r="AA29" s="263"/>
      <c r="AB29" s="263"/>
      <c r="AC29" s="263"/>
      <c r="AD29" s="263"/>
      <c r="AE29" s="263"/>
      <c r="AK29" s="262">
        <f>AK34-AK26</f>
        <v>0</v>
      </c>
      <c r="AL29" s="263"/>
      <c r="AM29" s="263"/>
      <c r="AN29" s="263"/>
      <c r="AO29" s="263"/>
      <c r="AR29" s="34"/>
    </row>
    <row r="30" spans="2:44" s="3" customFormat="1" ht="14.45" customHeight="1" hidden="1">
      <c r="B30" s="34"/>
      <c r="F30" s="26" t="s">
        <v>37</v>
      </c>
      <c r="L30" s="264">
        <v>0.21</v>
      </c>
      <c r="M30" s="263"/>
      <c r="N30" s="263"/>
      <c r="O30" s="263"/>
      <c r="P30" s="263"/>
      <c r="W30" s="262" t="e">
        <f>ROUND(BB93,2)</f>
        <v>#REF!</v>
      </c>
      <c r="X30" s="263"/>
      <c r="Y30" s="263"/>
      <c r="Z30" s="263"/>
      <c r="AA30" s="263"/>
      <c r="AB30" s="263"/>
      <c r="AC30" s="263"/>
      <c r="AD30" s="263"/>
      <c r="AE30" s="263"/>
      <c r="AK30" s="262">
        <v>0</v>
      </c>
      <c r="AL30" s="263"/>
      <c r="AM30" s="263"/>
      <c r="AN30" s="263"/>
      <c r="AO30" s="263"/>
      <c r="AR30" s="34"/>
    </row>
    <row r="31" spans="2:44" s="3" customFormat="1" ht="14.45" customHeight="1" hidden="1">
      <c r="B31" s="34"/>
      <c r="F31" s="26" t="s">
        <v>38</v>
      </c>
      <c r="L31" s="264">
        <v>0.15</v>
      </c>
      <c r="M31" s="263"/>
      <c r="N31" s="263"/>
      <c r="O31" s="263"/>
      <c r="P31" s="263"/>
      <c r="W31" s="262" t="e">
        <f>ROUND(BC93,2)</f>
        <v>#REF!</v>
      </c>
      <c r="X31" s="263"/>
      <c r="Y31" s="263"/>
      <c r="Z31" s="263"/>
      <c r="AA31" s="263"/>
      <c r="AB31" s="263"/>
      <c r="AC31" s="263"/>
      <c r="AD31" s="263"/>
      <c r="AE31" s="263"/>
      <c r="AK31" s="262">
        <v>0</v>
      </c>
      <c r="AL31" s="263"/>
      <c r="AM31" s="263"/>
      <c r="AN31" s="263"/>
      <c r="AO31" s="263"/>
      <c r="AR31" s="34"/>
    </row>
    <row r="32" spans="2:44" s="3" customFormat="1" ht="14.45" customHeight="1" hidden="1">
      <c r="B32" s="34"/>
      <c r="F32" s="26" t="s">
        <v>39</v>
      </c>
      <c r="L32" s="264">
        <v>0</v>
      </c>
      <c r="M32" s="263"/>
      <c r="N32" s="263"/>
      <c r="O32" s="263"/>
      <c r="P32" s="263"/>
      <c r="W32" s="262" t="e">
        <f>ROUND(BD93,2)</f>
        <v>#REF!</v>
      </c>
      <c r="X32" s="263"/>
      <c r="Y32" s="263"/>
      <c r="Z32" s="263"/>
      <c r="AA32" s="263"/>
      <c r="AB32" s="263"/>
      <c r="AC32" s="263"/>
      <c r="AD32" s="263"/>
      <c r="AE32" s="263"/>
      <c r="AK32" s="262">
        <v>0</v>
      </c>
      <c r="AL32" s="263"/>
      <c r="AM32" s="263"/>
      <c r="AN32" s="263"/>
      <c r="AO32" s="263"/>
      <c r="AR32" s="34"/>
    </row>
    <row r="33" spans="1:57" s="2" customFormat="1" ht="6.95" customHeight="1">
      <c r="A33" s="29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30"/>
      <c r="BE33" s="29"/>
    </row>
    <row r="34" spans="1:57" s="2" customFormat="1" ht="25.9" customHeight="1">
      <c r="A34" s="29"/>
      <c r="B34" s="30"/>
      <c r="C34" s="35"/>
      <c r="D34" s="36" t="s">
        <v>40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 t="s">
        <v>41</v>
      </c>
      <c r="U34" s="37"/>
      <c r="V34" s="37"/>
      <c r="W34" s="37"/>
      <c r="X34" s="265" t="s">
        <v>42</v>
      </c>
      <c r="Y34" s="266"/>
      <c r="Z34" s="266"/>
      <c r="AA34" s="266"/>
      <c r="AB34" s="266"/>
      <c r="AC34" s="37"/>
      <c r="AD34" s="37"/>
      <c r="AE34" s="37"/>
      <c r="AF34" s="37"/>
      <c r="AG34" s="37"/>
      <c r="AH34" s="37"/>
      <c r="AI34" s="37"/>
      <c r="AJ34" s="37"/>
      <c r="AK34" s="267">
        <f>AK26*1.21</f>
        <v>0</v>
      </c>
      <c r="AL34" s="266"/>
      <c r="AM34" s="266"/>
      <c r="AN34" s="266"/>
      <c r="AO34" s="268"/>
      <c r="AP34" s="35"/>
      <c r="AQ34" s="35"/>
      <c r="AR34" s="30"/>
      <c r="BE34" s="29"/>
    </row>
    <row r="35" spans="1:57" s="2" customFormat="1" ht="6.95" customHeight="1">
      <c r="A35" s="29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30"/>
      <c r="BE35" s="29"/>
    </row>
    <row r="36" spans="1:57" s="2" customFormat="1" ht="14.4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2:44" s="1" customFormat="1" ht="14.45" customHeight="1">
      <c r="B37" s="20"/>
      <c r="AR37" s="20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2" customFormat="1" ht="14.45" customHeight="1">
      <c r="B48" s="39"/>
      <c r="D48" s="40" t="s">
        <v>43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0" t="s">
        <v>44</v>
      </c>
      <c r="AI48" s="41"/>
      <c r="AJ48" s="41"/>
      <c r="AK48" s="41"/>
      <c r="AL48" s="41"/>
      <c r="AM48" s="41"/>
      <c r="AN48" s="41"/>
      <c r="AO48" s="41"/>
      <c r="AR48" s="39"/>
    </row>
    <row r="49" spans="2:44" ht="12">
      <c r="B49" s="20"/>
      <c r="AR49" s="20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1:57" s="2" customFormat="1" ht="12.75">
      <c r="A59" s="29"/>
      <c r="B59" s="30"/>
      <c r="C59" s="29"/>
      <c r="D59" s="42" t="s">
        <v>45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42" t="s">
        <v>46</v>
      </c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42" t="s">
        <v>45</v>
      </c>
      <c r="AI59" s="32"/>
      <c r="AJ59" s="32"/>
      <c r="AK59" s="32"/>
      <c r="AL59" s="32"/>
      <c r="AM59" s="42" t="s">
        <v>46</v>
      </c>
      <c r="AN59" s="32"/>
      <c r="AO59" s="32"/>
      <c r="AP59" s="29"/>
      <c r="AQ59" s="29"/>
      <c r="AR59" s="30"/>
      <c r="BE59" s="29"/>
    </row>
    <row r="60" spans="2:44" ht="12">
      <c r="B60" s="20"/>
      <c r="AR60" s="20"/>
    </row>
    <row r="61" spans="2:44" ht="12">
      <c r="B61" s="20"/>
      <c r="AR61" s="20"/>
    </row>
    <row r="62" spans="2:44" ht="12">
      <c r="B62" s="20"/>
      <c r="AR62" s="20"/>
    </row>
    <row r="63" spans="1:57" s="2" customFormat="1" ht="12.75">
      <c r="A63" s="29"/>
      <c r="B63" s="30"/>
      <c r="C63" s="29"/>
      <c r="D63" s="40" t="s">
        <v>47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0" t="s">
        <v>48</v>
      </c>
      <c r="AI63" s="43"/>
      <c r="AJ63" s="43"/>
      <c r="AK63" s="43"/>
      <c r="AL63" s="43"/>
      <c r="AM63" s="43"/>
      <c r="AN63" s="43"/>
      <c r="AO63" s="43"/>
      <c r="AP63" s="29"/>
      <c r="AQ63" s="29"/>
      <c r="AR63" s="30"/>
      <c r="BE63" s="29"/>
    </row>
    <row r="64" spans="2:44" ht="12">
      <c r="B64" s="20"/>
      <c r="AR64" s="20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1:57" s="2" customFormat="1" ht="12.75">
      <c r="A74" s="29"/>
      <c r="B74" s="30"/>
      <c r="C74" s="29"/>
      <c r="D74" s="42" t="s">
        <v>45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42" t="s">
        <v>46</v>
      </c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42" t="s">
        <v>45</v>
      </c>
      <c r="AI74" s="32"/>
      <c r="AJ74" s="32"/>
      <c r="AK74" s="32"/>
      <c r="AL74" s="32"/>
      <c r="AM74" s="42" t="s">
        <v>46</v>
      </c>
      <c r="AN74" s="32"/>
      <c r="AO74" s="32"/>
      <c r="AP74" s="29"/>
      <c r="AQ74" s="29"/>
      <c r="AR74" s="30"/>
      <c r="BE74" s="29"/>
    </row>
    <row r="75" spans="1:57" s="2" customFormat="1" ht="12">
      <c r="A75" s="29"/>
      <c r="B75" s="30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30"/>
      <c r="BE75" s="29"/>
    </row>
    <row r="76" spans="1:57" s="2" customFormat="1" ht="6.95" customHeight="1">
      <c r="A76" s="29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30"/>
      <c r="BE76" s="29"/>
    </row>
    <row r="80" spans="1:57" s="2" customFormat="1" ht="6.95" customHeight="1">
      <c r="A80" s="29"/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30"/>
      <c r="BE80" s="29"/>
    </row>
    <row r="81" spans="1:57" s="2" customFormat="1" ht="24.95" customHeight="1">
      <c r="A81" s="29"/>
      <c r="B81" s="30"/>
      <c r="C81" s="21" t="s">
        <v>49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30"/>
      <c r="BE81" s="29"/>
    </row>
    <row r="82" spans="1:57" s="2" customFormat="1" ht="6.95" customHeight="1">
      <c r="A82" s="29"/>
      <c r="B82" s="3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2:44" s="4" customFormat="1" ht="12" customHeight="1">
      <c r="B83" s="48"/>
      <c r="C83" s="26" t="s">
        <v>12</v>
      </c>
      <c r="L83" s="4" t="str">
        <f>K5</f>
        <v>9033</v>
      </c>
      <c r="AR83" s="48"/>
    </row>
    <row r="84" spans="2:44" s="5" customFormat="1" ht="36.95" customHeight="1">
      <c r="B84" s="49"/>
      <c r="C84" s="50" t="s">
        <v>14</v>
      </c>
      <c r="L84" s="253" t="str">
        <f>K6</f>
        <v>Rekonstrukce částí objektu budovy Pavilonu H</v>
      </c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R84" s="49"/>
    </row>
    <row r="85" spans="1:57" s="2" customFormat="1" ht="6.95" customHeight="1">
      <c r="A85" s="29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30"/>
      <c r="BE85" s="29"/>
    </row>
    <row r="86" spans="1:57" s="2" customFormat="1" ht="12" customHeight="1">
      <c r="A86" s="29"/>
      <c r="B86" s="30"/>
      <c r="C86" s="26" t="s">
        <v>17</v>
      </c>
      <c r="D86" s="29"/>
      <c r="E86" s="29"/>
      <c r="F86" s="29"/>
      <c r="G86" s="29"/>
      <c r="H86" s="29"/>
      <c r="I86" s="29"/>
      <c r="J86" s="29"/>
      <c r="K86" s="29"/>
      <c r="L86" s="51" t="str">
        <f>IF(K8="","",K8)</f>
        <v xml:space="preserve"> 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6" t="s">
        <v>19</v>
      </c>
      <c r="AJ86" s="29"/>
      <c r="AK86" s="29"/>
      <c r="AL86" s="29"/>
      <c r="AM86" s="255">
        <f>IF(AN8="","",AN8)</f>
        <v>45323</v>
      </c>
      <c r="AN86" s="255"/>
      <c r="AO86" s="29"/>
      <c r="AP86" s="29"/>
      <c r="AQ86" s="29"/>
      <c r="AR86" s="30"/>
      <c r="BE86" s="29"/>
    </row>
    <row r="87" spans="1:57" s="2" customFormat="1" ht="6.95" customHeight="1">
      <c r="A87" s="29"/>
      <c r="B87" s="30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30"/>
      <c r="BE87" s="29"/>
    </row>
    <row r="88" spans="1:57" s="2" customFormat="1" ht="15.2" customHeight="1">
      <c r="A88" s="29"/>
      <c r="B88" s="30"/>
      <c r="C88" s="26" t="s">
        <v>20</v>
      </c>
      <c r="D88" s="29"/>
      <c r="E88" s="29"/>
      <c r="F88" s="29"/>
      <c r="G88" s="29"/>
      <c r="H88" s="29"/>
      <c r="I88" s="29"/>
      <c r="J88" s="29"/>
      <c r="K88" s="29"/>
      <c r="L88" s="4" t="str">
        <f>IF(E11="","",E11)</f>
        <v xml:space="preserve"> 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6" t="s">
        <v>24</v>
      </c>
      <c r="AJ88" s="29"/>
      <c r="AK88" s="29"/>
      <c r="AL88" s="29"/>
      <c r="AM88" s="256" t="str">
        <f>IF(E17="","",E17)</f>
        <v>Ing. Arch. Jan Ságl</v>
      </c>
      <c r="AN88" s="257"/>
      <c r="AO88" s="257"/>
      <c r="AP88" s="257"/>
      <c r="AQ88" s="29"/>
      <c r="AR88" s="30"/>
      <c r="AS88" s="258" t="s">
        <v>50</v>
      </c>
      <c r="AT88" s="259"/>
      <c r="AU88" s="53"/>
      <c r="AV88" s="53"/>
      <c r="AW88" s="53"/>
      <c r="AX88" s="53"/>
      <c r="AY88" s="53"/>
      <c r="AZ88" s="53"/>
      <c r="BA88" s="53"/>
      <c r="BB88" s="53"/>
      <c r="BC88" s="53"/>
      <c r="BD88" s="54"/>
      <c r="BE88" s="29"/>
    </row>
    <row r="89" spans="1:57" s="2" customFormat="1" ht="15.2" customHeight="1">
      <c r="A89" s="29"/>
      <c r="B89" s="30"/>
      <c r="C89" s="26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IF(E14="","",E14)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27</v>
      </c>
      <c r="AJ89" s="29"/>
      <c r="AK89" s="29"/>
      <c r="AL89" s="29"/>
      <c r="AM89" s="256" t="str">
        <f>IF(E20="","",E20)</f>
        <v xml:space="preserve"> </v>
      </c>
      <c r="AN89" s="257"/>
      <c r="AO89" s="257"/>
      <c r="AP89" s="257"/>
      <c r="AQ89" s="29"/>
      <c r="AR89" s="30"/>
      <c r="AS89" s="260"/>
      <c r="AT89" s="261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9"/>
    </row>
    <row r="90" spans="1:57" s="2" customFormat="1" ht="10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30"/>
      <c r="AS90" s="260"/>
      <c r="AT90" s="26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29.25" customHeight="1">
      <c r="A91" s="29"/>
      <c r="B91" s="30"/>
      <c r="C91" s="269" t="s">
        <v>51</v>
      </c>
      <c r="D91" s="270"/>
      <c r="E91" s="270"/>
      <c r="F91" s="270"/>
      <c r="G91" s="270"/>
      <c r="H91" s="57"/>
      <c r="I91" s="271" t="s">
        <v>52</v>
      </c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2" t="s">
        <v>53</v>
      </c>
      <c r="AH91" s="270"/>
      <c r="AI91" s="270"/>
      <c r="AJ91" s="270"/>
      <c r="AK91" s="270"/>
      <c r="AL91" s="270"/>
      <c r="AM91" s="270"/>
      <c r="AN91" s="271" t="s">
        <v>54</v>
      </c>
      <c r="AO91" s="270"/>
      <c r="AP91" s="273"/>
      <c r="AQ91" s="58" t="s">
        <v>55</v>
      </c>
      <c r="AR91" s="30"/>
      <c r="AS91" s="59" t="s">
        <v>56</v>
      </c>
      <c r="AT91" s="60" t="s">
        <v>57</v>
      </c>
      <c r="AU91" s="60" t="s">
        <v>58</v>
      </c>
      <c r="AV91" s="60" t="s">
        <v>59</v>
      </c>
      <c r="AW91" s="60" t="s">
        <v>60</v>
      </c>
      <c r="AX91" s="60" t="s">
        <v>61</v>
      </c>
      <c r="AY91" s="60" t="s">
        <v>62</v>
      </c>
      <c r="AZ91" s="60" t="s">
        <v>63</v>
      </c>
      <c r="BA91" s="60" t="s">
        <v>64</v>
      </c>
      <c r="BB91" s="60" t="s">
        <v>65</v>
      </c>
      <c r="BC91" s="60" t="s">
        <v>66</v>
      </c>
      <c r="BD91" s="61" t="s">
        <v>67</v>
      </c>
      <c r="BE91" s="29"/>
    </row>
    <row r="92" spans="1:57" s="2" customFormat="1" ht="10.9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30"/>
      <c r="AS92" s="62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4"/>
      <c r="BE92" s="29"/>
    </row>
    <row r="93" spans="2:90" s="6" customFormat="1" ht="32.45" customHeight="1">
      <c r="B93" s="65"/>
      <c r="C93" s="66" t="s">
        <v>68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274">
        <f>SUM(AG94:AM97)</f>
        <v>0</v>
      </c>
      <c r="AH93" s="274"/>
      <c r="AI93" s="274"/>
      <c r="AJ93" s="274"/>
      <c r="AK93" s="274"/>
      <c r="AL93" s="274"/>
      <c r="AM93" s="274"/>
      <c r="AN93" s="275">
        <f>SUM(AN94:AP97)</f>
        <v>0</v>
      </c>
      <c r="AO93" s="275"/>
      <c r="AP93" s="275"/>
      <c r="AQ93" s="69" t="s">
        <v>1</v>
      </c>
      <c r="AR93" s="65"/>
      <c r="AS93" s="70">
        <f>ROUND(SUM(AS94:AS97),2)</f>
        <v>0</v>
      </c>
      <c r="AT93" s="71" t="e">
        <f>ROUND(SUM(AV93:AW93),2)</f>
        <v>#REF!</v>
      </c>
      <c r="AU93" s="72" t="e">
        <f>ROUND(SUM(AU94:AU97),5)</f>
        <v>#REF!</v>
      </c>
      <c r="AV93" s="71" t="e">
        <f>ROUND(AZ93*L29,2)</f>
        <v>#REF!</v>
      </c>
      <c r="AW93" s="71" t="e">
        <f>ROUND(BA93*#REF!,2)</f>
        <v>#REF!</v>
      </c>
      <c r="AX93" s="71" t="e">
        <f>ROUND(BB93*L29,2)</f>
        <v>#REF!</v>
      </c>
      <c r="AY93" s="71" t="e">
        <f>ROUND(BC93*#REF!,2)</f>
        <v>#REF!</v>
      </c>
      <c r="AZ93" s="71" t="e">
        <f>ROUND(SUM(AZ94:AZ97),2)</f>
        <v>#REF!</v>
      </c>
      <c r="BA93" s="71" t="e">
        <f>ROUND(SUM(BA94:BA97),2)</f>
        <v>#REF!</v>
      </c>
      <c r="BB93" s="71" t="e">
        <f>ROUND(SUM(BB94:BB97),2)</f>
        <v>#REF!</v>
      </c>
      <c r="BC93" s="71" t="e">
        <f>ROUND(SUM(BC94:BC97),2)</f>
        <v>#REF!</v>
      </c>
      <c r="BD93" s="73" t="e">
        <f>ROUND(SUM(BD94:BD97),2)</f>
        <v>#REF!</v>
      </c>
      <c r="BS93" s="74" t="s">
        <v>69</v>
      </c>
      <c r="BT93" s="74" t="s">
        <v>70</v>
      </c>
      <c r="BU93" s="75" t="s">
        <v>71</v>
      </c>
      <c r="BV93" s="74" t="s">
        <v>72</v>
      </c>
      <c r="BW93" s="74" t="s">
        <v>4</v>
      </c>
      <c r="BX93" s="74" t="s">
        <v>73</v>
      </c>
      <c r="CL93" s="74" t="s">
        <v>1</v>
      </c>
    </row>
    <row r="94" spans="1:91" s="7" customFormat="1" ht="35.25" customHeight="1">
      <c r="A94" s="76" t="s">
        <v>74</v>
      </c>
      <c r="B94" s="77"/>
      <c r="C94" s="78"/>
      <c r="D94" s="252" t="s">
        <v>75</v>
      </c>
      <c r="E94" s="252"/>
      <c r="F94" s="252"/>
      <c r="G94" s="252"/>
      <c r="H94" s="252"/>
      <c r="I94" s="79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0">
        <f>'SO 01 _stavební část'!J30</f>
        <v>0</v>
      </c>
      <c r="AH94" s="251"/>
      <c r="AI94" s="251"/>
      <c r="AJ94" s="251"/>
      <c r="AK94" s="251"/>
      <c r="AL94" s="251"/>
      <c r="AM94" s="251"/>
      <c r="AN94" s="250">
        <f>AG94*1.21</f>
        <v>0</v>
      </c>
      <c r="AO94" s="251"/>
      <c r="AP94" s="251"/>
      <c r="AQ94" s="80" t="s">
        <v>76</v>
      </c>
      <c r="AR94" s="77"/>
      <c r="AS94" s="81">
        <v>0</v>
      </c>
      <c r="AT94" s="82" t="e">
        <f>ROUND(SUM(AV94:AW94),2)</f>
        <v>#REF!</v>
      </c>
      <c r="AU94" s="83" t="e">
        <f>#REF!</f>
        <v>#REF!</v>
      </c>
      <c r="AV94" s="82" t="e">
        <f>#REF!</f>
        <v>#REF!</v>
      </c>
      <c r="AW94" s="82" t="e">
        <f>#REF!</f>
        <v>#REF!</v>
      </c>
      <c r="AX94" s="82" t="e">
        <f>#REF!</f>
        <v>#REF!</v>
      </c>
      <c r="AY94" s="82" t="e">
        <f>#REF!</f>
        <v>#REF!</v>
      </c>
      <c r="AZ94" s="82" t="e">
        <f>#REF!</f>
        <v>#REF!</v>
      </c>
      <c r="BA94" s="82" t="e">
        <f>#REF!</f>
        <v>#REF!</v>
      </c>
      <c r="BB94" s="82" t="e">
        <f>#REF!</f>
        <v>#REF!</v>
      </c>
      <c r="BC94" s="82" t="e">
        <f>#REF!</f>
        <v>#REF!</v>
      </c>
      <c r="BD94" s="84" t="e">
        <f>#REF!</f>
        <v>#REF!</v>
      </c>
      <c r="BT94" s="85" t="s">
        <v>77</v>
      </c>
      <c r="BV94" s="85" t="s">
        <v>72</v>
      </c>
      <c r="BW94" s="85" t="s">
        <v>78</v>
      </c>
      <c r="BX94" s="85" t="s">
        <v>4</v>
      </c>
      <c r="CL94" s="85" t="s">
        <v>1</v>
      </c>
      <c r="CM94" s="85" t="s">
        <v>79</v>
      </c>
    </row>
    <row r="95" spans="1:91" s="7" customFormat="1" ht="16.5" customHeight="1">
      <c r="A95" s="76" t="s">
        <v>74</v>
      </c>
      <c r="B95" s="77"/>
      <c r="C95" s="78"/>
      <c r="D95" s="252" t="s">
        <v>80</v>
      </c>
      <c r="E95" s="252"/>
      <c r="F95" s="252"/>
      <c r="G95" s="252"/>
      <c r="H95" s="252"/>
      <c r="I95" s="79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0">
        <f>'SO 02 - EL'!J30</f>
        <v>0</v>
      </c>
      <c r="AH95" s="251"/>
      <c r="AI95" s="251"/>
      <c r="AJ95" s="251"/>
      <c r="AK95" s="251"/>
      <c r="AL95" s="251"/>
      <c r="AM95" s="251"/>
      <c r="AN95" s="250">
        <f>AG95*1.21</f>
        <v>0</v>
      </c>
      <c r="AO95" s="251"/>
      <c r="AP95" s="251"/>
      <c r="AQ95" s="80" t="s">
        <v>76</v>
      </c>
      <c r="AR95" s="77"/>
      <c r="AS95" s="81">
        <v>0</v>
      </c>
      <c r="AT95" s="82" t="e">
        <f>ROUND(SUM(AV95:AW95),2)</f>
        <v>#REF!</v>
      </c>
      <c r="AU95" s="83" t="e">
        <f>'SO 02 - EL'!P56</f>
        <v>#REF!</v>
      </c>
      <c r="AV95" s="82" t="e">
        <f>#REF!</f>
        <v>#REF!</v>
      </c>
      <c r="AW95" s="82" t="e">
        <f>#REF!</f>
        <v>#REF!</v>
      </c>
      <c r="AX95" s="82">
        <f>'SO 02 - EL'!J32</f>
        <v>0</v>
      </c>
      <c r="AY95" s="82">
        <f>'SO 02 - EL'!J33</f>
        <v>0</v>
      </c>
      <c r="AZ95" s="82" t="e">
        <f>#REF!</f>
        <v>#REF!</v>
      </c>
      <c r="BA95" s="82" t="e">
        <f>#REF!</f>
        <v>#REF!</v>
      </c>
      <c r="BB95" s="82">
        <f>'SO 02 - EL'!F32</f>
        <v>0</v>
      </c>
      <c r="BC95" s="82">
        <f>'SO 02 - EL'!F33</f>
        <v>0</v>
      </c>
      <c r="BD95" s="84">
        <f>'SO 02 - EL'!F34</f>
        <v>0</v>
      </c>
      <c r="BT95" s="85" t="s">
        <v>77</v>
      </c>
      <c r="BV95" s="85" t="s">
        <v>72</v>
      </c>
      <c r="BW95" s="85" t="s">
        <v>81</v>
      </c>
      <c r="BX95" s="85" t="s">
        <v>4</v>
      </c>
      <c r="CL95" s="85" t="s">
        <v>1</v>
      </c>
      <c r="CM95" s="85" t="s">
        <v>79</v>
      </c>
    </row>
    <row r="96" spans="1:91" s="7" customFormat="1" ht="16.5" customHeight="1">
      <c r="A96" s="76"/>
      <c r="B96" s="77"/>
      <c r="C96" s="78"/>
      <c r="D96" s="252"/>
      <c r="E96" s="252"/>
      <c r="F96" s="252"/>
      <c r="G96" s="252"/>
      <c r="H96" s="252"/>
      <c r="I96" s="198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0"/>
      <c r="AH96" s="251"/>
      <c r="AI96" s="251"/>
      <c r="AJ96" s="251"/>
      <c r="AK96" s="251"/>
      <c r="AL96" s="251"/>
      <c r="AM96" s="251"/>
      <c r="AN96" s="250"/>
      <c r="AO96" s="251"/>
      <c r="AP96" s="251"/>
      <c r="AQ96" s="80"/>
      <c r="AR96" s="77"/>
      <c r="AS96" s="81"/>
      <c r="AT96" s="82"/>
      <c r="AU96" s="83"/>
      <c r="AV96" s="82"/>
      <c r="AW96" s="82"/>
      <c r="AX96" s="82"/>
      <c r="AY96" s="82"/>
      <c r="AZ96" s="82"/>
      <c r="BA96" s="82"/>
      <c r="BB96" s="82"/>
      <c r="BC96" s="82"/>
      <c r="BD96" s="84"/>
      <c r="BT96" s="85"/>
      <c r="BV96" s="85"/>
      <c r="BW96" s="85"/>
      <c r="BX96" s="85"/>
      <c r="CL96" s="85"/>
      <c r="CM96" s="85"/>
    </row>
    <row r="97" spans="1:91" s="7" customFormat="1" ht="16.5" customHeight="1">
      <c r="A97" s="76" t="s">
        <v>74</v>
      </c>
      <c r="B97" s="77"/>
      <c r="C97" s="78"/>
      <c r="D97" s="252"/>
      <c r="E97" s="252"/>
      <c r="F97" s="252"/>
      <c r="G97" s="252"/>
      <c r="H97" s="252"/>
      <c r="I97" s="79"/>
      <c r="J97" s="252" t="s">
        <v>82</v>
      </c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0">
        <f>'Vedlejší a ostatn...'!J30</f>
        <v>0</v>
      </c>
      <c r="AH97" s="251"/>
      <c r="AI97" s="251"/>
      <c r="AJ97" s="251"/>
      <c r="AK97" s="251"/>
      <c r="AL97" s="251"/>
      <c r="AM97" s="251"/>
      <c r="AN97" s="250">
        <f>AG97*1.21</f>
        <v>0</v>
      </c>
      <c r="AO97" s="251"/>
      <c r="AP97" s="251"/>
      <c r="AQ97" s="80" t="s">
        <v>76</v>
      </c>
      <c r="AR97" s="77"/>
      <c r="AS97" s="86">
        <v>0</v>
      </c>
      <c r="AT97" s="87">
        <f>ROUND(SUM(AV97:AW97),2)</f>
        <v>0</v>
      </c>
      <c r="AU97" s="88" t="e">
        <f>'Vedlejší a ostatn...'!P120</f>
        <v>#REF!</v>
      </c>
      <c r="AV97" s="87">
        <f>'Vedlejší a ostatn...'!J33</f>
        <v>0</v>
      </c>
      <c r="AW97" s="87">
        <f>'Vedlejší a ostatn...'!J34</f>
        <v>0</v>
      </c>
      <c r="AX97" s="87">
        <f>'Vedlejší a ostatn...'!J35</f>
        <v>0</v>
      </c>
      <c r="AY97" s="87">
        <f>'Vedlejší a ostatn...'!J36</f>
        <v>0</v>
      </c>
      <c r="AZ97" s="87">
        <f>'Vedlejší a ostatn...'!F33</f>
        <v>0</v>
      </c>
      <c r="BA97" s="87">
        <f>'Vedlejší a ostatn...'!F34</f>
        <v>0</v>
      </c>
      <c r="BB97" s="87">
        <f>'Vedlejší a ostatn...'!F35</f>
        <v>0</v>
      </c>
      <c r="BC97" s="87">
        <f>'Vedlejší a ostatn...'!F36</f>
        <v>0</v>
      </c>
      <c r="BD97" s="89">
        <f>'Vedlejší a ostatn...'!F37</f>
        <v>0</v>
      </c>
      <c r="BT97" s="85" t="s">
        <v>77</v>
      </c>
      <c r="BV97" s="85" t="s">
        <v>72</v>
      </c>
      <c r="BW97" s="85" t="s">
        <v>83</v>
      </c>
      <c r="BX97" s="85" t="s">
        <v>4</v>
      </c>
      <c r="CL97" s="85" t="s">
        <v>1</v>
      </c>
      <c r="CM97" s="85" t="s">
        <v>79</v>
      </c>
    </row>
    <row r="98" spans="1:57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49">
    <mergeCell ref="AG96:AM96"/>
    <mergeCell ref="AN96:AP96"/>
    <mergeCell ref="W29:AE29"/>
    <mergeCell ref="AK29:AO29"/>
    <mergeCell ref="L29:P29"/>
    <mergeCell ref="AK30:AO30"/>
    <mergeCell ref="L30:P30"/>
    <mergeCell ref="W31:AE31"/>
    <mergeCell ref="AK31:AO31"/>
    <mergeCell ref="L31:P31"/>
    <mergeCell ref="K5:AO5"/>
    <mergeCell ref="K6:AO6"/>
    <mergeCell ref="E23:AN23"/>
    <mergeCell ref="AK26:AO26"/>
    <mergeCell ref="L28:P28"/>
    <mergeCell ref="W28:AE28"/>
    <mergeCell ref="AK28:AO28"/>
    <mergeCell ref="AN97:AP97"/>
    <mergeCell ref="AG97:AM97"/>
    <mergeCell ref="D97:H97"/>
    <mergeCell ref="J97:AF97"/>
    <mergeCell ref="C91:G91"/>
    <mergeCell ref="I91:AF91"/>
    <mergeCell ref="AG91:AM91"/>
    <mergeCell ref="AN91:AP91"/>
    <mergeCell ref="AN94:AP94"/>
    <mergeCell ref="AG94:AM94"/>
    <mergeCell ref="D94:H94"/>
    <mergeCell ref="J94:AF94"/>
    <mergeCell ref="AG93:AM93"/>
    <mergeCell ref="AN93:AP93"/>
    <mergeCell ref="D96:H96"/>
    <mergeCell ref="J96:AF96"/>
    <mergeCell ref="AR2:BE2"/>
    <mergeCell ref="AN95:AP95"/>
    <mergeCell ref="AG95:AM95"/>
    <mergeCell ref="D95:H95"/>
    <mergeCell ref="J95:AF95"/>
    <mergeCell ref="L84:AO84"/>
    <mergeCell ref="AM86:AN86"/>
    <mergeCell ref="AM88:AP88"/>
    <mergeCell ref="AS88:AT90"/>
    <mergeCell ref="AM89:AP89"/>
    <mergeCell ref="W32:AE32"/>
    <mergeCell ref="AK32:AO32"/>
    <mergeCell ref="L32:P32"/>
    <mergeCell ref="X34:AB34"/>
    <mergeCell ref="AK34:AO34"/>
    <mergeCell ref="W30:AE30"/>
  </mergeCells>
  <hyperlinks>
    <hyperlink ref="A94" location="'SO 01 - Dětská lékařská s...'!C2" display="/"/>
    <hyperlink ref="A95" location="'SO 02 - Magnetická rezonance'!C2" display="/"/>
    <hyperlink ref="A97" location="'SO 03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9"/>
  <sheetViews>
    <sheetView showGridLines="0" tabSelected="1" zoomScale="160" zoomScaleNormal="160" workbookViewId="0" topLeftCell="A62">
      <selection activeCell="F75" sqref="F75"/>
    </sheetView>
  </sheetViews>
  <sheetFormatPr defaultColWidth="9.140625" defaultRowHeight="12"/>
  <cols>
    <col min="1" max="1" width="8.28125" style="176" customWidth="1"/>
    <col min="2" max="2" width="1.1484375" style="176" customWidth="1"/>
    <col min="3" max="3" width="6.28125" style="176" customWidth="1"/>
    <col min="4" max="4" width="4.28125" style="176" customWidth="1"/>
    <col min="5" max="5" width="17.140625" style="176" customWidth="1"/>
    <col min="6" max="6" width="50.8515625" style="176" customWidth="1"/>
    <col min="7" max="7" width="7.421875" style="176" customWidth="1"/>
    <col min="8" max="8" width="14.00390625" style="176" customWidth="1"/>
    <col min="9" max="9" width="15.8515625" style="176" customWidth="1"/>
    <col min="10" max="10" width="22.28125" style="176" customWidth="1"/>
    <col min="11" max="11" width="22.28125" style="176" hidden="1" customWidth="1"/>
    <col min="12" max="12" width="22.140625" style="176" customWidth="1"/>
    <col min="13" max="13" width="10.8515625" style="176" hidden="1" customWidth="1"/>
    <col min="14" max="19" width="14.140625" style="176" hidden="1" customWidth="1"/>
    <col min="20" max="20" width="16.28125" style="176" hidden="1" customWidth="1"/>
    <col min="21" max="21" width="12.28125" style="176" customWidth="1"/>
    <col min="22" max="22" width="16.28125" style="176" customWidth="1"/>
    <col min="23" max="23" width="12.28125" style="176" customWidth="1"/>
    <col min="24" max="24" width="15.00390625" style="176" customWidth="1"/>
    <col min="25" max="25" width="11.00390625" style="176" customWidth="1"/>
    <col min="26" max="26" width="15.00390625" style="176" customWidth="1"/>
    <col min="27" max="27" width="16.28125" style="176" customWidth="1"/>
    <col min="28" max="28" width="11.00390625" style="176" customWidth="1"/>
    <col min="29" max="29" width="15.00390625" style="176" customWidth="1"/>
    <col min="30" max="30" width="16.28125" style="176" customWidth="1"/>
    <col min="31" max="16384" width="9.28125" style="176" customWidth="1"/>
  </cols>
  <sheetData>
    <row r="1" spans="1:55" ht="12">
      <c r="A1" s="90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2:55" ht="36.95" customHeight="1">
      <c r="L2" s="248" t="s">
        <v>5</v>
      </c>
      <c r="M2" s="248"/>
      <c r="N2" s="248"/>
      <c r="O2" s="248"/>
      <c r="P2" s="248"/>
      <c r="Q2" s="248"/>
      <c r="R2" s="248"/>
      <c r="S2" s="248"/>
      <c r="T2" s="248"/>
      <c r="U2" s="248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2:55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2:55" ht="24.95" customHeight="1">
      <c r="B4" s="20"/>
      <c r="D4" s="21" t="s">
        <v>84</v>
      </c>
      <c r="L4" s="20"/>
      <c r="M4" s="91" t="s">
        <v>208</v>
      </c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2:55" ht="6.95" customHeight="1">
      <c r="B5" s="20"/>
      <c r="L5" s="20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" customHeight="1">
      <c r="B6" s="20"/>
      <c r="D6" s="180" t="s">
        <v>14</v>
      </c>
      <c r="L6" s="20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6.5" customHeight="1">
      <c r="B7" s="20"/>
      <c r="E7" s="283" t="str">
        <f>'Rekapitulace stavby'!K6</f>
        <v>Rekonstrukce částí objektu budovy Pavilonu H</v>
      </c>
      <c r="F7" s="284"/>
      <c r="G7" s="284"/>
      <c r="H7" s="284"/>
      <c r="L7" s="20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30" s="2" customFormat="1" ht="12" customHeight="1">
      <c r="A8" s="181"/>
      <c r="B8" s="30"/>
      <c r="C8" s="181"/>
      <c r="D8" s="180" t="s">
        <v>85</v>
      </c>
      <c r="E8" s="181"/>
      <c r="F8" s="181"/>
      <c r="G8" s="181"/>
      <c r="H8" s="181"/>
      <c r="I8" s="181"/>
      <c r="J8" s="181"/>
      <c r="K8" s="181"/>
      <c r="L8" s="39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</row>
    <row r="9" spans="1:30" s="2" customFormat="1" ht="47.25" customHeight="1">
      <c r="A9" s="181"/>
      <c r="B9" s="30"/>
      <c r="C9" s="181"/>
      <c r="D9" s="181"/>
      <c r="E9" s="253"/>
      <c r="F9" s="282"/>
      <c r="G9" s="282"/>
      <c r="H9" s="282"/>
      <c r="I9" s="181"/>
      <c r="J9" s="181"/>
      <c r="K9" s="181"/>
      <c r="L9" s="39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</row>
    <row r="10" spans="1:30" s="2" customFormat="1" ht="12">
      <c r="A10" s="181"/>
      <c r="B10" s="30"/>
      <c r="C10" s="181"/>
      <c r="D10" s="181"/>
      <c r="E10" s="181"/>
      <c r="F10" s="181"/>
      <c r="G10" s="181"/>
      <c r="H10" s="181"/>
      <c r="I10" s="181"/>
      <c r="J10" s="181"/>
      <c r="K10" s="181"/>
      <c r="L10" s="39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</row>
    <row r="11" spans="1:30" s="2" customFormat="1" ht="12" customHeight="1">
      <c r="A11" s="181"/>
      <c r="B11" s="30"/>
      <c r="C11" s="181"/>
      <c r="D11" s="180" t="s">
        <v>15</v>
      </c>
      <c r="E11" s="181"/>
      <c r="F11" s="175" t="s">
        <v>1</v>
      </c>
      <c r="G11" s="181"/>
      <c r="H11" s="181"/>
      <c r="I11" s="180" t="s">
        <v>16</v>
      </c>
      <c r="J11" s="175" t="s">
        <v>1</v>
      </c>
      <c r="K11" s="181"/>
      <c r="L11" s="39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</row>
    <row r="12" spans="1:30" s="2" customFormat="1" ht="12" customHeight="1">
      <c r="A12" s="181"/>
      <c r="B12" s="30"/>
      <c r="C12" s="181"/>
      <c r="D12" s="180" t="s">
        <v>17</v>
      </c>
      <c r="E12" s="181"/>
      <c r="F12" s="175" t="s">
        <v>18</v>
      </c>
      <c r="G12" s="181"/>
      <c r="H12" s="181"/>
      <c r="I12" s="180" t="s">
        <v>19</v>
      </c>
      <c r="J12" s="178">
        <f>'Rekapitulace stavby'!AN8</f>
        <v>45323</v>
      </c>
      <c r="K12" s="181"/>
      <c r="L12" s="39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</row>
    <row r="13" spans="1:30" s="2" customFormat="1" ht="10.9" customHeight="1">
      <c r="A13" s="181"/>
      <c r="B13" s="30"/>
      <c r="C13" s="181"/>
      <c r="D13" s="181"/>
      <c r="E13" s="181"/>
      <c r="F13" s="181"/>
      <c r="G13" s="181"/>
      <c r="H13" s="181"/>
      <c r="I13" s="181"/>
      <c r="J13" s="181"/>
      <c r="K13" s="181"/>
      <c r="L13" s="39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</row>
    <row r="14" spans="1:30" s="2" customFormat="1" ht="12" customHeight="1">
      <c r="A14" s="181"/>
      <c r="B14" s="30"/>
      <c r="C14" s="181"/>
      <c r="D14" s="180" t="s">
        <v>20</v>
      </c>
      <c r="E14" s="181"/>
      <c r="F14" s="181"/>
      <c r="G14" s="181"/>
      <c r="H14" s="181"/>
      <c r="I14" s="180" t="s">
        <v>21</v>
      </c>
      <c r="J14" s="175" t="str">
        <f>IF('Rekapitulace stavby'!AN10="","",'Rekapitulace stavby'!AN10)</f>
        <v/>
      </c>
      <c r="K14" s="181"/>
      <c r="L14" s="39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</row>
    <row r="15" spans="1:30" s="2" customFormat="1" ht="18" customHeight="1">
      <c r="A15" s="181"/>
      <c r="B15" s="30"/>
      <c r="C15" s="181"/>
      <c r="D15" s="181"/>
      <c r="E15" s="175" t="str">
        <f>IF('Rekapitulace stavby'!E11="","",'Rekapitulace stavby'!E11)</f>
        <v xml:space="preserve"> </v>
      </c>
      <c r="F15" s="181"/>
      <c r="G15" s="181"/>
      <c r="H15" s="181"/>
      <c r="I15" s="180" t="s">
        <v>22</v>
      </c>
      <c r="J15" s="175" t="str">
        <f>IF('Rekapitulace stavby'!AN11="","",'Rekapitulace stavby'!AN11)</f>
        <v/>
      </c>
      <c r="K15" s="181"/>
      <c r="L15" s="39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</row>
    <row r="16" spans="1:30" s="2" customFormat="1" ht="6.95" customHeight="1">
      <c r="A16" s="181"/>
      <c r="B16" s="30"/>
      <c r="C16" s="181"/>
      <c r="D16" s="181"/>
      <c r="E16" s="181"/>
      <c r="F16" s="181"/>
      <c r="G16" s="181"/>
      <c r="H16" s="181"/>
      <c r="I16" s="181"/>
      <c r="J16" s="181"/>
      <c r="K16" s="181"/>
      <c r="L16" s="39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</row>
    <row r="17" spans="1:30" s="2" customFormat="1" ht="12" customHeight="1">
      <c r="A17" s="181"/>
      <c r="B17" s="30"/>
      <c r="C17" s="181"/>
      <c r="D17" s="180" t="s">
        <v>23</v>
      </c>
      <c r="E17" s="181"/>
      <c r="F17" s="181"/>
      <c r="G17" s="181"/>
      <c r="H17" s="181"/>
      <c r="I17" s="180" t="s">
        <v>21</v>
      </c>
      <c r="J17" s="175" t="str">
        <f>'Rekapitulace stavby'!AN13</f>
        <v/>
      </c>
      <c r="K17" s="181"/>
      <c r="L17" s="39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s="2" customFormat="1" ht="18" customHeight="1">
      <c r="A18" s="181"/>
      <c r="B18" s="30"/>
      <c r="C18" s="181"/>
      <c r="D18" s="181"/>
      <c r="E18" s="276" t="str">
        <f>'Rekapitulace stavby'!E14</f>
        <v xml:space="preserve"> </v>
      </c>
      <c r="F18" s="276"/>
      <c r="G18" s="276"/>
      <c r="H18" s="276"/>
      <c r="I18" s="180" t="s">
        <v>22</v>
      </c>
      <c r="J18" s="175" t="str">
        <f>'Rekapitulace stavby'!AN14</f>
        <v/>
      </c>
      <c r="K18" s="181"/>
      <c r="L18" s="39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</row>
    <row r="19" spans="1:30" s="2" customFormat="1" ht="6.95" customHeight="1">
      <c r="A19" s="181"/>
      <c r="B19" s="30"/>
      <c r="C19" s="181"/>
      <c r="D19" s="181"/>
      <c r="E19" s="181"/>
      <c r="F19" s="181"/>
      <c r="G19" s="181"/>
      <c r="H19" s="181"/>
      <c r="I19" s="181"/>
      <c r="J19" s="181"/>
      <c r="K19" s="181"/>
      <c r="L19" s="39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</row>
    <row r="20" spans="1:55" s="2" customFormat="1" ht="12" customHeight="1">
      <c r="A20" s="181"/>
      <c r="B20" s="30"/>
      <c r="C20" s="181"/>
      <c r="D20" s="180" t="s">
        <v>24</v>
      </c>
      <c r="E20" s="181"/>
      <c r="F20" s="181"/>
      <c r="G20" s="181"/>
      <c r="H20" s="181"/>
      <c r="I20" s="180" t="s">
        <v>21</v>
      </c>
      <c r="J20" s="175" t="s">
        <v>1</v>
      </c>
      <c r="K20" s="181"/>
      <c r="L20" s="39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30" s="2" customFormat="1" ht="18" customHeight="1">
      <c r="A21" s="181"/>
      <c r="B21" s="30"/>
      <c r="C21" s="181"/>
      <c r="D21" s="181"/>
      <c r="E21" s="175" t="s">
        <v>25</v>
      </c>
      <c r="F21" s="181"/>
      <c r="G21" s="181"/>
      <c r="H21" s="181"/>
      <c r="I21" s="180" t="s">
        <v>22</v>
      </c>
      <c r="J21" s="175" t="s">
        <v>1</v>
      </c>
      <c r="K21" s="181"/>
      <c r="L21" s="39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30" s="2" customFormat="1" ht="6.95" customHeight="1">
      <c r="A22" s="181"/>
      <c r="B22" s="30"/>
      <c r="C22" s="181"/>
      <c r="D22" s="181"/>
      <c r="E22" s="181"/>
      <c r="F22" s="181"/>
      <c r="G22" s="181"/>
      <c r="H22" s="181"/>
      <c r="I22" s="181"/>
      <c r="J22" s="181"/>
      <c r="K22" s="181"/>
      <c r="L22" s="39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</row>
    <row r="23" spans="1:30" s="2" customFormat="1" ht="12" customHeight="1">
      <c r="A23" s="181"/>
      <c r="B23" s="30"/>
      <c r="C23" s="181"/>
      <c r="D23" s="180" t="s">
        <v>27</v>
      </c>
      <c r="E23" s="181"/>
      <c r="F23" s="181"/>
      <c r="G23" s="181"/>
      <c r="H23" s="181"/>
      <c r="I23" s="180" t="s">
        <v>21</v>
      </c>
      <c r="J23" s="175" t="str">
        <f>IF('Rekapitulace stavby'!AN19="","",'Rekapitulace stavby'!AN19)</f>
        <v/>
      </c>
      <c r="K23" s="181"/>
      <c r="L23" s="39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</row>
    <row r="24" spans="1:55" s="2" customFormat="1" ht="18" customHeight="1">
      <c r="A24" s="181"/>
      <c r="B24" s="30"/>
      <c r="C24" s="181"/>
      <c r="D24" s="181"/>
      <c r="E24" s="175" t="str">
        <f>IF('Rekapitulace stavby'!E20="","",'Rekapitulace stavby'!E20)</f>
        <v xml:space="preserve"> </v>
      </c>
      <c r="F24" s="181"/>
      <c r="G24" s="181"/>
      <c r="H24" s="181"/>
      <c r="I24" s="180" t="s">
        <v>22</v>
      </c>
      <c r="J24" s="175" t="str">
        <f>IF('Rekapitulace stavby'!AN20="","",'Rekapitulace stavby'!AN20)</f>
        <v/>
      </c>
      <c r="K24" s="181"/>
      <c r="L24" s="39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</row>
    <row r="25" spans="1:55" s="2" customFormat="1" ht="6.95" customHeight="1">
      <c r="A25" s="181"/>
      <c r="B25" s="30"/>
      <c r="C25" s="181"/>
      <c r="D25" s="181"/>
      <c r="E25" s="181"/>
      <c r="F25" s="181"/>
      <c r="G25" s="181"/>
      <c r="H25" s="181"/>
      <c r="I25" s="181"/>
      <c r="J25" s="181"/>
      <c r="K25" s="181"/>
      <c r="L25" s="39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</row>
    <row r="26" spans="1:30" s="2" customFormat="1" ht="12" customHeight="1">
      <c r="A26" s="181"/>
      <c r="B26" s="30"/>
      <c r="C26" s="181"/>
      <c r="D26" s="180" t="s">
        <v>28</v>
      </c>
      <c r="E26" s="181"/>
      <c r="F26" s="181"/>
      <c r="G26" s="181"/>
      <c r="H26" s="181"/>
      <c r="I26" s="181"/>
      <c r="J26" s="181"/>
      <c r="K26" s="181"/>
      <c r="L26" s="39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</row>
    <row r="27" spans="1:55" s="8" customFormat="1" ht="71.25" customHeight="1">
      <c r="A27" s="92"/>
      <c r="B27" s="93"/>
      <c r="C27" s="92"/>
      <c r="D27" s="92"/>
      <c r="E27" s="278" t="s">
        <v>29</v>
      </c>
      <c r="F27" s="278"/>
      <c r="G27" s="278"/>
      <c r="H27" s="278"/>
      <c r="I27" s="92"/>
      <c r="J27" s="92"/>
      <c r="K27" s="92"/>
      <c r="L27" s="94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30" s="2" customFormat="1" ht="6.95" customHeight="1">
      <c r="A28" s="181"/>
      <c r="B28" s="30"/>
      <c r="C28" s="181"/>
      <c r="D28" s="181"/>
      <c r="E28" s="181"/>
      <c r="F28" s="181"/>
      <c r="G28" s="181"/>
      <c r="H28" s="181"/>
      <c r="I28" s="181"/>
      <c r="J28" s="181"/>
      <c r="K28" s="181"/>
      <c r="L28" s="39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</row>
    <row r="29" spans="1:30" s="2" customFormat="1" ht="6.95" customHeight="1">
      <c r="A29" s="181"/>
      <c r="B29" s="30"/>
      <c r="C29" s="181"/>
      <c r="D29" s="63"/>
      <c r="E29" s="63"/>
      <c r="F29" s="63"/>
      <c r="G29" s="63"/>
      <c r="H29" s="63"/>
      <c r="I29" s="63"/>
      <c r="J29" s="63"/>
      <c r="K29" s="63"/>
      <c r="L29" s="39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</row>
    <row r="30" spans="1:30" s="2" customFormat="1" ht="25.35" customHeight="1">
      <c r="A30" s="181"/>
      <c r="B30" s="30"/>
      <c r="C30" s="181"/>
      <c r="D30" s="95" t="s">
        <v>30</v>
      </c>
      <c r="E30" s="181"/>
      <c r="F30" s="181"/>
      <c r="G30" s="181"/>
      <c r="H30" s="181"/>
      <c r="I30" s="181"/>
      <c r="J30" s="179">
        <f>ROUND(J64,2)</f>
        <v>0</v>
      </c>
      <c r="K30" s="181"/>
      <c r="L30" s="39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</row>
    <row r="31" spans="44:55" ht="12"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44:55" ht="12"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30" s="2" customFormat="1" ht="6.95" customHeight="1">
      <c r="A33" s="181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39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</row>
    <row r="34" spans="1:30" s="2" customFormat="1" ht="24.95" customHeight="1">
      <c r="A34" s="181"/>
      <c r="B34" s="30"/>
      <c r="C34" s="21" t="s">
        <v>86</v>
      </c>
      <c r="D34" s="181"/>
      <c r="E34" s="181"/>
      <c r="F34" s="181"/>
      <c r="G34" s="181"/>
      <c r="H34" s="181"/>
      <c r="I34" s="181"/>
      <c r="J34" s="181"/>
      <c r="K34" s="181"/>
      <c r="L34" s="39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</row>
    <row r="35" spans="1:30" s="2" customFormat="1" ht="6.95" customHeight="1">
      <c r="A35" s="181"/>
      <c r="B35" s="30"/>
      <c r="C35" s="181"/>
      <c r="D35" s="181"/>
      <c r="E35" s="181"/>
      <c r="F35" s="181"/>
      <c r="G35" s="181"/>
      <c r="H35" s="181"/>
      <c r="I35" s="181"/>
      <c r="J35" s="181"/>
      <c r="K35" s="181"/>
      <c r="L35" s="39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</row>
    <row r="36" spans="1:30" s="2" customFormat="1" ht="12" customHeight="1">
      <c r="A36" s="181"/>
      <c r="B36" s="30"/>
      <c r="C36" s="180" t="s">
        <v>14</v>
      </c>
      <c r="D36" s="181"/>
      <c r="E36" s="181"/>
      <c r="F36" s="181"/>
      <c r="G36" s="181"/>
      <c r="H36" s="181"/>
      <c r="I36" s="181"/>
      <c r="J36" s="181"/>
      <c r="K36" s="181"/>
      <c r="L36" s="39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</row>
    <row r="37" spans="1:30" s="2" customFormat="1" ht="16.5" customHeight="1">
      <c r="A37" s="181"/>
      <c r="B37" s="30"/>
      <c r="C37" s="181"/>
      <c r="D37" s="181"/>
      <c r="E37" s="283" t="str">
        <f>E7</f>
        <v>Rekonstrukce částí objektu budovy Pavilonu H</v>
      </c>
      <c r="F37" s="284"/>
      <c r="G37" s="284"/>
      <c r="H37" s="284"/>
      <c r="I37" s="181"/>
      <c r="J37" s="181"/>
      <c r="K37" s="181"/>
      <c r="L37" s="39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</row>
    <row r="38" spans="1:30" s="2" customFormat="1" ht="12" customHeight="1">
      <c r="A38" s="181"/>
      <c r="B38" s="30"/>
      <c r="C38" s="180" t="s">
        <v>85</v>
      </c>
      <c r="D38" s="181"/>
      <c r="E38" s="181"/>
      <c r="F38" s="181"/>
      <c r="G38" s="181"/>
      <c r="H38" s="181"/>
      <c r="I38" s="181"/>
      <c r="J38" s="181"/>
      <c r="K38" s="181"/>
      <c r="L38" s="39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</row>
    <row r="39" spans="1:30" s="2" customFormat="1" ht="16.5" customHeight="1">
      <c r="A39" s="181"/>
      <c r="B39" s="30"/>
      <c r="C39" s="181"/>
      <c r="D39" s="181"/>
      <c r="E39" s="253">
        <f>E9</f>
        <v>0</v>
      </c>
      <c r="F39" s="282"/>
      <c r="G39" s="282"/>
      <c r="H39" s="282"/>
      <c r="I39" s="181"/>
      <c r="J39" s="181"/>
      <c r="K39" s="181"/>
      <c r="L39" s="39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</row>
    <row r="40" spans="1:55" s="2" customFormat="1" ht="6.95" customHeight="1">
      <c r="A40" s="181"/>
      <c r="B40" s="30"/>
      <c r="C40" s="181"/>
      <c r="D40" s="181"/>
      <c r="E40" s="181"/>
      <c r="F40" s="181"/>
      <c r="G40" s="181"/>
      <c r="H40" s="181"/>
      <c r="I40" s="181"/>
      <c r="J40" s="181"/>
      <c r="K40" s="181"/>
      <c r="L40" s="39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</row>
    <row r="41" spans="1:55" s="2" customFormat="1" ht="12" customHeight="1">
      <c r="A41" s="181"/>
      <c r="B41" s="30"/>
      <c r="C41" s="180" t="s">
        <v>17</v>
      </c>
      <c r="D41" s="181"/>
      <c r="E41" s="181"/>
      <c r="F41" s="175" t="str">
        <f>F12</f>
        <v xml:space="preserve"> </v>
      </c>
      <c r="G41" s="181"/>
      <c r="H41" s="181"/>
      <c r="I41" s="180" t="s">
        <v>19</v>
      </c>
      <c r="J41" s="178">
        <f>IF(J12="","",J12)</f>
        <v>45323</v>
      </c>
      <c r="K41" s="181"/>
      <c r="L41" s="39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</row>
    <row r="42" spans="1:55" s="2" customFormat="1" ht="6.95" customHeight="1">
      <c r="A42" s="181"/>
      <c r="B42" s="30"/>
      <c r="C42" s="181"/>
      <c r="D42" s="181"/>
      <c r="E42" s="181"/>
      <c r="F42" s="181"/>
      <c r="G42" s="181"/>
      <c r="H42" s="181"/>
      <c r="I42" s="181"/>
      <c r="J42" s="181"/>
      <c r="K42" s="181"/>
      <c r="L42" s="39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</row>
    <row r="43" spans="1:30" s="2" customFormat="1" ht="15.2" customHeight="1">
      <c r="A43" s="181"/>
      <c r="B43" s="30"/>
      <c r="C43" s="180" t="s">
        <v>20</v>
      </c>
      <c r="D43" s="181"/>
      <c r="E43" s="181"/>
      <c r="F43" s="175" t="str">
        <f>E15</f>
        <v xml:space="preserve"> </v>
      </c>
      <c r="G43" s="181"/>
      <c r="H43" s="181"/>
      <c r="I43" s="180" t="s">
        <v>24</v>
      </c>
      <c r="J43" s="177" t="str">
        <f>E21</f>
        <v>Ing. Arch. Jan Ságl</v>
      </c>
      <c r="K43" s="181"/>
      <c r="L43" s="39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</row>
    <row r="44" spans="1:30" s="2" customFormat="1" ht="15.2" customHeight="1">
      <c r="A44" s="181"/>
      <c r="B44" s="30"/>
      <c r="C44" s="180" t="s">
        <v>23</v>
      </c>
      <c r="D44" s="181"/>
      <c r="E44" s="181"/>
      <c r="F44" s="175" t="str">
        <f>IF(E18="","",E18)</f>
        <v xml:space="preserve"> </v>
      </c>
      <c r="G44" s="181"/>
      <c r="H44" s="181"/>
      <c r="I44" s="180" t="s">
        <v>27</v>
      </c>
      <c r="J44" s="177" t="str">
        <f>E24</f>
        <v xml:space="preserve"> </v>
      </c>
      <c r="K44" s="181"/>
      <c r="L44" s="39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</row>
    <row r="45" spans="1:30" s="2" customFormat="1" ht="10.35" customHeight="1">
      <c r="A45" s="181"/>
      <c r="B45" s="30"/>
      <c r="C45" s="181"/>
      <c r="D45" s="181"/>
      <c r="E45" s="181"/>
      <c r="F45" s="181"/>
      <c r="G45" s="181"/>
      <c r="H45" s="181"/>
      <c r="I45" s="181"/>
      <c r="J45" s="181"/>
      <c r="K45" s="181"/>
      <c r="L45" s="39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</row>
    <row r="46" spans="1:30" s="2" customFormat="1" ht="6.95" customHeight="1">
      <c r="A46" s="181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9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</row>
    <row r="47" spans="44:55" ht="12"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44:55" ht="12"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44:55" ht="12"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30" s="2" customFormat="1" ht="6.95" customHeight="1">
      <c r="A50" s="181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39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</row>
    <row r="51" spans="1:30" s="2" customFormat="1" ht="24.95" customHeight="1">
      <c r="A51" s="181"/>
      <c r="B51" s="30"/>
      <c r="C51" s="21" t="s">
        <v>91</v>
      </c>
      <c r="D51" s="181"/>
      <c r="E51" s="181"/>
      <c r="F51" s="181"/>
      <c r="G51" s="181"/>
      <c r="H51" s="181"/>
      <c r="I51" s="181"/>
      <c r="J51" s="181"/>
      <c r="K51" s="181"/>
      <c r="L51" s="39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</row>
    <row r="52" spans="1:30" s="2" customFormat="1" ht="6.95" customHeight="1">
      <c r="A52" s="181"/>
      <c r="B52" s="30"/>
      <c r="C52" s="181"/>
      <c r="D52" s="181"/>
      <c r="E52" s="181"/>
      <c r="F52" s="181"/>
      <c r="G52" s="181"/>
      <c r="H52" s="181"/>
      <c r="I52" s="181"/>
      <c r="J52" s="181"/>
      <c r="K52" s="181"/>
      <c r="L52" s="39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</row>
    <row r="53" spans="1:30" s="2" customFormat="1" ht="12" customHeight="1">
      <c r="A53" s="181"/>
      <c r="B53" s="30"/>
      <c r="C53" s="180" t="s">
        <v>14</v>
      </c>
      <c r="D53" s="181"/>
      <c r="E53" s="181"/>
      <c r="F53" s="181"/>
      <c r="G53" s="181"/>
      <c r="H53" s="181"/>
      <c r="I53" s="181"/>
      <c r="J53" s="181"/>
      <c r="K53" s="181"/>
      <c r="L53" s="39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</row>
    <row r="54" spans="1:30" s="2" customFormat="1" ht="16.5" customHeight="1">
      <c r="A54" s="181"/>
      <c r="B54" s="30"/>
      <c r="C54" s="181"/>
      <c r="D54" s="181"/>
      <c r="E54" s="283" t="str">
        <f>E7</f>
        <v>Rekonstrukce částí objektu budovy Pavilonu H</v>
      </c>
      <c r="F54" s="284"/>
      <c r="G54" s="284"/>
      <c r="H54" s="284"/>
      <c r="I54" s="181"/>
      <c r="J54" s="181"/>
      <c r="K54" s="181"/>
      <c r="L54" s="39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</row>
    <row r="55" spans="1:30" s="2" customFormat="1" ht="12" customHeight="1">
      <c r="A55" s="181"/>
      <c r="B55" s="30"/>
      <c r="C55" s="180" t="s">
        <v>85</v>
      </c>
      <c r="D55" s="181"/>
      <c r="E55" s="181"/>
      <c r="F55" s="181"/>
      <c r="G55" s="181"/>
      <c r="H55" s="181"/>
      <c r="I55" s="181"/>
      <c r="J55" s="181"/>
      <c r="K55" s="181"/>
      <c r="L55" s="39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</row>
    <row r="56" spans="1:55" s="2" customFormat="1" ht="16.5" customHeight="1">
      <c r="A56" s="181"/>
      <c r="B56" s="30"/>
      <c r="C56" s="181"/>
      <c r="D56" s="181"/>
      <c r="E56" s="253">
        <f>E9</f>
        <v>0</v>
      </c>
      <c r="F56" s="282"/>
      <c r="G56" s="282"/>
      <c r="H56" s="282"/>
      <c r="I56" s="181"/>
      <c r="J56" s="181"/>
      <c r="K56" s="181"/>
      <c r="L56" s="39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46" s="2" customFormat="1" ht="6.95" customHeight="1">
      <c r="A57" s="181"/>
      <c r="B57" s="30"/>
      <c r="C57" s="181"/>
      <c r="D57" s="181"/>
      <c r="E57" s="181"/>
      <c r="F57" s="181"/>
      <c r="G57" s="181"/>
      <c r="H57" s="181"/>
      <c r="I57" s="181"/>
      <c r="J57" s="181"/>
      <c r="K57" s="181"/>
      <c r="L57" s="39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S57" s="17"/>
      <c r="AT57" s="17"/>
    </row>
    <row r="58" spans="1:55" s="2" customFormat="1" ht="12" customHeight="1">
      <c r="A58" s="181"/>
      <c r="B58" s="30"/>
      <c r="C58" s="180" t="s">
        <v>17</v>
      </c>
      <c r="D58" s="181"/>
      <c r="E58" s="181"/>
      <c r="F58" s="175" t="str">
        <f>F12</f>
        <v xml:space="preserve"> </v>
      </c>
      <c r="G58" s="181"/>
      <c r="H58" s="181"/>
      <c r="I58" s="180" t="s">
        <v>19</v>
      </c>
      <c r="J58" s="178">
        <f>IF(J12="","",J12)</f>
        <v>45323</v>
      </c>
      <c r="K58" s="181"/>
      <c r="L58" s="39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R58" s="12"/>
      <c r="AS58" s="137"/>
      <c r="AT58" s="137"/>
      <c r="AU58" s="12"/>
      <c r="AV58" s="12"/>
      <c r="AW58" s="12"/>
      <c r="AX58" s="130"/>
      <c r="AY58" s="12"/>
      <c r="AZ58" s="12"/>
      <c r="BA58" s="12"/>
      <c r="BB58" s="12"/>
      <c r="BC58" s="12"/>
    </row>
    <row r="59" spans="1:55" s="2" customFormat="1" ht="6.95" customHeight="1">
      <c r="A59" s="181"/>
      <c r="B59" s="30"/>
      <c r="C59" s="181"/>
      <c r="D59" s="181"/>
      <c r="E59" s="181"/>
      <c r="F59" s="181"/>
      <c r="G59" s="181"/>
      <c r="H59" s="181"/>
      <c r="I59" s="181"/>
      <c r="J59" s="181"/>
      <c r="K59" s="181"/>
      <c r="L59" s="39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R59" s="12"/>
      <c r="AS59" s="137"/>
      <c r="AT59" s="137"/>
      <c r="AU59" s="12"/>
      <c r="AV59" s="12"/>
      <c r="AW59" s="12"/>
      <c r="AX59" s="130"/>
      <c r="AY59" s="12"/>
      <c r="AZ59" s="12"/>
      <c r="BA59" s="12"/>
      <c r="BB59" s="12"/>
      <c r="BC59" s="12"/>
    </row>
    <row r="60" spans="1:55" s="2" customFormat="1" ht="15.2" customHeight="1">
      <c r="A60" s="181"/>
      <c r="B60" s="30"/>
      <c r="C60" s="180" t="s">
        <v>20</v>
      </c>
      <c r="D60" s="181"/>
      <c r="E60" s="181"/>
      <c r="F60" s="175" t="str">
        <f>E15</f>
        <v xml:space="preserve"> </v>
      </c>
      <c r="G60" s="181"/>
      <c r="H60" s="181"/>
      <c r="I60" s="180" t="s">
        <v>24</v>
      </c>
      <c r="J60" s="177" t="str">
        <f>E21</f>
        <v>Ing. Arch. Jan Ságl</v>
      </c>
      <c r="K60" s="181"/>
      <c r="L60" s="39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R60" s="204"/>
      <c r="AS60" s="217"/>
      <c r="AT60" s="217"/>
      <c r="AU60" s="204"/>
      <c r="AV60" s="204"/>
      <c r="AW60" s="204"/>
      <c r="AX60" s="218"/>
      <c r="AY60" s="204"/>
      <c r="AZ60" s="204"/>
      <c r="BA60" s="204"/>
      <c r="BB60" s="204"/>
      <c r="BC60" s="204"/>
    </row>
    <row r="61" spans="1:55" s="2" customFormat="1" ht="15.2" customHeight="1">
      <c r="A61" s="181"/>
      <c r="B61" s="30"/>
      <c r="C61" s="180" t="s">
        <v>23</v>
      </c>
      <c r="D61" s="181"/>
      <c r="E61" s="181"/>
      <c r="F61" s="175" t="str">
        <f>IF(E18="","",E18)</f>
        <v xml:space="preserve"> </v>
      </c>
      <c r="G61" s="181"/>
      <c r="H61" s="181"/>
      <c r="I61" s="180" t="s">
        <v>27</v>
      </c>
      <c r="J61" s="177" t="str">
        <f>E24</f>
        <v xml:space="preserve"> </v>
      </c>
      <c r="K61" s="181"/>
      <c r="L61" s="39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R61" s="13"/>
      <c r="AS61" s="157"/>
      <c r="AT61" s="157"/>
      <c r="AU61" s="13"/>
      <c r="AV61" s="13"/>
      <c r="AW61" s="13"/>
      <c r="AX61" s="157"/>
      <c r="AY61" s="13"/>
      <c r="AZ61" s="13"/>
      <c r="BA61" s="13"/>
      <c r="BB61" s="13"/>
      <c r="BC61" s="13"/>
    </row>
    <row r="62" spans="1:50" s="2" customFormat="1" ht="10.35" customHeight="1">
      <c r="A62" s="181"/>
      <c r="B62" s="30"/>
      <c r="C62" s="181"/>
      <c r="D62" s="181"/>
      <c r="E62" s="181"/>
      <c r="F62" s="181"/>
      <c r="G62" s="181"/>
      <c r="H62" s="181"/>
      <c r="I62" s="181"/>
      <c r="J62" s="181"/>
      <c r="K62" s="181"/>
      <c r="L62" s="39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S62" s="153"/>
      <c r="AT62" s="153"/>
      <c r="AX62" s="17"/>
    </row>
    <row r="63" spans="1:55" s="11" customFormat="1" ht="29.25" customHeight="1">
      <c r="A63" s="118"/>
      <c r="B63" s="119"/>
      <c r="C63" s="120" t="s">
        <v>92</v>
      </c>
      <c r="D63" s="121" t="s">
        <v>55</v>
      </c>
      <c r="E63" s="121" t="s">
        <v>51</v>
      </c>
      <c r="F63" s="121" t="s">
        <v>52</v>
      </c>
      <c r="G63" s="121" t="s">
        <v>93</v>
      </c>
      <c r="H63" s="121" t="s">
        <v>94</v>
      </c>
      <c r="I63" s="121" t="s">
        <v>95</v>
      </c>
      <c r="J63" s="122" t="s">
        <v>88</v>
      </c>
      <c r="K63" s="123" t="s">
        <v>96</v>
      </c>
      <c r="L63" s="124"/>
      <c r="M63" s="59" t="s">
        <v>1</v>
      </c>
      <c r="N63" s="60" t="s">
        <v>97</v>
      </c>
      <c r="O63" s="60" t="s">
        <v>98</v>
      </c>
      <c r="P63" s="60" t="s">
        <v>99</v>
      </c>
      <c r="Q63" s="60" t="s">
        <v>100</v>
      </c>
      <c r="R63" s="60" t="s">
        <v>101</v>
      </c>
      <c r="S63" s="61" t="s">
        <v>102</v>
      </c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R63" s="190"/>
      <c r="AS63" s="195"/>
      <c r="AT63" s="195"/>
      <c r="AU63" s="190"/>
      <c r="AV63" s="190"/>
      <c r="AW63" s="190"/>
      <c r="AX63" s="191"/>
      <c r="AY63" s="190"/>
      <c r="AZ63" s="190"/>
      <c r="BA63" s="190"/>
      <c r="BB63" s="190"/>
      <c r="BC63" s="190"/>
    </row>
    <row r="64" spans="1:62" s="2" customFormat="1" ht="22.9" customHeight="1">
      <c r="A64" s="181"/>
      <c r="B64" s="30"/>
      <c r="C64" s="66" t="s">
        <v>103</v>
      </c>
      <c r="D64" s="181"/>
      <c r="E64" s="181"/>
      <c r="F64" s="181"/>
      <c r="G64" s="181"/>
      <c r="H64" s="181"/>
      <c r="I64" s="181"/>
      <c r="J64" s="125">
        <f>J65+J95</f>
        <v>0</v>
      </c>
      <c r="K64" s="181"/>
      <c r="L64" s="197"/>
      <c r="M64" s="62"/>
      <c r="N64" s="63"/>
      <c r="O64" s="126" t="e">
        <f>O65+O95</f>
        <v>#REF!</v>
      </c>
      <c r="P64" s="63"/>
      <c r="Q64" s="126" t="e">
        <f>Q65+Q95</f>
        <v>#REF!</v>
      </c>
      <c r="R64" s="63"/>
      <c r="S64" s="127" t="e">
        <f>S65+S95</f>
        <v>#REF!</v>
      </c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R64" s="190"/>
      <c r="AS64" s="195"/>
      <c r="AT64" s="195"/>
      <c r="AU64" s="190"/>
      <c r="AV64" s="190"/>
      <c r="AW64" s="190"/>
      <c r="AX64" s="191"/>
      <c r="AY64" s="190"/>
      <c r="AZ64" s="190"/>
      <c r="BA64" s="190"/>
      <c r="BB64" s="190"/>
      <c r="BC64" s="190"/>
      <c r="BJ64" s="128"/>
    </row>
    <row r="65" spans="2:62" s="12" customFormat="1" ht="25.9" customHeight="1">
      <c r="B65" s="129"/>
      <c r="D65" s="130" t="s">
        <v>69</v>
      </c>
      <c r="E65" s="131" t="s">
        <v>104</v>
      </c>
      <c r="F65" s="131" t="s">
        <v>105</v>
      </c>
      <c r="J65" s="132">
        <f>J66+J80+J88</f>
        <v>0</v>
      </c>
      <c r="L65" s="129"/>
      <c r="M65" s="133"/>
      <c r="N65" s="134"/>
      <c r="O65" s="135" t="e">
        <f>#REF!+#REF!+#REF!+O66+#REF!+O80+O88+#REF!+#REF!</f>
        <v>#REF!</v>
      </c>
      <c r="P65" s="134"/>
      <c r="Q65" s="135" t="e">
        <f>#REF!+#REF!+#REF!+Q66+#REF!+Q80+Q88+#REF!+#REF!</f>
        <v>#REF!</v>
      </c>
      <c r="R65" s="134"/>
      <c r="S65" s="136" t="e">
        <f>#REF!+#REF!+#REF!+S66+#REF!+S80+S88+#REF!+#REF!</f>
        <v>#REF!</v>
      </c>
      <c r="AQ65" s="130"/>
      <c r="AR65" s="190"/>
      <c r="AS65" s="195"/>
      <c r="AT65" s="195"/>
      <c r="AU65" s="190"/>
      <c r="AV65" s="190"/>
      <c r="AW65" s="190"/>
      <c r="AX65" s="191"/>
      <c r="AY65" s="190"/>
      <c r="AZ65" s="190"/>
      <c r="BA65" s="190"/>
      <c r="BB65" s="190"/>
      <c r="BC65" s="190"/>
      <c r="BJ65" s="138"/>
    </row>
    <row r="66" spans="2:62" s="12" customFormat="1" ht="22.9" customHeight="1">
      <c r="B66" s="129"/>
      <c r="C66" s="184"/>
      <c r="D66" s="130" t="s">
        <v>69</v>
      </c>
      <c r="E66" s="139" t="s">
        <v>113</v>
      </c>
      <c r="F66" s="139" t="s">
        <v>116</v>
      </c>
      <c r="J66" s="140">
        <f>SUM(J67:J79)</f>
        <v>0</v>
      </c>
      <c r="L66" s="129"/>
      <c r="M66" s="133"/>
      <c r="N66" s="134"/>
      <c r="O66" s="135">
        <f>SUM(O67:O79)</f>
        <v>226.79999999999998</v>
      </c>
      <c r="P66" s="134"/>
      <c r="Q66" s="135">
        <f>SUM(Q67:Q79)</f>
        <v>2.7594000000000003</v>
      </c>
      <c r="R66" s="134"/>
      <c r="S66" s="136">
        <f>SUM(S67:S79)</f>
        <v>0</v>
      </c>
      <c r="AQ66" s="130"/>
      <c r="AR66" s="2"/>
      <c r="AS66" s="153"/>
      <c r="AT66" s="153"/>
      <c r="AU66" s="2"/>
      <c r="AV66" s="2"/>
      <c r="AW66" s="2"/>
      <c r="AX66" s="17"/>
      <c r="AY66" s="2"/>
      <c r="AZ66" s="2"/>
      <c r="BA66" s="2"/>
      <c r="BB66" s="2"/>
      <c r="BC66" s="2"/>
      <c r="BJ66" s="138"/>
    </row>
    <row r="67" spans="2:64" s="204" customFormat="1" ht="24.2" customHeight="1">
      <c r="B67" s="205"/>
      <c r="C67" s="206"/>
      <c r="D67" s="226" t="s">
        <v>108</v>
      </c>
      <c r="E67" s="227"/>
      <c r="F67" s="228" t="s">
        <v>189</v>
      </c>
      <c r="G67" s="229" t="s">
        <v>112</v>
      </c>
      <c r="H67" s="230">
        <f>H82*1</f>
        <v>630</v>
      </c>
      <c r="I67" s="231">
        <v>0</v>
      </c>
      <c r="J67" s="231">
        <f>ROUND(I67*H67,2)</f>
        <v>0</v>
      </c>
      <c r="K67" s="212"/>
      <c r="L67" s="213"/>
      <c r="M67" s="214" t="s">
        <v>1</v>
      </c>
      <c r="N67" s="215">
        <v>0.36</v>
      </c>
      <c r="O67" s="215">
        <f>N67*H67</f>
        <v>226.79999999999998</v>
      </c>
      <c r="P67" s="215">
        <v>0.00438</v>
      </c>
      <c r="Q67" s="215">
        <f>P67*H67</f>
        <v>2.7594000000000003</v>
      </c>
      <c r="R67" s="215">
        <v>0</v>
      </c>
      <c r="S67" s="216">
        <f>R67*H67</f>
        <v>0</v>
      </c>
      <c r="AQ67" s="217"/>
      <c r="AR67" s="190"/>
      <c r="AS67" s="195"/>
      <c r="AT67" s="195"/>
      <c r="AU67" s="190"/>
      <c r="AV67" s="190"/>
      <c r="AW67" s="190"/>
      <c r="AX67" s="191"/>
      <c r="AY67" s="190"/>
      <c r="AZ67" s="190"/>
      <c r="BA67" s="190"/>
      <c r="BB67" s="190"/>
      <c r="BC67" s="190"/>
      <c r="BD67" s="219"/>
      <c r="BE67" s="219"/>
      <c r="BF67" s="219"/>
      <c r="BG67" s="219"/>
      <c r="BH67" s="219"/>
      <c r="BI67" s="218"/>
      <c r="BJ67" s="219"/>
      <c r="BK67" s="218"/>
      <c r="BL67" s="217"/>
    </row>
    <row r="68" spans="2:55" s="13" customFormat="1" ht="12">
      <c r="B68" s="155"/>
      <c r="C68" s="184"/>
      <c r="D68" s="232"/>
      <c r="E68" s="191"/>
      <c r="F68" s="233"/>
      <c r="G68" s="200"/>
      <c r="H68" s="234"/>
      <c r="I68" s="200"/>
      <c r="J68" s="200"/>
      <c r="L68" s="155"/>
      <c r="M68" s="160"/>
      <c r="N68" s="161"/>
      <c r="O68" s="161"/>
      <c r="P68" s="161"/>
      <c r="Q68" s="161"/>
      <c r="R68" s="161"/>
      <c r="S68" s="162"/>
      <c r="AR68" s="2"/>
      <c r="AS68" s="153"/>
      <c r="AT68" s="153"/>
      <c r="AU68" s="2"/>
      <c r="AV68" s="2"/>
      <c r="AW68" s="2"/>
      <c r="AX68" s="17"/>
      <c r="AY68" s="2"/>
      <c r="AZ68" s="2"/>
      <c r="BA68" s="2"/>
      <c r="BB68" s="2"/>
      <c r="BC68" s="2"/>
    </row>
    <row r="69" spans="1:64" s="2" customFormat="1" ht="24.2" customHeight="1">
      <c r="A69" s="181"/>
      <c r="B69" s="141"/>
      <c r="C69" s="184"/>
      <c r="D69" s="226"/>
      <c r="E69" s="227"/>
      <c r="F69" s="228" t="s">
        <v>190</v>
      </c>
      <c r="G69" s="229" t="s">
        <v>112</v>
      </c>
      <c r="H69" s="230">
        <f>630</f>
        <v>630</v>
      </c>
      <c r="I69" s="231">
        <v>0</v>
      </c>
      <c r="J69" s="231">
        <f aca="true" t="shared" si="0" ref="J69:J79">ROUND(I69*H69,2)</f>
        <v>0</v>
      </c>
      <c r="K69" s="148"/>
      <c r="L69" s="30"/>
      <c r="M69" s="149"/>
      <c r="N69" s="151"/>
      <c r="O69" s="151"/>
      <c r="P69" s="151"/>
      <c r="Q69" s="151"/>
      <c r="R69" s="151"/>
      <c r="S69" s="152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Q69" s="153"/>
      <c r="AS69" s="153"/>
      <c r="AT69" s="153"/>
      <c r="AX69" s="17"/>
      <c r="BD69" s="154"/>
      <c r="BE69" s="154"/>
      <c r="BF69" s="154"/>
      <c r="BG69" s="154"/>
      <c r="BH69" s="154"/>
      <c r="BI69" s="17"/>
      <c r="BJ69" s="154"/>
      <c r="BK69" s="17"/>
      <c r="BL69" s="153"/>
    </row>
    <row r="70" spans="1:64" s="190" customFormat="1" ht="24.2" customHeight="1">
      <c r="A70" s="200"/>
      <c r="B70" s="192"/>
      <c r="C70" s="184"/>
      <c r="D70" s="226"/>
      <c r="E70" s="227"/>
      <c r="F70" s="228" t="s">
        <v>158</v>
      </c>
      <c r="G70" s="229" t="s">
        <v>112</v>
      </c>
      <c r="H70" s="230">
        <f>630</f>
        <v>630</v>
      </c>
      <c r="I70" s="231">
        <v>0</v>
      </c>
      <c r="J70" s="231">
        <f t="shared" si="0"/>
        <v>0</v>
      </c>
      <c r="K70" s="148"/>
      <c r="L70" s="30"/>
      <c r="M70" s="149"/>
      <c r="N70" s="193"/>
      <c r="O70" s="193"/>
      <c r="P70" s="193"/>
      <c r="Q70" s="193"/>
      <c r="R70" s="193"/>
      <c r="S70" s="194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Q70" s="195"/>
      <c r="AR70" s="13"/>
      <c r="AS70" s="157"/>
      <c r="AT70" s="157"/>
      <c r="AU70" s="13"/>
      <c r="AV70" s="13"/>
      <c r="AW70" s="13"/>
      <c r="AX70" s="157"/>
      <c r="AY70" s="13"/>
      <c r="AZ70" s="13"/>
      <c r="BA70" s="13"/>
      <c r="BB70" s="13"/>
      <c r="BC70" s="13"/>
      <c r="BD70" s="196"/>
      <c r="BE70" s="196"/>
      <c r="BF70" s="196"/>
      <c r="BG70" s="196"/>
      <c r="BH70" s="196"/>
      <c r="BI70" s="191"/>
      <c r="BJ70" s="196"/>
      <c r="BK70" s="191"/>
      <c r="BL70" s="195"/>
    </row>
    <row r="71" spans="1:64" s="190" customFormat="1" ht="24.2" customHeight="1">
      <c r="A71" s="200"/>
      <c r="B71" s="192"/>
      <c r="C71" s="184"/>
      <c r="D71" s="226"/>
      <c r="E71" s="227" t="s">
        <v>194</v>
      </c>
      <c r="F71" s="228" t="s">
        <v>193</v>
      </c>
      <c r="G71" s="229" t="s">
        <v>112</v>
      </c>
      <c r="H71" s="230">
        <f>630</f>
        <v>630</v>
      </c>
      <c r="I71" s="231">
        <v>0</v>
      </c>
      <c r="J71" s="231">
        <f t="shared" si="0"/>
        <v>0</v>
      </c>
      <c r="K71" s="148"/>
      <c r="L71" s="30"/>
      <c r="M71" s="149"/>
      <c r="N71" s="193"/>
      <c r="O71" s="193"/>
      <c r="P71" s="193"/>
      <c r="Q71" s="193"/>
      <c r="R71" s="193"/>
      <c r="S71" s="194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Q71" s="195"/>
      <c r="AR71" s="14"/>
      <c r="AS71" s="164"/>
      <c r="AT71" s="164"/>
      <c r="AU71" s="14"/>
      <c r="AV71" s="14"/>
      <c r="AW71" s="14"/>
      <c r="AX71" s="164"/>
      <c r="AY71" s="14"/>
      <c r="AZ71" s="14"/>
      <c r="BA71" s="14"/>
      <c r="BB71" s="14"/>
      <c r="BC71" s="14"/>
      <c r="BD71" s="196"/>
      <c r="BE71" s="196"/>
      <c r="BF71" s="196"/>
      <c r="BG71" s="196"/>
      <c r="BH71" s="196"/>
      <c r="BI71" s="191"/>
      <c r="BJ71" s="196"/>
      <c r="BK71" s="191"/>
      <c r="BL71" s="195"/>
    </row>
    <row r="72" spans="1:64" s="190" customFormat="1" ht="54.75" customHeight="1">
      <c r="A72" s="200"/>
      <c r="B72" s="192"/>
      <c r="C72" s="184"/>
      <c r="D72" s="226"/>
      <c r="E72" s="227"/>
      <c r="F72" s="228" t="s">
        <v>209</v>
      </c>
      <c r="G72" s="229" t="s">
        <v>112</v>
      </c>
      <c r="H72" s="230">
        <f>630*1.2</f>
        <v>756</v>
      </c>
      <c r="I72" s="231">
        <v>0</v>
      </c>
      <c r="J72" s="231">
        <f t="shared" si="0"/>
        <v>0</v>
      </c>
      <c r="K72" s="148"/>
      <c r="L72" s="30"/>
      <c r="M72" s="149"/>
      <c r="N72" s="193"/>
      <c r="O72" s="193"/>
      <c r="P72" s="193"/>
      <c r="Q72" s="193"/>
      <c r="R72" s="193"/>
      <c r="S72" s="194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Q72" s="195"/>
      <c r="AR72" s="2"/>
      <c r="AS72" s="153"/>
      <c r="AT72" s="153"/>
      <c r="AU72" s="2"/>
      <c r="AV72" s="2"/>
      <c r="AW72" s="2"/>
      <c r="AX72" s="17"/>
      <c r="AY72" s="2"/>
      <c r="AZ72" s="2"/>
      <c r="BA72" s="2"/>
      <c r="BB72" s="2"/>
      <c r="BC72" s="2"/>
      <c r="BD72" s="196"/>
      <c r="BE72" s="196"/>
      <c r="BF72" s="196"/>
      <c r="BG72" s="196"/>
      <c r="BH72" s="196"/>
      <c r="BI72" s="191"/>
      <c r="BJ72" s="196"/>
      <c r="BK72" s="191"/>
      <c r="BL72" s="195"/>
    </row>
    <row r="73" spans="1:64" s="2" customFormat="1" ht="24.2" customHeight="1">
      <c r="A73" s="181"/>
      <c r="B73" s="141"/>
      <c r="C73" s="184"/>
      <c r="D73" s="226"/>
      <c r="E73" s="227"/>
      <c r="F73" s="228" t="s">
        <v>226</v>
      </c>
      <c r="G73" s="229" t="s">
        <v>118</v>
      </c>
      <c r="H73" s="230">
        <f>630*0.08</f>
        <v>50.4</v>
      </c>
      <c r="I73" s="231">
        <v>0</v>
      </c>
      <c r="J73" s="231">
        <f t="shared" si="0"/>
        <v>0</v>
      </c>
      <c r="K73" s="148"/>
      <c r="L73" s="30"/>
      <c r="M73" s="149"/>
      <c r="N73" s="151"/>
      <c r="O73" s="151"/>
      <c r="P73" s="151"/>
      <c r="Q73" s="151"/>
      <c r="R73" s="151"/>
      <c r="S73" s="152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Q73" s="153"/>
      <c r="AR73" s="12"/>
      <c r="AS73" s="137"/>
      <c r="AT73" s="137"/>
      <c r="AU73" s="12"/>
      <c r="AV73" s="12"/>
      <c r="AW73" s="12"/>
      <c r="AX73" s="130"/>
      <c r="AY73" s="12"/>
      <c r="AZ73" s="12"/>
      <c r="BA73" s="12"/>
      <c r="BB73" s="12"/>
      <c r="BC73" s="12"/>
      <c r="BD73" s="154"/>
      <c r="BE73" s="154"/>
      <c r="BF73" s="154"/>
      <c r="BG73" s="154"/>
      <c r="BH73" s="154"/>
      <c r="BI73" s="17"/>
      <c r="BJ73" s="154"/>
      <c r="BK73" s="17"/>
      <c r="BL73" s="153"/>
    </row>
    <row r="74" spans="1:64" s="190" customFormat="1" ht="24.2" customHeight="1">
      <c r="A74" s="200"/>
      <c r="B74" s="192"/>
      <c r="C74" s="184"/>
      <c r="D74" s="226"/>
      <c r="E74" s="227" t="s">
        <v>192</v>
      </c>
      <c r="F74" s="228" t="s">
        <v>191</v>
      </c>
      <c r="G74" s="229" t="s">
        <v>118</v>
      </c>
      <c r="H74" s="230">
        <f>H73</f>
        <v>50.4</v>
      </c>
      <c r="I74" s="231">
        <v>0</v>
      </c>
      <c r="J74" s="231">
        <f t="shared" si="0"/>
        <v>0</v>
      </c>
      <c r="K74" s="148"/>
      <c r="L74" s="30"/>
      <c r="M74" s="149"/>
      <c r="N74" s="193"/>
      <c r="O74" s="193"/>
      <c r="P74" s="193"/>
      <c r="Q74" s="193"/>
      <c r="R74" s="193"/>
      <c r="S74" s="194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Q74" s="195"/>
      <c r="AR74" s="12"/>
      <c r="AS74" s="137"/>
      <c r="AT74" s="137"/>
      <c r="AU74" s="12"/>
      <c r="AV74" s="12"/>
      <c r="AW74" s="12"/>
      <c r="AX74" s="130"/>
      <c r="AY74" s="12"/>
      <c r="AZ74" s="12"/>
      <c r="BA74" s="12"/>
      <c r="BB74" s="12"/>
      <c r="BC74" s="12"/>
      <c r="BD74" s="196"/>
      <c r="BE74" s="196"/>
      <c r="BF74" s="196"/>
      <c r="BG74" s="196"/>
      <c r="BH74" s="196"/>
      <c r="BI74" s="191"/>
      <c r="BJ74" s="196"/>
      <c r="BK74" s="191"/>
      <c r="BL74" s="195"/>
    </row>
    <row r="75" spans="1:64" s="2" customFormat="1" ht="24.2" customHeight="1">
      <c r="A75" s="181"/>
      <c r="B75" s="141"/>
      <c r="C75" s="184"/>
      <c r="D75" s="226"/>
      <c r="E75" s="227"/>
      <c r="F75" s="228" t="s">
        <v>195</v>
      </c>
      <c r="G75" s="229" t="s">
        <v>112</v>
      </c>
      <c r="H75" s="230">
        <f>H72</f>
        <v>756</v>
      </c>
      <c r="I75" s="231">
        <v>0</v>
      </c>
      <c r="J75" s="231">
        <f t="shared" si="0"/>
        <v>0</v>
      </c>
      <c r="K75" s="148"/>
      <c r="L75" s="30"/>
      <c r="M75" s="149"/>
      <c r="N75" s="151"/>
      <c r="O75" s="151"/>
      <c r="P75" s="151"/>
      <c r="Q75" s="151"/>
      <c r="R75" s="151"/>
      <c r="S75" s="152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Q75" s="153"/>
      <c r="AR75" s="12"/>
      <c r="AS75" s="137"/>
      <c r="AT75" s="137"/>
      <c r="AU75" s="12"/>
      <c r="AV75" s="12"/>
      <c r="AW75" s="12"/>
      <c r="AX75" s="130"/>
      <c r="AY75" s="12"/>
      <c r="AZ75" s="12"/>
      <c r="BA75" s="12"/>
      <c r="BB75" s="12"/>
      <c r="BC75" s="12"/>
      <c r="BD75" s="154"/>
      <c r="BE75" s="154"/>
      <c r="BF75" s="154"/>
      <c r="BG75" s="154"/>
      <c r="BH75" s="154"/>
      <c r="BI75" s="17"/>
      <c r="BJ75" s="154"/>
      <c r="BK75" s="17"/>
      <c r="BL75" s="153"/>
    </row>
    <row r="76" spans="1:64" s="2" customFormat="1" ht="24.2" customHeight="1">
      <c r="A76" s="181"/>
      <c r="B76" s="141"/>
      <c r="C76" s="184"/>
      <c r="D76" s="226"/>
      <c r="E76" s="227"/>
      <c r="F76" s="228" t="s">
        <v>196</v>
      </c>
      <c r="G76" s="229" t="s">
        <v>112</v>
      </c>
      <c r="H76" s="230">
        <f>H75</f>
        <v>756</v>
      </c>
      <c r="I76" s="231">
        <v>0</v>
      </c>
      <c r="J76" s="231">
        <f t="shared" si="0"/>
        <v>0</v>
      </c>
      <c r="K76" s="148"/>
      <c r="L76" s="30"/>
      <c r="M76" s="149"/>
      <c r="N76" s="151"/>
      <c r="O76" s="151"/>
      <c r="P76" s="151"/>
      <c r="Q76" s="151"/>
      <c r="R76" s="151"/>
      <c r="S76" s="152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Q76" s="153"/>
      <c r="AR76" s="12"/>
      <c r="AS76" s="137"/>
      <c r="AT76" s="137"/>
      <c r="AU76" s="12"/>
      <c r="AV76" s="12"/>
      <c r="AW76" s="12"/>
      <c r="AX76" s="130"/>
      <c r="AY76" s="12"/>
      <c r="AZ76" s="12"/>
      <c r="BA76" s="12"/>
      <c r="BB76" s="12"/>
      <c r="BC76" s="12"/>
      <c r="BD76" s="154"/>
      <c r="BE76" s="154"/>
      <c r="BF76" s="154"/>
      <c r="BG76" s="154"/>
      <c r="BH76" s="154"/>
      <c r="BI76" s="17"/>
      <c r="BJ76" s="154"/>
      <c r="BK76" s="17"/>
      <c r="BL76" s="153"/>
    </row>
    <row r="77" spans="2:55" s="13" customFormat="1" ht="12">
      <c r="B77" s="155"/>
      <c r="C77" s="184"/>
      <c r="D77" s="232"/>
      <c r="E77" s="227"/>
      <c r="F77" s="228" t="s">
        <v>197</v>
      </c>
      <c r="G77" s="229" t="s">
        <v>112</v>
      </c>
      <c r="H77" s="230">
        <f>H76</f>
        <v>756</v>
      </c>
      <c r="I77" s="231">
        <v>0</v>
      </c>
      <c r="J77" s="231">
        <f t="shared" si="0"/>
        <v>0</v>
      </c>
      <c r="L77" s="155"/>
      <c r="M77" s="160"/>
      <c r="N77" s="161"/>
      <c r="O77" s="161"/>
      <c r="P77" s="161"/>
      <c r="Q77" s="161"/>
      <c r="R77" s="161"/>
      <c r="S77" s="162"/>
      <c r="AR77" s="204"/>
      <c r="AS77" s="217"/>
      <c r="AT77" s="217"/>
      <c r="AU77" s="204"/>
      <c r="AV77" s="204"/>
      <c r="AW77" s="204"/>
      <c r="AX77" s="218"/>
      <c r="AY77" s="204"/>
      <c r="AZ77" s="204"/>
      <c r="BA77" s="204"/>
      <c r="BB77" s="204"/>
      <c r="BC77" s="204"/>
    </row>
    <row r="78" spans="2:55" s="14" customFormat="1" ht="22.5">
      <c r="B78" s="163"/>
      <c r="C78" s="184"/>
      <c r="D78" s="232"/>
      <c r="E78" s="191"/>
      <c r="F78" s="233" t="s">
        <v>198</v>
      </c>
      <c r="G78" s="229" t="s">
        <v>115</v>
      </c>
      <c r="H78" s="230">
        <f>H83</f>
        <v>480</v>
      </c>
      <c r="I78" s="231">
        <v>0</v>
      </c>
      <c r="J78" s="231">
        <f t="shared" si="0"/>
        <v>0</v>
      </c>
      <c r="L78" s="163"/>
      <c r="M78" s="165"/>
      <c r="N78" s="166"/>
      <c r="O78" s="166"/>
      <c r="P78" s="166"/>
      <c r="Q78" s="166"/>
      <c r="R78" s="166"/>
      <c r="S78" s="167"/>
      <c r="AR78" s="12"/>
      <c r="AS78" s="137"/>
      <c r="AT78" s="137"/>
      <c r="AU78" s="12"/>
      <c r="AV78" s="12"/>
      <c r="AW78" s="12"/>
      <c r="AX78" s="130"/>
      <c r="AY78" s="12"/>
      <c r="AZ78" s="12"/>
      <c r="BA78" s="12"/>
      <c r="BB78" s="12"/>
      <c r="BC78" s="12"/>
    </row>
    <row r="79" spans="1:64" s="2" customFormat="1" ht="24.2" customHeight="1">
      <c r="A79" s="181"/>
      <c r="B79" s="141"/>
      <c r="C79" s="184"/>
      <c r="D79" s="226" t="s">
        <v>108</v>
      </c>
      <c r="E79" s="227"/>
      <c r="F79" s="228" t="s">
        <v>199</v>
      </c>
      <c r="G79" s="229" t="s">
        <v>119</v>
      </c>
      <c r="H79" s="230">
        <f>H73*2.3+5</f>
        <v>120.91999999999999</v>
      </c>
      <c r="I79" s="231">
        <v>0</v>
      </c>
      <c r="J79" s="231">
        <f t="shared" si="0"/>
        <v>0</v>
      </c>
      <c r="K79" s="148"/>
      <c r="L79" s="30"/>
      <c r="M79" s="149"/>
      <c r="N79" s="151"/>
      <c r="O79" s="151"/>
      <c r="P79" s="151"/>
      <c r="Q79" s="151"/>
      <c r="R79" s="151"/>
      <c r="S79" s="152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Q79" s="153"/>
      <c r="AR79" s="12"/>
      <c r="AS79" s="137"/>
      <c r="AT79" s="137"/>
      <c r="AU79" s="12"/>
      <c r="AV79" s="12"/>
      <c r="AW79" s="12"/>
      <c r="AX79" s="130"/>
      <c r="AY79" s="12"/>
      <c r="AZ79" s="12"/>
      <c r="BA79" s="12"/>
      <c r="BB79" s="12"/>
      <c r="BC79" s="12"/>
      <c r="BD79" s="154"/>
      <c r="BE79" s="154"/>
      <c r="BF79" s="154"/>
      <c r="BG79" s="154"/>
      <c r="BH79" s="154"/>
      <c r="BI79" s="17"/>
      <c r="BJ79" s="154"/>
      <c r="BK79" s="17"/>
      <c r="BL79" s="153"/>
    </row>
    <row r="80" spans="2:62" s="12" customFormat="1" ht="22.9" customHeight="1">
      <c r="B80" s="129"/>
      <c r="C80" s="184"/>
      <c r="D80" s="130" t="s">
        <v>69</v>
      </c>
      <c r="E80" s="139" t="s">
        <v>117</v>
      </c>
      <c r="F80" s="139" t="s">
        <v>120</v>
      </c>
      <c r="J80" s="140">
        <f>SUM(J81:J85)</f>
        <v>0</v>
      </c>
      <c r="L80" s="129"/>
      <c r="M80" s="133"/>
      <c r="N80" s="134"/>
      <c r="O80" s="135">
        <f>SUM(O84:O87)</f>
        <v>135.9855</v>
      </c>
      <c r="P80" s="134"/>
      <c r="Q80" s="135">
        <f>SUM(Q84:Q87)</f>
        <v>0</v>
      </c>
      <c r="R80" s="134"/>
      <c r="S80" s="136">
        <f>SUM(S84:S87)</f>
        <v>41.58</v>
      </c>
      <c r="AQ80" s="130"/>
      <c r="AS80" s="137"/>
      <c r="AT80" s="137"/>
      <c r="AX80" s="130"/>
      <c r="BJ80" s="138"/>
    </row>
    <row r="81" spans="2:62" s="12" customFormat="1" ht="22.9" customHeight="1">
      <c r="B81" s="129"/>
      <c r="C81" s="206"/>
      <c r="D81" s="226"/>
      <c r="E81" s="227"/>
      <c r="F81" s="228" t="s">
        <v>187</v>
      </c>
      <c r="G81" s="229" t="s">
        <v>188</v>
      </c>
      <c r="H81" s="230">
        <v>48</v>
      </c>
      <c r="I81" s="231">
        <v>0</v>
      </c>
      <c r="J81" s="231">
        <f>ROUND(I81*H81,2)</f>
        <v>0</v>
      </c>
      <c r="L81" s="129"/>
      <c r="M81" s="133"/>
      <c r="N81" s="134"/>
      <c r="O81" s="135"/>
      <c r="P81" s="134"/>
      <c r="Q81" s="135"/>
      <c r="R81" s="134"/>
      <c r="S81" s="136"/>
      <c r="AQ81" s="130"/>
      <c r="AS81" s="137"/>
      <c r="AT81" s="137"/>
      <c r="AX81" s="130"/>
      <c r="BJ81" s="138"/>
    </row>
    <row r="82" spans="2:62" s="12" customFormat="1" ht="22.9" customHeight="1">
      <c r="B82" s="129"/>
      <c r="C82" s="206"/>
      <c r="D82" s="226"/>
      <c r="E82" s="227"/>
      <c r="F82" s="228" t="s">
        <v>210</v>
      </c>
      <c r="G82" s="229" t="s">
        <v>112</v>
      </c>
      <c r="H82" s="230">
        <f>630</f>
        <v>630</v>
      </c>
      <c r="I82" s="231">
        <v>0</v>
      </c>
      <c r="J82" s="231">
        <f>ROUND(I82*H82,2)</f>
        <v>0</v>
      </c>
      <c r="L82" s="129"/>
      <c r="M82" s="133"/>
      <c r="N82" s="134"/>
      <c r="O82" s="135"/>
      <c r="P82" s="134"/>
      <c r="Q82" s="135"/>
      <c r="R82" s="134"/>
      <c r="S82" s="136"/>
      <c r="AQ82" s="130"/>
      <c r="AR82" s="2"/>
      <c r="AS82" s="153"/>
      <c r="AT82" s="153"/>
      <c r="AU82" s="2"/>
      <c r="AV82" s="2"/>
      <c r="AW82" s="2"/>
      <c r="AX82" s="17"/>
      <c r="AY82" s="2"/>
      <c r="AZ82" s="2"/>
      <c r="BA82" s="2"/>
      <c r="BB82" s="2"/>
      <c r="BC82" s="2"/>
      <c r="BJ82" s="138"/>
    </row>
    <row r="83" spans="2:62" s="12" customFormat="1" ht="22.9" customHeight="1">
      <c r="B83" s="129"/>
      <c r="C83" s="206"/>
      <c r="D83" s="226"/>
      <c r="E83" s="227"/>
      <c r="F83" s="228" t="s">
        <v>211</v>
      </c>
      <c r="G83" s="229" t="s">
        <v>115</v>
      </c>
      <c r="H83" s="230">
        <v>480</v>
      </c>
      <c r="I83" s="231">
        <v>0</v>
      </c>
      <c r="J83" s="231">
        <f>ROUND(I83*H83,2)</f>
        <v>0</v>
      </c>
      <c r="L83" s="129"/>
      <c r="M83" s="133"/>
      <c r="N83" s="134"/>
      <c r="O83" s="135"/>
      <c r="P83" s="134"/>
      <c r="Q83" s="135"/>
      <c r="R83" s="134"/>
      <c r="S83" s="136"/>
      <c r="AQ83" s="130"/>
      <c r="AR83" s="15"/>
      <c r="AS83" s="169"/>
      <c r="AT83" s="169"/>
      <c r="AU83" s="15"/>
      <c r="AV83" s="15"/>
      <c r="AW83" s="15"/>
      <c r="AX83" s="169"/>
      <c r="AY83" s="15"/>
      <c r="AZ83" s="15"/>
      <c r="BA83" s="15"/>
      <c r="BB83" s="15"/>
      <c r="BC83" s="15"/>
      <c r="BJ83" s="138"/>
    </row>
    <row r="84" spans="2:64" s="204" customFormat="1" ht="37.9" customHeight="1">
      <c r="B84" s="205"/>
      <c r="C84" s="206"/>
      <c r="D84" s="226"/>
      <c r="E84" s="227"/>
      <c r="F84" s="228" t="s">
        <v>213</v>
      </c>
      <c r="G84" s="229" t="s">
        <v>118</v>
      </c>
      <c r="H84" s="230">
        <f>H85*0.03</f>
        <v>18.9</v>
      </c>
      <c r="I84" s="231">
        <v>0</v>
      </c>
      <c r="J84" s="231">
        <f>ROUND(I84*H84,2)</f>
        <v>0</v>
      </c>
      <c r="K84" s="212"/>
      <c r="L84" s="213"/>
      <c r="M84" s="214" t="s">
        <v>1</v>
      </c>
      <c r="N84" s="215">
        <v>7.195</v>
      </c>
      <c r="O84" s="215">
        <f>N84*H84</f>
        <v>135.9855</v>
      </c>
      <c r="P84" s="215">
        <v>0</v>
      </c>
      <c r="Q84" s="215">
        <f>P84*H84</f>
        <v>0</v>
      </c>
      <c r="R84" s="215">
        <v>2.2</v>
      </c>
      <c r="S84" s="216">
        <f>R84*H84</f>
        <v>41.58</v>
      </c>
      <c r="AQ84" s="217"/>
      <c r="AR84" s="13"/>
      <c r="AS84" s="157"/>
      <c r="AT84" s="157"/>
      <c r="AU84" s="13"/>
      <c r="AV84" s="13"/>
      <c r="AW84" s="13"/>
      <c r="AX84" s="157"/>
      <c r="AY84" s="13"/>
      <c r="AZ84" s="13"/>
      <c r="BA84" s="13"/>
      <c r="BB84" s="13"/>
      <c r="BC84" s="13"/>
      <c r="BD84" s="219"/>
      <c r="BE84" s="219"/>
      <c r="BF84" s="219"/>
      <c r="BG84" s="219"/>
      <c r="BH84" s="219"/>
      <c r="BI84" s="218"/>
      <c r="BJ84" s="219"/>
      <c r="BK84" s="218"/>
      <c r="BL84" s="217"/>
    </row>
    <row r="85" spans="2:62" s="12" customFormat="1" ht="40.5" customHeight="1">
      <c r="B85" s="129"/>
      <c r="C85" s="206"/>
      <c r="D85" s="226"/>
      <c r="E85" s="227" t="s">
        <v>186</v>
      </c>
      <c r="F85" s="228" t="s">
        <v>212</v>
      </c>
      <c r="G85" s="229" t="s">
        <v>112</v>
      </c>
      <c r="H85" s="230">
        <f>630</f>
        <v>630</v>
      </c>
      <c r="I85" s="231">
        <v>0</v>
      </c>
      <c r="J85" s="231">
        <f>ROUND(I85*H85,2)</f>
        <v>0</v>
      </c>
      <c r="L85" s="129"/>
      <c r="M85" s="133"/>
      <c r="N85" s="134"/>
      <c r="O85" s="135"/>
      <c r="P85" s="134"/>
      <c r="Q85" s="135"/>
      <c r="R85" s="134"/>
      <c r="S85" s="136"/>
      <c r="AQ85" s="130"/>
      <c r="AR85" s="2"/>
      <c r="AS85" s="153"/>
      <c r="AT85" s="153"/>
      <c r="AU85" s="2"/>
      <c r="AV85" s="2"/>
      <c r="AW85" s="2"/>
      <c r="AX85" s="17"/>
      <c r="AY85" s="2"/>
      <c r="AZ85" s="2"/>
      <c r="BA85" s="2"/>
      <c r="BB85" s="2"/>
      <c r="BC85" s="2"/>
      <c r="BJ85" s="138"/>
    </row>
    <row r="86" spans="2:62" s="12" customFormat="1" ht="22.9" customHeight="1">
      <c r="B86" s="129"/>
      <c r="C86" s="206"/>
      <c r="D86" s="226"/>
      <c r="E86" s="227"/>
      <c r="F86" s="228"/>
      <c r="G86" s="229"/>
      <c r="H86" s="230"/>
      <c r="I86" s="231"/>
      <c r="J86" s="231"/>
      <c r="L86" s="129"/>
      <c r="M86" s="133"/>
      <c r="N86" s="134"/>
      <c r="O86" s="135"/>
      <c r="P86" s="134"/>
      <c r="Q86" s="135"/>
      <c r="R86" s="134"/>
      <c r="S86" s="136"/>
      <c r="AQ86" s="130"/>
      <c r="AR86" s="2"/>
      <c r="AS86" s="153"/>
      <c r="AT86" s="153"/>
      <c r="AU86" s="2"/>
      <c r="AV86" s="2"/>
      <c r="AW86" s="2"/>
      <c r="AX86" s="17"/>
      <c r="AY86" s="2"/>
      <c r="AZ86" s="2"/>
      <c r="BA86" s="2"/>
      <c r="BB86" s="2"/>
      <c r="BC86" s="2"/>
      <c r="BJ86" s="138"/>
    </row>
    <row r="87" spans="2:62" s="12" customFormat="1" ht="22.9" customHeight="1">
      <c r="B87" s="129"/>
      <c r="C87" s="206"/>
      <c r="D87" s="206"/>
      <c r="E87" s="207"/>
      <c r="F87" s="208"/>
      <c r="G87" s="209"/>
      <c r="H87" s="210"/>
      <c r="I87" s="211"/>
      <c r="J87" s="211"/>
      <c r="L87" s="129"/>
      <c r="M87" s="133"/>
      <c r="N87" s="134"/>
      <c r="O87" s="135"/>
      <c r="P87" s="134"/>
      <c r="Q87" s="135"/>
      <c r="R87" s="134"/>
      <c r="S87" s="136"/>
      <c r="AQ87" s="130"/>
      <c r="AR87" s="2"/>
      <c r="AS87" s="153"/>
      <c r="AT87" s="153"/>
      <c r="AU87" s="2"/>
      <c r="AV87" s="2"/>
      <c r="AW87" s="2"/>
      <c r="AX87" s="17"/>
      <c r="AY87" s="2"/>
      <c r="AZ87" s="2"/>
      <c r="BA87" s="2"/>
      <c r="BB87" s="2"/>
      <c r="BC87" s="2"/>
      <c r="BJ87" s="138"/>
    </row>
    <row r="88" spans="2:62" s="12" customFormat="1" ht="22.9" customHeight="1">
      <c r="B88" s="129"/>
      <c r="C88" s="184"/>
      <c r="D88" s="130" t="s">
        <v>69</v>
      </c>
      <c r="E88" s="139" t="s">
        <v>121</v>
      </c>
      <c r="F88" s="139" t="s">
        <v>122</v>
      </c>
      <c r="J88" s="140">
        <f>SUM(J89:J94)</f>
        <v>0</v>
      </c>
      <c r="L88" s="129"/>
      <c r="M88" s="133"/>
      <c r="N88" s="134"/>
      <c r="O88" s="135">
        <f>SUM(O89:O94)</f>
        <v>79.33274999999999</v>
      </c>
      <c r="P88" s="134"/>
      <c r="Q88" s="135">
        <f>SUM(Q89:Q94)</f>
        <v>0</v>
      </c>
      <c r="R88" s="134"/>
      <c r="S88" s="136">
        <f>SUM(S89:S94)</f>
        <v>0</v>
      </c>
      <c r="AQ88" s="130"/>
      <c r="AS88" s="137"/>
      <c r="AT88" s="137"/>
      <c r="AX88" s="130"/>
      <c r="BJ88" s="138"/>
    </row>
    <row r="89" spans="1:64" s="2" customFormat="1" ht="33" customHeight="1">
      <c r="A89" s="181"/>
      <c r="B89" s="141"/>
      <c r="C89" s="184"/>
      <c r="D89" s="142" t="s">
        <v>108</v>
      </c>
      <c r="E89" s="143" t="s">
        <v>123</v>
      </c>
      <c r="F89" s="144" t="s">
        <v>124</v>
      </c>
      <c r="G89" s="145" t="s">
        <v>119</v>
      </c>
      <c r="H89" s="146">
        <f>F91</f>
        <v>43.46999999999999</v>
      </c>
      <c r="I89" s="147">
        <v>0</v>
      </c>
      <c r="J89" s="147">
        <f>ROUND(I89*H89,2)</f>
        <v>0</v>
      </c>
      <c r="K89" s="148"/>
      <c r="L89" s="30"/>
      <c r="M89" s="149" t="s">
        <v>1</v>
      </c>
      <c r="N89" s="151">
        <v>1.51</v>
      </c>
      <c r="O89" s="151">
        <f>N89*H89</f>
        <v>65.63969999999999</v>
      </c>
      <c r="P89" s="151">
        <v>0</v>
      </c>
      <c r="Q89" s="151">
        <f>P89*H89</f>
        <v>0</v>
      </c>
      <c r="R89" s="151">
        <v>0</v>
      </c>
      <c r="S89" s="152">
        <f>R89*H89</f>
        <v>0</v>
      </c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Q89" s="153"/>
      <c r="AR89" s="12"/>
      <c r="AS89" s="137"/>
      <c r="AT89" s="137"/>
      <c r="AU89" s="12"/>
      <c r="AV89" s="12"/>
      <c r="AW89" s="12"/>
      <c r="AX89" s="130"/>
      <c r="AY89" s="12"/>
      <c r="AZ89" s="12"/>
      <c r="BA89" s="12"/>
      <c r="BB89" s="12"/>
      <c r="BC89" s="12"/>
      <c r="BD89" s="154"/>
      <c r="BE89" s="154"/>
      <c r="BF89" s="154"/>
      <c r="BG89" s="154"/>
      <c r="BH89" s="154"/>
      <c r="BI89" s="17"/>
      <c r="BJ89" s="154"/>
      <c r="BK89" s="17"/>
      <c r="BL89" s="153"/>
    </row>
    <row r="90" spans="2:55" s="15" customFormat="1" ht="12">
      <c r="B90" s="168"/>
      <c r="C90" s="184"/>
      <c r="D90" s="156" t="s">
        <v>111</v>
      </c>
      <c r="E90" s="169" t="s">
        <v>1</v>
      </c>
      <c r="F90" s="170"/>
      <c r="H90" s="169" t="s">
        <v>1</v>
      </c>
      <c r="L90" s="168"/>
      <c r="M90" s="171"/>
      <c r="N90" s="172"/>
      <c r="O90" s="172"/>
      <c r="P90" s="172"/>
      <c r="Q90" s="172"/>
      <c r="R90" s="172"/>
      <c r="S90" s="173"/>
      <c r="AR90" s="2"/>
      <c r="AS90" s="153"/>
      <c r="AT90" s="153"/>
      <c r="AU90" s="2"/>
      <c r="AV90" s="2"/>
      <c r="AW90" s="2"/>
      <c r="AX90" s="17"/>
      <c r="AY90" s="2"/>
      <c r="AZ90" s="2"/>
      <c r="BA90" s="2"/>
      <c r="BB90" s="2"/>
      <c r="BC90" s="2"/>
    </row>
    <row r="91" spans="2:55" s="13" customFormat="1" ht="12">
      <c r="B91" s="155"/>
      <c r="C91" s="184"/>
      <c r="D91" s="156" t="s">
        <v>111</v>
      </c>
      <c r="E91" s="157" t="s">
        <v>1</v>
      </c>
      <c r="F91" s="158">
        <f>18.9*2.3</f>
        <v>43.46999999999999</v>
      </c>
      <c r="H91" s="159"/>
      <c r="L91" s="155"/>
      <c r="M91" s="160"/>
      <c r="N91" s="161"/>
      <c r="O91" s="161"/>
      <c r="P91" s="161"/>
      <c r="Q91" s="161"/>
      <c r="R91" s="161"/>
      <c r="S91" s="162"/>
      <c r="AR91" s="12"/>
      <c r="AS91" s="137"/>
      <c r="AT91" s="137"/>
      <c r="AU91" s="12"/>
      <c r="AV91" s="12"/>
      <c r="AW91" s="12"/>
      <c r="AX91" s="130"/>
      <c r="AY91" s="12"/>
      <c r="AZ91" s="12"/>
      <c r="BA91" s="12"/>
      <c r="BB91" s="12"/>
      <c r="BC91" s="12"/>
    </row>
    <row r="92" spans="1:64" s="2" customFormat="1" ht="33" customHeight="1">
      <c r="A92" s="181"/>
      <c r="B92" s="141"/>
      <c r="C92" s="184"/>
      <c r="D92" s="142" t="s">
        <v>108</v>
      </c>
      <c r="E92" s="143" t="s">
        <v>125</v>
      </c>
      <c r="F92" s="144" t="s">
        <v>126</v>
      </c>
      <c r="G92" s="145" t="s">
        <v>119</v>
      </c>
      <c r="H92" s="146">
        <f>H89</f>
        <v>43.46999999999999</v>
      </c>
      <c r="I92" s="147">
        <v>0</v>
      </c>
      <c r="J92" s="147">
        <f>ROUND(I92*H92,2)</f>
        <v>0</v>
      </c>
      <c r="K92" s="148"/>
      <c r="L92" s="30"/>
      <c r="M92" s="149" t="s">
        <v>1</v>
      </c>
      <c r="N92" s="151">
        <v>0.255</v>
      </c>
      <c r="O92" s="151">
        <f>N92*H92</f>
        <v>11.084849999999998</v>
      </c>
      <c r="P92" s="151">
        <v>0</v>
      </c>
      <c r="Q92" s="151">
        <f>P92*H92</f>
        <v>0</v>
      </c>
      <c r="R92" s="151">
        <v>0</v>
      </c>
      <c r="S92" s="152">
        <f>R92*H92</f>
        <v>0</v>
      </c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Q92" s="153"/>
      <c r="AS92" s="153"/>
      <c r="AT92" s="153"/>
      <c r="AX92" s="17"/>
      <c r="BD92" s="154"/>
      <c r="BE92" s="154"/>
      <c r="BF92" s="154"/>
      <c r="BG92" s="154"/>
      <c r="BH92" s="154"/>
      <c r="BI92" s="17"/>
      <c r="BJ92" s="154"/>
      <c r="BK92" s="17"/>
      <c r="BL92" s="153"/>
    </row>
    <row r="93" spans="1:64" s="2" customFormat="1" ht="24.2" customHeight="1">
      <c r="A93" s="181"/>
      <c r="B93" s="141"/>
      <c r="C93" s="184"/>
      <c r="D93" s="142" t="s">
        <v>108</v>
      </c>
      <c r="E93" s="143" t="s">
        <v>127</v>
      </c>
      <c r="F93" s="144" t="s">
        <v>128</v>
      </c>
      <c r="G93" s="145" t="s">
        <v>119</v>
      </c>
      <c r="H93" s="146">
        <f>H92*10</f>
        <v>434.69999999999993</v>
      </c>
      <c r="I93" s="147">
        <v>0</v>
      </c>
      <c r="J93" s="147">
        <f>ROUND(I93*H93,2)</f>
        <v>0</v>
      </c>
      <c r="K93" s="148"/>
      <c r="L93" s="30"/>
      <c r="M93" s="149" t="s">
        <v>1</v>
      </c>
      <c r="N93" s="151">
        <v>0.006</v>
      </c>
      <c r="O93" s="151">
        <f>N93*H93</f>
        <v>2.6081999999999996</v>
      </c>
      <c r="P93" s="151">
        <v>0</v>
      </c>
      <c r="Q93" s="151">
        <f>P93*H93</f>
        <v>0</v>
      </c>
      <c r="R93" s="151">
        <v>0</v>
      </c>
      <c r="S93" s="152">
        <f>R93*H93</f>
        <v>0</v>
      </c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Q93" s="153"/>
      <c r="AS93" s="153"/>
      <c r="AT93" s="153"/>
      <c r="AX93" s="17"/>
      <c r="BD93" s="154"/>
      <c r="BE93" s="154"/>
      <c r="BF93" s="154"/>
      <c r="BG93" s="154"/>
      <c r="BH93" s="154"/>
      <c r="BI93" s="17"/>
      <c r="BJ93" s="154"/>
      <c r="BK93" s="17"/>
      <c r="BL93" s="153"/>
    </row>
    <row r="94" spans="1:64" s="2" customFormat="1" ht="49.15" customHeight="1">
      <c r="A94" s="181"/>
      <c r="B94" s="141"/>
      <c r="C94" s="184"/>
      <c r="D94" s="142" t="s">
        <v>108</v>
      </c>
      <c r="E94" s="143" t="s">
        <v>129</v>
      </c>
      <c r="F94" s="186" t="s">
        <v>130</v>
      </c>
      <c r="G94" s="145" t="s">
        <v>119</v>
      </c>
      <c r="H94" s="146">
        <f>H92</f>
        <v>43.46999999999999</v>
      </c>
      <c r="I94" s="147">
        <v>0</v>
      </c>
      <c r="J94" s="147">
        <f>ROUND(I94*H94,2)</f>
        <v>0</v>
      </c>
      <c r="K94" s="148"/>
      <c r="L94" s="30"/>
      <c r="M94" s="149" t="s">
        <v>1</v>
      </c>
      <c r="N94" s="151">
        <v>0</v>
      </c>
      <c r="O94" s="151">
        <f>N94*H94</f>
        <v>0</v>
      </c>
      <c r="P94" s="151">
        <v>0</v>
      </c>
      <c r="Q94" s="151">
        <f>P94*H94</f>
        <v>0</v>
      </c>
      <c r="R94" s="151">
        <v>0</v>
      </c>
      <c r="S94" s="152">
        <f>R94*H94</f>
        <v>0</v>
      </c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Q94" s="153"/>
      <c r="AR94" s="12"/>
      <c r="AS94" s="137"/>
      <c r="AT94" s="137"/>
      <c r="AU94" s="12"/>
      <c r="AV94" s="12"/>
      <c r="AW94" s="12"/>
      <c r="AX94" s="130"/>
      <c r="AY94" s="12"/>
      <c r="AZ94" s="12"/>
      <c r="BA94" s="12"/>
      <c r="BB94" s="12"/>
      <c r="BC94" s="12"/>
      <c r="BD94" s="154"/>
      <c r="BE94" s="154"/>
      <c r="BF94" s="154"/>
      <c r="BG94" s="154"/>
      <c r="BH94" s="154"/>
      <c r="BI94" s="17"/>
      <c r="BJ94" s="154"/>
      <c r="BK94" s="17"/>
      <c r="BL94" s="153"/>
    </row>
    <row r="95" spans="2:62" s="12" customFormat="1" ht="25.9" customHeight="1">
      <c r="B95" s="129"/>
      <c r="C95" s="184"/>
      <c r="D95" s="130" t="s">
        <v>69</v>
      </c>
      <c r="E95" s="131" t="s">
        <v>131</v>
      </c>
      <c r="F95" s="131" t="s">
        <v>132</v>
      </c>
      <c r="J95" s="132">
        <f>J96+J98+J104+J106</f>
        <v>0</v>
      </c>
      <c r="L95" s="129"/>
      <c r="M95" s="133"/>
      <c r="N95" s="134"/>
      <c r="O95" s="135" t="e">
        <f>#REF!+#REF!+#REF!+#REF!+#REF!+#REF!+O96+O98+#REF!+#REF!+#REF!+#REF!+#REF!+#REF!+O104+O106+#REF!+#REF!</f>
        <v>#REF!</v>
      </c>
      <c r="P95" s="134"/>
      <c r="Q95" s="135" t="e">
        <f>#REF!+#REF!+#REF!+#REF!+#REF!+#REF!+Q96+Q98+#REF!+#REF!+#REF!+#REF!+#REF!+#REF!+Q104+Q106+#REF!+#REF!</f>
        <v>#REF!</v>
      </c>
      <c r="R95" s="134"/>
      <c r="S95" s="136" t="e">
        <f>#REF!+#REF!+#REF!+#REF!+#REF!+#REF!+S96+S98+#REF!+#REF!+#REF!+#REF!+#REF!+#REF!+S104+S106+#REF!+#REF!</f>
        <v>#REF!</v>
      </c>
      <c r="AQ95" s="130"/>
      <c r="AR95" s="2"/>
      <c r="AS95" s="153"/>
      <c r="AT95" s="153"/>
      <c r="AU95" s="2"/>
      <c r="AV95" s="2"/>
      <c r="AW95" s="2"/>
      <c r="AX95" s="17"/>
      <c r="AY95" s="2"/>
      <c r="AZ95" s="2"/>
      <c r="BA95" s="2"/>
      <c r="BB95" s="2"/>
      <c r="BC95" s="2"/>
      <c r="BJ95" s="138"/>
    </row>
    <row r="96" spans="2:62" s="12" customFormat="1" ht="22.9" customHeight="1">
      <c r="B96" s="129"/>
      <c r="C96" s="184"/>
      <c r="D96" s="130" t="s">
        <v>69</v>
      </c>
      <c r="E96" s="139" t="s">
        <v>134</v>
      </c>
      <c r="F96" s="139" t="s">
        <v>135</v>
      </c>
      <c r="J96" s="140">
        <f>SUM(J97:J97)</f>
        <v>0</v>
      </c>
      <c r="L96" s="129"/>
      <c r="M96" s="133"/>
      <c r="N96" s="134"/>
      <c r="O96" s="135">
        <f>SUM(O97:O97)</f>
        <v>34.199999999999996</v>
      </c>
      <c r="P96" s="134"/>
      <c r="Q96" s="135">
        <f>SUM(Q97:Q97)</f>
        <v>0</v>
      </c>
      <c r="R96" s="134"/>
      <c r="S96" s="136">
        <f>SUM(S97:S97)</f>
        <v>0</v>
      </c>
      <c r="AQ96" s="130"/>
      <c r="AS96" s="137"/>
      <c r="AT96" s="137"/>
      <c r="AX96" s="130"/>
      <c r="BJ96" s="138"/>
    </row>
    <row r="97" spans="1:64" s="2" customFormat="1" ht="75.75" customHeight="1">
      <c r="A97" s="181"/>
      <c r="B97" s="141"/>
      <c r="C97" s="184"/>
      <c r="D97" s="142" t="s">
        <v>108</v>
      </c>
      <c r="E97" s="185"/>
      <c r="F97" s="242" t="s">
        <v>217</v>
      </c>
      <c r="G97" s="145" t="s">
        <v>112</v>
      </c>
      <c r="H97" s="146">
        <f>950*0.3</f>
        <v>285</v>
      </c>
      <c r="I97" s="147">
        <v>0</v>
      </c>
      <c r="J97" s="147">
        <f>ROUND(I97*H97,2)</f>
        <v>0</v>
      </c>
      <c r="K97" s="148"/>
      <c r="L97" s="30"/>
      <c r="M97" s="149" t="s">
        <v>1</v>
      </c>
      <c r="N97" s="151">
        <v>0.12</v>
      </c>
      <c r="O97" s="151">
        <f>N97*H97</f>
        <v>34.199999999999996</v>
      </c>
      <c r="P97" s="151">
        <v>0</v>
      </c>
      <c r="Q97" s="151">
        <f>P97*H97</f>
        <v>0</v>
      </c>
      <c r="R97" s="151">
        <v>0</v>
      </c>
      <c r="S97" s="152">
        <f>R97*H97</f>
        <v>0</v>
      </c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Q97" s="153"/>
      <c r="AS97" s="153"/>
      <c r="AT97" s="153"/>
      <c r="AX97" s="17"/>
      <c r="BD97" s="154"/>
      <c r="BE97" s="154"/>
      <c r="BF97" s="154"/>
      <c r="BG97" s="154"/>
      <c r="BH97" s="154"/>
      <c r="BI97" s="17"/>
      <c r="BJ97" s="154"/>
      <c r="BK97" s="17"/>
      <c r="BL97" s="153"/>
    </row>
    <row r="98" spans="2:62" s="12" customFormat="1" ht="22.9" customHeight="1">
      <c r="B98" s="129"/>
      <c r="C98" s="184"/>
      <c r="D98" s="130" t="s">
        <v>69</v>
      </c>
      <c r="E98" s="139" t="s">
        <v>136</v>
      </c>
      <c r="F98" s="139" t="s">
        <v>137</v>
      </c>
      <c r="J98" s="140">
        <f>SUM(J99:J100)</f>
        <v>0</v>
      </c>
      <c r="L98" s="129"/>
      <c r="M98" s="133"/>
      <c r="N98" s="134"/>
      <c r="O98" s="135">
        <f>SUM(O99:O100)</f>
        <v>0</v>
      </c>
      <c r="P98" s="134"/>
      <c r="Q98" s="135">
        <f>SUM(Q99:Q100)</f>
        <v>0</v>
      </c>
      <c r="R98" s="134"/>
      <c r="S98" s="136">
        <f>SUM(S99:S100)</f>
        <v>0</v>
      </c>
      <c r="AQ98" s="130"/>
      <c r="AR98" s="2"/>
      <c r="AS98" s="153"/>
      <c r="AT98" s="153"/>
      <c r="AU98" s="2"/>
      <c r="AV98" s="2"/>
      <c r="AW98" s="2"/>
      <c r="AX98" s="17"/>
      <c r="AY98" s="2"/>
      <c r="AZ98" s="2"/>
      <c r="BA98" s="2"/>
      <c r="BB98" s="2"/>
      <c r="BC98" s="2"/>
      <c r="BJ98" s="138"/>
    </row>
    <row r="99" spans="1:64" s="2" customFormat="1" ht="16.5" customHeight="1">
      <c r="A99" s="181"/>
      <c r="B99" s="141"/>
      <c r="C99" s="184"/>
      <c r="D99" s="142" t="s">
        <v>108</v>
      </c>
      <c r="E99" s="143"/>
      <c r="F99" s="186" t="s">
        <v>183</v>
      </c>
      <c r="G99" s="187" t="s">
        <v>115</v>
      </c>
      <c r="H99" s="146">
        <f>6.2+6.4+3.3+3.8</f>
        <v>19.700000000000003</v>
      </c>
      <c r="I99" s="147">
        <v>0</v>
      </c>
      <c r="J99" s="147">
        <f>ROUND(I99*H99,2)</f>
        <v>0</v>
      </c>
      <c r="K99" s="148"/>
      <c r="L99" s="30"/>
      <c r="M99" s="149" t="s">
        <v>1</v>
      </c>
      <c r="N99" s="151">
        <v>0</v>
      </c>
      <c r="O99" s="151">
        <f>N99*H99</f>
        <v>0</v>
      </c>
      <c r="P99" s="151">
        <v>0</v>
      </c>
      <c r="Q99" s="151">
        <f>P99*H99</f>
        <v>0</v>
      </c>
      <c r="R99" s="151">
        <v>0</v>
      </c>
      <c r="S99" s="152">
        <f>R99*H99</f>
        <v>0</v>
      </c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Q99" s="153"/>
      <c r="BD99" s="154"/>
      <c r="BE99" s="154"/>
      <c r="BF99" s="154"/>
      <c r="BG99" s="154"/>
      <c r="BH99" s="154"/>
      <c r="BI99" s="17"/>
      <c r="BJ99" s="154"/>
      <c r="BK99" s="17"/>
      <c r="BL99" s="153"/>
    </row>
    <row r="100" spans="1:64" s="2" customFormat="1" ht="27" customHeight="1">
      <c r="A100" s="181"/>
      <c r="B100" s="141"/>
      <c r="C100" s="184"/>
      <c r="D100" s="142"/>
      <c r="E100" s="143"/>
      <c r="F100" s="238" t="s">
        <v>214</v>
      </c>
      <c r="G100" s="239"/>
      <c r="H100" s="240">
        <v>3.8</v>
      </c>
      <c r="I100" s="147"/>
      <c r="J100" s="147"/>
      <c r="K100" s="148"/>
      <c r="L100" s="30"/>
      <c r="M100" s="149"/>
      <c r="N100" s="151"/>
      <c r="O100" s="151"/>
      <c r="P100" s="151"/>
      <c r="Q100" s="151"/>
      <c r="R100" s="151"/>
      <c r="S100" s="152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Q100" s="153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54"/>
      <c r="BE100" s="154"/>
      <c r="BF100" s="154"/>
      <c r="BG100" s="154"/>
      <c r="BH100" s="154"/>
      <c r="BI100" s="17"/>
      <c r="BJ100" s="154"/>
      <c r="BK100" s="17"/>
      <c r="BL100" s="153"/>
    </row>
    <row r="101" spans="1:64" s="190" customFormat="1" ht="27" customHeight="1">
      <c r="A101" s="203"/>
      <c r="B101" s="192"/>
      <c r="C101" s="184"/>
      <c r="D101" s="235"/>
      <c r="E101" s="236"/>
      <c r="F101" s="238" t="s">
        <v>215</v>
      </c>
      <c r="G101" s="239"/>
      <c r="H101" s="240">
        <v>6.2</v>
      </c>
      <c r="I101" s="237"/>
      <c r="J101" s="237"/>
      <c r="K101" s="182"/>
      <c r="L101" s="30"/>
      <c r="M101" s="149"/>
      <c r="N101" s="193"/>
      <c r="O101" s="193"/>
      <c r="P101" s="193"/>
      <c r="Q101" s="193"/>
      <c r="R101" s="193"/>
      <c r="S101" s="194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Q101" s="195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196"/>
      <c r="BE101" s="196"/>
      <c r="BF101" s="196"/>
      <c r="BG101" s="196"/>
      <c r="BH101" s="196"/>
      <c r="BI101" s="191"/>
      <c r="BJ101" s="196"/>
      <c r="BK101" s="191"/>
      <c r="BL101" s="195"/>
    </row>
    <row r="102" spans="1:64" s="190" customFormat="1" ht="27" customHeight="1">
      <c r="A102" s="203"/>
      <c r="B102" s="192"/>
      <c r="C102" s="184"/>
      <c r="D102" s="235"/>
      <c r="E102" s="236"/>
      <c r="F102" s="238" t="s">
        <v>214</v>
      </c>
      <c r="G102" s="239"/>
      <c r="H102" s="240">
        <v>6.4</v>
      </c>
      <c r="I102" s="237"/>
      <c r="J102" s="237"/>
      <c r="K102" s="182"/>
      <c r="L102" s="30"/>
      <c r="M102" s="149"/>
      <c r="N102" s="193"/>
      <c r="O102" s="193"/>
      <c r="P102" s="193"/>
      <c r="Q102" s="193"/>
      <c r="R102" s="193"/>
      <c r="S102" s="194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Q102" s="195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196"/>
      <c r="BE102" s="196"/>
      <c r="BF102" s="196"/>
      <c r="BG102" s="196"/>
      <c r="BH102" s="196"/>
      <c r="BI102" s="191"/>
      <c r="BJ102" s="196"/>
      <c r="BK102" s="191"/>
      <c r="BL102" s="195"/>
    </row>
    <row r="103" spans="1:64" s="190" customFormat="1" ht="27" customHeight="1">
      <c r="A103" s="203"/>
      <c r="B103" s="192"/>
      <c r="C103" s="184"/>
      <c r="D103" s="235"/>
      <c r="E103" s="236"/>
      <c r="F103" s="241" t="s">
        <v>216</v>
      </c>
      <c r="G103" s="239"/>
      <c r="H103" s="240">
        <v>3.3</v>
      </c>
      <c r="I103" s="237"/>
      <c r="J103" s="237"/>
      <c r="K103" s="182"/>
      <c r="L103" s="30"/>
      <c r="M103" s="149"/>
      <c r="N103" s="193"/>
      <c r="O103" s="193"/>
      <c r="P103" s="193"/>
      <c r="Q103" s="193"/>
      <c r="R103" s="193"/>
      <c r="S103" s="194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Q103" s="195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196"/>
      <c r="BE103" s="196"/>
      <c r="BF103" s="196"/>
      <c r="BG103" s="196"/>
      <c r="BH103" s="196"/>
      <c r="BI103" s="191"/>
      <c r="BJ103" s="196"/>
      <c r="BK103" s="191"/>
      <c r="BL103" s="195"/>
    </row>
    <row r="104" spans="2:62" s="12" customFormat="1" ht="22.9" customHeight="1">
      <c r="B104" s="129"/>
      <c r="C104" s="184"/>
      <c r="D104" s="130" t="s">
        <v>69</v>
      </c>
      <c r="E104" s="139" t="s">
        <v>138</v>
      </c>
      <c r="F104" s="139" t="s">
        <v>139</v>
      </c>
      <c r="J104" s="140">
        <f>BJ104</f>
        <v>0</v>
      </c>
      <c r="L104" s="129"/>
      <c r="M104" s="133"/>
      <c r="N104" s="134"/>
      <c r="O104" s="135">
        <f>SUM(O105:O105)</f>
        <v>0</v>
      </c>
      <c r="P104" s="134"/>
      <c r="Q104" s="135">
        <f>SUM(Q105:Q105)</f>
        <v>0</v>
      </c>
      <c r="R104" s="134"/>
      <c r="S104" s="136">
        <f>SUM(S105:S105)</f>
        <v>0</v>
      </c>
      <c r="AQ104" s="130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J104" s="138"/>
    </row>
    <row r="105" spans="1:64" s="2" customFormat="1" ht="16.5" customHeight="1">
      <c r="A105" s="181"/>
      <c r="B105" s="141"/>
      <c r="C105" s="184"/>
      <c r="D105" s="142" t="s">
        <v>108</v>
      </c>
      <c r="E105" s="143" t="s">
        <v>140</v>
      </c>
      <c r="F105" s="144" t="s">
        <v>182</v>
      </c>
      <c r="G105" s="145" t="s">
        <v>109</v>
      </c>
      <c r="H105" s="146">
        <v>58</v>
      </c>
      <c r="I105" s="147">
        <v>0</v>
      </c>
      <c r="J105" s="147">
        <f>ROUND(I105*H105,2)</f>
        <v>0</v>
      </c>
      <c r="K105" s="148"/>
      <c r="L105" s="30"/>
      <c r="M105" s="149" t="s">
        <v>1</v>
      </c>
      <c r="N105" s="151">
        <v>0</v>
      </c>
      <c r="O105" s="151">
        <f>N105*H105</f>
        <v>0</v>
      </c>
      <c r="P105" s="151">
        <v>0</v>
      </c>
      <c r="Q105" s="151">
        <f>P105*H105</f>
        <v>0</v>
      </c>
      <c r="R105" s="151">
        <v>0</v>
      </c>
      <c r="S105" s="152">
        <f>R105*H105</f>
        <v>0</v>
      </c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Q105" s="153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54"/>
      <c r="BE105" s="154"/>
      <c r="BF105" s="154"/>
      <c r="BG105" s="154"/>
      <c r="BH105" s="154"/>
      <c r="BI105" s="17"/>
      <c r="BJ105" s="154"/>
      <c r="BK105" s="17"/>
      <c r="BL105" s="153"/>
    </row>
    <row r="106" spans="2:62" s="12" customFormat="1" ht="22.9" customHeight="1">
      <c r="B106" s="129"/>
      <c r="C106" s="184"/>
      <c r="D106" s="130" t="s">
        <v>69</v>
      </c>
      <c r="E106" s="139" t="s">
        <v>141</v>
      </c>
      <c r="F106" s="139" t="s">
        <v>142</v>
      </c>
      <c r="J106" s="140">
        <f>SUM(J107:J108)</f>
        <v>0</v>
      </c>
      <c r="L106" s="129"/>
      <c r="M106" s="133"/>
      <c r="N106" s="134"/>
      <c r="O106" s="135">
        <f>SUM(O107:O108)</f>
        <v>369.90000000000003</v>
      </c>
      <c r="P106" s="134"/>
      <c r="Q106" s="135">
        <f>SUM(Q107:Q108)</f>
        <v>1.242</v>
      </c>
      <c r="R106" s="134"/>
      <c r="S106" s="136">
        <f>SUM(S107:S108)</f>
        <v>0</v>
      </c>
      <c r="AQ106" s="130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J106" s="138"/>
    </row>
    <row r="107" spans="1:64" s="2" customFormat="1" ht="55.5" customHeight="1">
      <c r="A107" s="181"/>
      <c r="B107" s="141"/>
      <c r="C107" s="184"/>
      <c r="D107" s="142" t="s">
        <v>108</v>
      </c>
      <c r="E107" s="143" t="s">
        <v>159</v>
      </c>
      <c r="F107" s="242" t="s">
        <v>225</v>
      </c>
      <c r="G107" s="145" t="s">
        <v>112</v>
      </c>
      <c r="H107" s="146">
        <f>630+690*3</f>
        <v>2700</v>
      </c>
      <c r="I107" s="147">
        <v>0</v>
      </c>
      <c r="J107" s="147">
        <f>ROUND(I107*H107,2)</f>
        <v>0</v>
      </c>
      <c r="K107" s="148"/>
      <c r="L107" s="30"/>
      <c r="M107" s="149" t="s">
        <v>1</v>
      </c>
      <c r="N107" s="151">
        <v>0.033</v>
      </c>
      <c r="O107" s="151">
        <f>N107*H107</f>
        <v>89.10000000000001</v>
      </c>
      <c r="P107" s="151">
        <v>0.0002</v>
      </c>
      <c r="Q107" s="151">
        <f>P107*H107</f>
        <v>0.54</v>
      </c>
      <c r="R107" s="151">
        <v>0</v>
      </c>
      <c r="S107" s="152">
        <f>R107*H107</f>
        <v>0</v>
      </c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Q107" s="153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54"/>
      <c r="BE107" s="154"/>
      <c r="BF107" s="154"/>
      <c r="BG107" s="154"/>
      <c r="BH107" s="154"/>
      <c r="BI107" s="17"/>
      <c r="BJ107" s="154"/>
      <c r="BK107" s="17"/>
      <c r="BL107" s="153"/>
    </row>
    <row r="108" spans="1:64" s="2" customFormat="1" ht="33" customHeight="1">
      <c r="A108" s="181"/>
      <c r="B108" s="141"/>
      <c r="C108" s="184"/>
      <c r="D108" s="142" t="s">
        <v>108</v>
      </c>
      <c r="E108" s="143" t="s">
        <v>143</v>
      </c>
      <c r="F108" s="144" t="s">
        <v>144</v>
      </c>
      <c r="G108" s="145" t="s">
        <v>112</v>
      </c>
      <c r="H108" s="146">
        <f>H107</f>
        <v>2700</v>
      </c>
      <c r="I108" s="147">
        <v>0</v>
      </c>
      <c r="J108" s="147">
        <f>ROUND(I108*H108,2)</f>
        <v>0</v>
      </c>
      <c r="K108" s="148"/>
      <c r="L108" s="30"/>
      <c r="M108" s="149" t="s">
        <v>1</v>
      </c>
      <c r="N108" s="151">
        <v>0.104</v>
      </c>
      <c r="O108" s="151">
        <f>N108*H108</f>
        <v>280.8</v>
      </c>
      <c r="P108" s="151">
        <v>0.00026</v>
      </c>
      <c r="Q108" s="151">
        <f>P108*H108</f>
        <v>0.702</v>
      </c>
      <c r="R108" s="151">
        <v>0</v>
      </c>
      <c r="S108" s="152">
        <f>R108*H108</f>
        <v>0</v>
      </c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Q108" s="153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  <c r="BD108" s="154"/>
      <c r="BE108" s="154"/>
      <c r="BF108" s="154"/>
      <c r="BG108" s="154"/>
      <c r="BH108" s="154"/>
      <c r="BI108" s="17"/>
      <c r="BJ108" s="154"/>
      <c r="BK108" s="17"/>
      <c r="BL108" s="153"/>
    </row>
    <row r="109" spans="1:55" s="2" customFormat="1" ht="6.95" customHeight="1">
      <c r="A109" s="181"/>
      <c r="B109" s="44"/>
      <c r="C109" s="184"/>
      <c r="D109" s="45"/>
      <c r="E109" s="45"/>
      <c r="F109" s="45"/>
      <c r="G109" s="45"/>
      <c r="H109" s="45"/>
      <c r="I109" s="45"/>
      <c r="J109" s="45"/>
      <c r="K109" s="45"/>
      <c r="L109" s="30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</row>
  </sheetData>
  <autoFilter ref="C63:K108"/>
  <mergeCells count="9">
    <mergeCell ref="L2:U2"/>
    <mergeCell ref="E39:H39"/>
    <mergeCell ref="E54:H54"/>
    <mergeCell ref="E56:H56"/>
    <mergeCell ref="E7:H7"/>
    <mergeCell ref="E9:H9"/>
    <mergeCell ref="E18:H18"/>
    <mergeCell ref="E27:H27"/>
    <mergeCell ref="E37:H3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6"/>
  <sheetViews>
    <sheetView showGridLines="0" zoomScale="145" zoomScaleNormal="145" workbookViewId="0" topLeftCell="A44">
      <selection activeCell="F12" sqref="F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6.281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22.1406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56" s="1" customFormat="1" ht="36.95" customHeight="1">
      <c r="L2" s="248" t="s">
        <v>5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7" t="s">
        <v>81</v>
      </c>
      <c r="AZ2" s="174" t="s">
        <v>145</v>
      </c>
      <c r="BA2" s="174" t="s">
        <v>146</v>
      </c>
      <c r="BB2" s="174" t="s">
        <v>112</v>
      </c>
      <c r="BC2" s="174" t="s">
        <v>147</v>
      </c>
      <c r="BD2" s="174" t="s">
        <v>107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  <c r="AZ3" s="174" t="s">
        <v>148</v>
      </c>
      <c r="BA3" s="174" t="s">
        <v>149</v>
      </c>
      <c r="BB3" s="174" t="s">
        <v>112</v>
      </c>
      <c r="BC3" s="174" t="s">
        <v>150</v>
      </c>
      <c r="BD3" s="174" t="s">
        <v>107</v>
      </c>
    </row>
    <row r="4" spans="2:56" s="1" customFormat="1" ht="24.95" customHeight="1">
      <c r="B4" s="20"/>
      <c r="D4" s="21" t="s">
        <v>84</v>
      </c>
      <c r="L4" s="20"/>
      <c r="M4" s="91" t="s">
        <v>10</v>
      </c>
      <c r="AT4" s="17" t="s">
        <v>3</v>
      </c>
      <c r="AZ4" s="174" t="s">
        <v>151</v>
      </c>
      <c r="BA4" s="174" t="s">
        <v>152</v>
      </c>
      <c r="BB4" s="174" t="s">
        <v>112</v>
      </c>
      <c r="BC4" s="174" t="s">
        <v>153</v>
      </c>
      <c r="BD4" s="174" t="s">
        <v>107</v>
      </c>
    </row>
    <row r="5" spans="2:56" s="1" customFormat="1" ht="6.95" customHeight="1">
      <c r="B5" s="20"/>
      <c r="L5" s="20"/>
      <c r="AZ5" s="174" t="s">
        <v>184</v>
      </c>
      <c r="BA5" s="174" t="s">
        <v>154</v>
      </c>
      <c r="BB5" s="174" t="s">
        <v>112</v>
      </c>
      <c r="BC5" s="174" t="s">
        <v>155</v>
      </c>
      <c r="BD5" s="174" t="s">
        <v>107</v>
      </c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83" t="str">
        <f>'Rekapitulace stavby'!K6</f>
        <v>Rekonstrukce částí objektu budovy Pavilonu H</v>
      </c>
      <c r="F7" s="284"/>
      <c r="G7" s="284"/>
      <c r="H7" s="284"/>
      <c r="L7" s="20"/>
    </row>
    <row r="8" spans="1:31" s="2" customFormat="1" ht="12" customHeight="1">
      <c r="A8" s="29"/>
      <c r="B8" s="30"/>
      <c r="C8" s="29"/>
      <c r="D8" s="26" t="s">
        <v>85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53"/>
      <c r="F9" s="282"/>
      <c r="G9" s="282"/>
      <c r="H9" s="28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>
        <f>'Rekapitulace stavby'!AN8</f>
        <v>45323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20</v>
      </c>
      <c r="E14" s="29"/>
      <c r="F14" s="29"/>
      <c r="G14" s="29"/>
      <c r="H14" s="29"/>
      <c r="I14" s="26" t="s">
        <v>21</v>
      </c>
      <c r="J14" s="24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22</v>
      </c>
      <c r="J15" s="24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23</v>
      </c>
      <c r="E17" s="29"/>
      <c r="F17" s="29"/>
      <c r="G17" s="29"/>
      <c r="H17" s="29"/>
      <c r="I17" s="26" t="s">
        <v>21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76" t="str">
        <f>'Rekapitulace stavby'!E14</f>
        <v xml:space="preserve"> </v>
      </c>
      <c r="F18" s="276"/>
      <c r="G18" s="276"/>
      <c r="H18" s="276"/>
      <c r="I18" s="26" t="s">
        <v>22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24</v>
      </c>
      <c r="E20" s="29"/>
      <c r="F20" s="29"/>
      <c r="G20" s="29"/>
      <c r="H20" s="29"/>
      <c r="I20" s="26" t="s">
        <v>21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25</v>
      </c>
      <c r="F21" s="29"/>
      <c r="G21" s="29"/>
      <c r="H21" s="29"/>
      <c r="I21" s="26" t="s">
        <v>22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27</v>
      </c>
      <c r="E23" s="29"/>
      <c r="F23" s="29"/>
      <c r="G23" s="29"/>
      <c r="H23" s="29"/>
      <c r="I23" s="26" t="s">
        <v>21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22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28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71.25" customHeight="1">
      <c r="A27" s="92"/>
      <c r="B27" s="93"/>
      <c r="C27" s="92"/>
      <c r="D27" s="92"/>
      <c r="E27" s="278"/>
      <c r="F27" s="278"/>
      <c r="G27" s="278"/>
      <c r="H27" s="278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5" t="s">
        <v>30</v>
      </c>
      <c r="E30" s="29"/>
      <c r="F30" s="29"/>
      <c r="G30" s="29"/>
      <c r="H30" s="29"/>
      <c r="I30" s="29"/>
      <c r="J30" s="68">
        <f>ROUND(J56,2)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hidden="1">
      <c r="A32" s="29"/>
      <c r="B32" s="30"/>
      <c r="C32" s="29"/>
      <c r="D32" s="29"/>
      <c r="E32" s="26" t="s">
        <v>37</v>
      </c>
      <c r="F32" s="97">
        <f>ROUND((SUM(BG56:BG59)),2)</f>
        <v>0</v>
      </c>
      <c r="G32" s="29"/>
      <c r="H32" s="29"/>
      <c r="I32" s="98">
        <v>0.21</v>
      </c>
      <c r="J32" s="97">
        <f>0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29"/>
      <c r="E33" s="26" t="s">
        <v>38</v>
      </c>
      <c r="F33" s="97">
        <f>ROUND((SUM(BH56:BH59)),2)</f>
        <v>0</v>
      </c>
      <c r="G33" s="29"/>
      <c r="H33" s="29"/>
      <c r="I33" s="98">
        <v>0.15</v>
      </c>
      <c r="J33" s="97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6" t="s">
        <v>39</v>
      </c>
      <c r="F34" s="97">
        <f>ROUND((SUM(BI56:BI59)),2)</f>
        <v>0</v>
      </c>
      <c r="G34" s="29"/>
      <c r="H34" s="29"/>
      <c r="I34" s="98">
        <v>0</v>
      </c>
      <c r="J34" s="97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8" spans="1:31" s="2" customFormat="1" ht="6.95" customHeight="1">
      <c r="A38" s="29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42" spans="1:31" s="2" customFormat="1" ht="6.95" customHeight="1">
      <c r="A42" s="29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4.95" customHeight="1">
      <c r="A43" s="29"/>
      <c r="B43" s="30"/>
      <c r="C43" s="21" t="s">
        <v>91</v>
      </c>
      <c r="D43" s="29"/>
      <c r="E43" s="29"/>
      <c r="F43" s="29"/>
      <c r="G43" s="29"/>
      <c r="H43" s="29"/>
      <c r="I43" s="29"/>
      <c r="J43" s="29"/>
      <c r="K43" s="29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6.95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12" customHeight="1">
      <c r="A45" s="29"/>
      <c r="B45" s="30"/>
      <c r="C45" s="26" t="s">
        <v>14</v>
      </c>
      <c r="D45" s="29"/>
      <c r="E45" s="29"/>
      <c r="F45" s="29"/>
      <c r="G45" s="29"/>
      <c r="H45" s="29"/>
      <c r="I45" s="29"/>
      <c r="J45" s="29"/>
      <c r="K45" s="29"/>
      <c r="L45" s="3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6.5" customHeight="1">
      <c r="A46" s="29"/>
      <c r="B46" s="30"/>
      <c r="C46" s="29"/>
      <c r="D46" s="29"/>
      <c r="E46" s="283" t="str">
        <f>E7</f>
        <v>Rekonstrukce částí objektu budovy Pavilonu H</v>
      </c>
      <c r="F46" s="284"/>
      <c r="G46" s="284"/>
      <c r="H46" s="284"/>
      <c r="I46" s="29"/>
      <c r="J46" s="29"/>
      <c r="K46" s="29"/>
      <c r="L46" s="3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>
      <c r="A47" s="29"/>
      <c r="B47" s="30"/>
      <c r="C47" s="26" t="s">
        <v>85</v>
      </c>
      <c r="D47" s="29"/>
      <c r="E47" s="29"/>
      <c r="F47" s="29"/>
      <c r="G47" s="29"/>
      <c r="H47" s="29"/>
      <c r="I47" s="29"/>
      <c r="J47" s="29"/>
      <c r="K47" s="29"/>
      <c r="L47" s="3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>
      <c r="A48" s="29"/>
      <c r="B48" s="30"/>
      <c r="C48" s="29"/>
      <c r="D48" s="29"/>
      <c r="E48" s="253"/>
      <c r="F48" s="282"/>
      <c r="G48" s="282"/>
      <c r="H48" s="282"/>
      <c r="I48" s="29"/>
      <c r="J48" s="29"/>
      <c r="K48" s="29"/>
      <c r="L48" s="3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" customFormat="1" ht="6.95" customHeight="1">
      <c r="A49" s="29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3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" customFormat="1" ht="12" customHeight="1">
      <c r="A50" s="29"/>
      <c r="B50" s="30"/>
      <c r="C50" s="26" t="s">
        <v>17</v>
      </c>
      <c r="D50" s="29"/>
      <c r="E50" s="29"/>
      <c r="F50" s="24" t="str">
        <f>F12</f>
        <v xml:space="preserve"> </v>
      </c>
      <c r="G50" s="29"/>
      <c r="H50" s="29"/>
      <c r="I50" s="26" t="s">
        <v>19</v>
      </c>
      <c r="J50" s="52">
        <f>IF(J12="","",J12)</f>
        <v>45323</v>
      </c>
      <c r="K50" s="29"/>
      <c r="L50" s="3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" customFormat="1" ht="6.95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3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" customFormat="1" ht="15.2" customHeight="1">
      <c r="A52" s="29"/>
      <c r="B52" s="30"/>
      <c r="C52" s="26" t="s">
        <v>20</v>
      </c>
      <c r="D52" s="29"/>
      <c r="E52" s="29"/>
      <c r="F52" s="24" t="str">
        <f>E15</f>
        <v xml:space="preserve"> </v>
      </c>
      <c r="G52" s="29"/>
      <c r="H52" s="29"/>
      <c r="I52" s="26" t="s">
        <v>24</v>
      </c>
      <c r="J52" s="27" t="str">
        <f>E21</f>
        <v>Ing. Arch. Jan Ságl</v>
      </c>
      <c r="K52" s="29"/>
      <c r="L52" s="3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" customFormat="1" ht="15.2" customHeight="1">
      <c r="A53" s="29"/>
      <c r="B53" s="30"/>
      <c r="C53" s="26" t="s">
        <v>23</v>
      </c>
      <c r="D53" s="29"/>
      <c r="E53" s="29"/>
      <c r="F53" s="24" t="str">
        <f>IF(E18="","",E18)</f>
        <v xml:space="preserve"> </v>
      </c>
      <c r="G53" s="29"/>
      <c r="H53" s="29"/>
      <c r="I53" s="26" t="s">
        <v>27</v>
      </c>
      <c r="J53" s="27" t="str">
        <f>E24</f>
        <v xml:space="preserve"> </v>
      </c>
      <c r="K53" s="29"/>
      <c r="L53" s="3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" customFormat="1" ht="10.35" customHeight="1">
      <c r="A54" s="29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3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11" customFormat="1" ht="29.25" customHeight="1">
      <c r="A55" s="118"/>
      <c r="B55" s="119"/>
      <c r="C55" s="120" t="s">
        <v>92</v>
      </c>
      <c r="D55" s="121" t="s">
        <v>55</v>
      </c>
      <c r="E55" s="121" t="s">
        <v>51</v>
      </c>
      <c r="F55" s="121" t="s">
        <v>52</v>
      </c>
      <c r="G55" s="121" t="s">
        <v>93</v>
      </c>
      <c r="H55" s="121" t="s">
        <v>94</v>
      </c>
      <c r="I55" s="121" t="s">
        <v>95</v>
      </c>
      <c r="J55" s="122" t="s">
        <v>88</v>
      </c>
      <c r="K55" s="123" t="s">
        <v>96</v>
      </c>
      <c r="L55" s="124"/>
      <c r="M55" s="59" t="s">
        <v>1</v>
      </c>
      <c r="N55" s="60" t="s">
        <v>34</v>
      </c>
      <c r="O55" s="60" t="s">
        <v>97</v>
      </c>
      <c r="P55" s="60" t="s">
        <v>98</v>
      </c>
      <c r="Q55" s="60" t="s">
        <v>99</v>
      </c>
      <c r="R55" s="60" t="s">
        <v>100</v>
      </c>
      <c r="S55" s="60" t="s">
        <v>101</v>
      </c>
      <c r="T55" s="61" t="s">
        <v>102</v>
      </c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</row>
    <row r="56" spans="1:63" s="2" customFormat="1" ht="22.9" customHeight="1">
      <c r="A56" s="29"/>
      <c r="B56" s="30"/>
      <c r="C56" s="66" t="s">
        <v>103</v>
      </c>
      <c r="D56" s="29"/>
      <c r="E56" s="29"/>
      <c r="F56" s="29"/>
      <c r="G56" s="29"/>
      <c r="H56" s="29"/>
      <c r="I56" s="29"/>
      <c r="J56" s="125">
        <f>J57</f>
        <v>0</v>
      </c>
      <c r="K56" s="29"/>
      <c r="L56" s="30"/>
      <c r="M56" s="62"/>
      <c r="N56" s="53"/>
      <c r="O56" s="63"/>
      <c r="P56" s="126" t="e">
        <f>P57+#REF!</f>
        <v>#REF!</v>
      </c>
      <c r="Q56" s="63"/>
      <c r="R56" s="126" t="e">
        <f>R57+#REF!</f>
        <v>#REF!</v>
      </c>
      <c r="S56" s="63"/>
      <c r="T56" s="127" t="e">
        <f>T57+#REF!</f>
        <v>#REF!</v>
      </c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T56" s="17" t="s">
        <v>69</v>
      </c>
      <c r="AU56" s="17" t="s">
        <v>90</v>
      </c>
      <c r="BK56" s="128" t="e">
        <f>BK57+#REF!</f>
        <v>#REF!</v>
      </c>
    </row>
    <row r="57" spans="2:63" s="12" customFormat="1" ht="25.9" customHeight="1">
      <c r="B57" s="129"/>
      <c r="D57" s="130" t="s">
        <v>69</v>
      </c>
      <c r="E57" s="131"/>
      <c r="F57" s="131"/>
      <c r="J57" s="132">
        <f>J58</f>
        <v>0</v>
      </c>
      <c r="L57" s="129"/>
      <c r="M57" s="133"/>
      <c r="N57" s="134"/>
      <c r="O57" s="134"/>
      <c r="P57" s="135" t="e">
        <f>P58+#REF!+#REF!+#REF!+#REF!+#REF!+#REF!+#REF!+#REF!</f>
        <v>#REF!</v>
      </c>
      <c r="Q57" s="134"/>
      <c r="R57" s="135" t="e">
        <f>R58+#REF!+#REF!+#REF!+#REF!+#REF!+#REF!+#REF!+#REF!</f>
        <v>#REF!</v>
      </c>
      <c r="S57" s="134"/>
      <c r="T57" s="136" t="e">
        <f>T58+#REF!+#REF!+#REF!+#REF!+#REF!+#REF!+#REF!+#REF!</f>
        <v>#REF!</v>
      </c>
      <c r="AR57" s="130" t="s">
        <v>77</v>
      </c>
      <c r="AT57" s="137" t="s">
        <v>69</v>
      </c>
      <c r="AU57" s="137" t="s">
        <v>70</v>
      </c>
      <c r="AY57" s="130" t="s">
        <v>106</v>
      </c>
      <c r="BK57" s="138" t="e">
        <f>BK58+#REF!+#REF!+#REF!+#REF!+#REF!+#REF!+#REF!+#REF!</f>
        <v>#REF!</v>
      </c>
    </row>
    <row r="58" spans="2:63" s="12" customFormat="1" ht="22.9" customHeight="1">
      <c r="B58" s="129"/>
      <c r="D58" s="130" t="s">
        <v>69</v>
      </c>
      <c r="E58" s="139" t="s">
        <v>77</v>
      </c>
      <c r="F58" s="139"/>
      <c r="J58" s="140">
        <f>SUM(J59:J61)+J73+J92+J93+J94</f>
        <v>0</v>
      </c>
      <c r="L58" s="183"/>
      <c r="M58" s="133"/>
      <c r="N58" s="134"/>
      <c r="O58" s="134"/>
      <c r="P58" s="135">
        <f>SUM(P59:P59)</f>
        <v>66.61111111111111</v>
      </c>
      <c r="Q58" s="134"/>
      <c r="R58" s="135">
        <f>SUM(R59:R59)</f>
        <v>0</v>
      </c>
      <c r="S58" s="134"/>
      <c r="T58" s="136">
        <f>SUM(T59:T59)</f>
        <v>84.77777777777777</v>
      </c>
      <c r="AR58" s="130" t="s">
        <v>77</v>
      </c>
      <c r="AT58" s="137" t="s">
        <v>69</v>
      </c>
      <c r="AU58" s="137" t="s">
        <v>77</v>
      </c>
      <c r="AY58" s="130" t="s">
        <v>106</v>
      </c>
      <c r="BK58" s="138">
        <f>SUM(BK59:BK59)</f>
        <v>0</v>
      </c>
    </row>
    <row r="59" spans="1:65" s="2" customFormat="1" ht="29.25" customHeight="1">
      <c r="A59" s="29"/>
      <c r="B59" s="141"/>
      <c r="C59" s="142"/>
      <c r="D59" s="142" t="s">
        <v>180</v>
      </c>
      <c r="E59" s="143"/>
      <c r="F59" s="243" t="s">
        <v>218</v>
      </c>
      <c r="G59" s="187" t="s">
        <v>188</v>
      </c>
      <c r="H59" s="199">
        <f>(4*18+5+8+6+6+6+6)/1.8</f>
        <v>60.55555555555556</v>
      </c>
      <c r="I59" s="147">
        <v>0</v>
      </c>
      <c r="J59" s="147">
        <f>ROUND(I59*H59,2)</f>
        <v>0</v>
      </c>
      <c r="K59" s="148"/>
      <c r="L59" s="30"/>
      <c r="M59" s="149" t="s">
        <v>1</v>
      </c>
      <c r="N59" s="150" t="s">
        <v>35</v>
      </c>
      <c r="O59" s="151">
        <v>1.1</v>
      </c>
      <c r="P59" s="151">
        <f>O59*H59</f>
        <v>66.61111111111111</v>
      </c>
      <c r="Q59" s="151">
        <v>0</v>
      </c>
      <c r="R59" s="151">
        <f>Q59*H59</f>
        <v>0</v>
      </c>
      <c r="S59" s="151">
        <v>1.4</v>
      </c>
      <c r="T59" s="152">
        <f>S59*H59</f>
        <v>84.77777777777777</v>
      </c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R59" s="153" t="s">
        <v>110</v>
      </c>
      <c r="AT59" s="153" t="s">
        <v>108</v>
      </c>
      <c r="AU59" s="153" t="s">
        <v>79</v>
      </c>
      <c r="AY59" s="17" t="s">
        <v>106</v>
      </c>
      <c r="BE59" s="154">
        <f>IF(N59="základní",J59,0)</f>
        <v>0</v>
      </c>
      <c r="BF59" s="154">
        <f>IF(N59="snížená",J59,0)</f>
        <v>0</v>
      </c>
      <c r="BG59" s="154">
        <f>IF(N59="zákl. přenesená",J59,0)</f>
        <v>0</v>
      </c>
      <c r="BH59" s="154">
        <f>IF(N59="sníž. přenesená",J59,0)</f>
        <v>0</v>
      </c>
      <c r="BI59" s="154">
        <f>IF(N59="nulová",J59,0)</f>
        <v>0</v>
      </c>
      <c r="BJ59" s="17" t="s">
        <v>77</v>
      </c>
      <c r="BK59" s="154">
        <f>ROUND(I59*H59,2)</f>
        <v>0</v>
      </c>
      <c r="BL59" s="17" t="s">
        <v>110</v>
      </c>
      <c r="BM59" s="153" t="s">
        <v>156</v>
      </c>
    </row>
    <row r="60" spans="1:31" s="2" customFormat="1" ht="50.25" customHeight="1">
      <c r="A60" s="29"/>
      <c r="B60" s="44"/>
      <c r="C60" s="184"/>
      <c r="D60" s="184" t="s">
        <v>180</v>
      </c>
      <c r="E60" s="185"/>
      <c r="F60" s="244" t="s">
        <v>219</v>
      </c>
      <c r="G60" s="187" t="s">
        <v>188</v>
      </c>
      <c r="H60" s="199">
        <f>(9*3+2*6)/1.8</f>
        <v>21.666666666666668</v>
      </c>
      <c r="I60" s="189">
        <v>0</v>
      </c>
      <c r="J60" s="189">
        <f>ROUND(I60*H60,2)</f>
        <v>0</v>
      </c>
      <c r="K60" s="45"/>
      <c r="L60" s="30"/>
      <c r="M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</row>
    <row r="61" spans="3:10" ht="42" customHeight="1">
      <c r="C61" s="184"/>
      <c r="D61" s="184" t="s">
        <v>180</v>
      </c>
      <c r="E61" s="185"/>
      <c r="F61" s="242" t="s">
        <v>220</v>
      </c>
      <c r="G61" s="187" t="s">
        <v>115</v>
      </c>
      <c r="H61" s="199">
        <f>SUM(J62:J72)</f>
        <v>5454</v>
      </c>
      <c r="I61" s="189">
        <v>0</v>
      </c>
      <c r="J61" s="189">
        <f>ROUND(I61*H61,2)</f>
        <v>0</v>
      </c>
    </row>
    <row r="62" spans="3:10" ht="12">
      <c r="C62" s="220"/>
      <c r="D62" s="220" t="s">
        <v>180</v>
      </c>
      <c r="E62" s="221"/>
      <c r="F62" s="222" t="s">
        <v>200</v>
      </c>
      <c r="G62" s="223" t="s">
        <v>115</v>
      </c>
      <c r="H62" s="224">
        <f aca="true" t="shared" si="0" ref="H62:H72">4+4</f>
        <v>8</v>
      </c>
      <c r="I62" s="225">
        <v>43</v>
      </c>
      <c r="J62" s="225">
        <f>(I62+H62)*4*6</f>
        <v>1224</v>
      </c>
    </row>
    <row r="63" spans="3:10" ht="12">
      <c r="C63" s="220"/>
      <c r="D63" s="220" t="s">
        <v>180</v>
      </c>
      <c r="E63" s="221"/>
      <c r="F63" s="222" t="s">
        <v>201</v>
      </c>
      <c r="G63" s="223" t="s">
        <v>115</v>
      </c>
      <c r="H63" s="224">
        <f t="shared" si="0"/>
        <v>8</v>
      </c>
      <c r="I63" s="225">
        <v>31</v>
      </c>
      <c r="J63" s="225">
        <f>(I63+H63)*2*6</f>
        <v>468</v>
      </c>
    </row>
    <row r="64" spans="3:10" ht="12">
      <c r="C64" s="220"/>
      <c r="D64" s="220" t="s">
        <v>180</v>
      </c>
      <c r="E64" s="221"/>
      <c r="F64" s="222" t="s">
        <v>201</v>
      </c>
      <c r="G64" s="223" t="s">
        <v>115</v>
      </c>
      <c r="H64" s="224">
        <f t="shared" si="0"/>
        <v>8</v>
      </c>
      <c r="I64" s="225">
        <v>28</v>
      </c>
      <c r="J64" s="225">
        <f>(I64+H64)*2*6</f>
        <v>432</v>
      </c>
    </row>
    <row r="65" spans="3:10" ht="12">
      <c r="C65" s="220"/>
      <c r="D65" s="220" t="s">
        <v>180</v>
      </c>
      <c r="E65" s="221"/>
      <c r="F65" s="222" t="s">
        <v>202</v>
      </c>
      <c r="G65" s="223" t="s">
        <v>115</v>
      </c>
      <c r="H65" s="224">
        <f t="shared" si="0"/>
        <v>8</v>
      </c>
      <c r="I65" s="225">
        <v>26</v>
      </c>
      <c r="J65" s="225">
        <f>(I65+H65)*3*6</f>
        <v>612</v>
      </c>
    </row>
    <row r="66" spans="3:10" ht="12">
      <c r="C66" s="220"/>
      <c r="D66" s="220" t="s">
        <v>180</v>
      </c>
      <c r="E66" s="221"/>
      <c r="F66" s="222" t="s">
        <v>203</v>
      </c>
      <c r="G66" s="223" t="s">
        <v>115</v>
      </c>
      <c r="H66" s="224">
        <f t="shared" si="0"/>
        <v>8</v>
      </c>
      <c r="I66" s="225">
        <v>22</v>
      </c>
      <c r="J66" s="225">
        <f>(I66+H66)*3*6</f>
        <v>540</v>
      </c>
    </row>
    <row r="67" spans="3:10" ht="12">
      <c r="C67" s="220"/>
      <c r="D67" s="220" t="s">
        <v>180</v>
      </c>
      <c r="E67" s="221"/>
      <c r="F67" s="222" t="s">
        <v>202</v>
      </c>
      <c r="G67" s="223" t="s">
        <v>115</v>
      </c>
      <c r="H67" s="224">
        <f t="shared" si="0"/>
        <v>8</v>
      </c>
      <c r="I67" s="225">
        <v>24</v>
      </c>
      <c r="J67" s="225">
        <f>(I67+H67)*3*6</f>
        <v>576</v>
      </c>
    </row>
    <row r="68" spans="3:10" ht="12">
      <c r="C68" s="220"/>
      <c r="D68" s="220" t="s">
        <v>180</v>
      </c>
      <c r="E68" s="221"/>
      <c r="F68" s="222" t="s">
        <v>203</v>
      </c>
      <c r="G68" s="223" t="s">
        <v>115</v>
      </c>
      <c r="H68" s="224">
        <f t="shared" si="0"/>
        <v>8</v>
      </c>
      <c r="I68" s="225">
        <v>27</v>
      </c>
      <c r="J68" s="225">
        <f>(I68+H68)*2*6</f>
        <v>420</v>
      </c>
    </row>
    <row r="69" spans="3:10" ht="12">
      <c r="C69" s="220"/>
      <c r="D69" s="220" t="s">
        <v>180</v>
      </c>
      <c r="E69" s="221"/>
      <c r="F69" s="222" t="s">
        <v>203</v>
      </c>
      <c r="G69" s="223" t="s">
        <v>115</v>
      </c>
      <c r="H69" s="224">
        <f t="shared" si="0"/>
        <v>8</v>
      </c>
      <c r="I69" s="225">
        <v>20</v>
      </c>
      <c r="J69" s="225">
        <f>(I69+H69)*2*6</f>
        <v>336</v>
      </c>
    </row>
    <row r="70" spans="3:10" ht="12">
      <c r="C70" s="220"/>
      <c r="D70" s="220" t="s">
        <v>180</v>
      </c>
      <c r="E70" s="221"/>
      <c r="F70" s="222" t="s">
        <v>203</v>
      </c>
      <c r="G70" s="223" t="s">
        <v>115</v>
      </c>
      <c r="H70" s="224">
        <f t="shared" si="0"/>
        <v>8</v>
      </c>
      <c r="I70" s="225">
        <v>16</v>
      </c>
      <c r="J70" s="225">
        <f>(I70+H70)*2*6</f>
        <v>288</v>
      </c>
    </row>
    <row r="71" spans="3:10" ht="12">
      <c r="C71" s="220"/>
      <c r="D71" s="220" t="s">
        <v>180</v>
      </c>
      <c r="E71" s="221"/>
      <c r="F71" s="222" t="s">
        <v>203</v>
      </c>
      <c r="G71" s="223" t="s">
        <v>115</v>
      </c>
      <c r="H71" s="224">
        <f t="shared" si="0"/>
        <v>8</v>
      </c>
      <c r="I71" s="225">
        <v>13</v>
      </c>
      <c r="J71" s="225">
        <f>(I71+H71)*2*6</f>
        <v>252</v>
      </c>
    </row>
    <row r="72" spans="3:10" ht="12">
      <c r="C72" s="220"/>
      <c r="D72" s="220" t="s">
        <v>180</v>
      </c>
      <c r="E72" s="221"/>
      <c r="F72" s="222" t="s">
        <v>204</v>
      </c>
      <c r="G72" s="223" t="s">
        <v>115</v>
      </c>
      <c r="H72" s="224">
        <f t="shared" si="0"/>
        <v>8</v>
      </c>
      <c r="I72" s="225">
        <v>9</v>
      </c>
      <c r="J72" s="225">
        <f>(I72+H72)*3*6</f>
        <v>306</v>
      </c>
    </row>
    <row r="73" spans="3:10" ht="36">
      <c r="C73" s="184">
        <v>2</v>
      </c>
      <c r="D73" s="184" t="s">
        <v>180</v>
      </c>
      <c r="E73" s="185"/>
      <c r="F73" s="245" t="s">
        <v>221</v>
      </c>
      <c r="G73" s="187" t="s">
        <v>115</v>
      </c>
      <c r="H73" s="199">
        <f>SUM(J74:K91)</f>
        <v>1022</v>
      </c>
      <c r="I73" s="189">
        <v>0</v>
      </c>
      <c r="J73" s="189">
        <f>ROUND(I73*H73,2)</f>
        <v>0</v>
      </c>
    </row>
    <row r="74" spans="4:10" ht="12">
      <c r="D74" s="220" t="s">
        <v>180</v>
      </c>
      <c r="E74" s="221"/>
      <c r="F74" s="222" t="s">
        <v>205</v>
      </c>
      <c r="G74" s="223" t="s">
        <v>115</v>
      </c>
      <c r="H74" s="224">
        <v>4</v>
      </c>
      <c r="I74" s="225">
        <v>42</v>
      </c>
      <c r="J74" s="225">
        <f aca="true" t="shared" si="1" ref="J74:J91">(I74+H74)*2</f>
        <v>92</v>
      </c>
    </row>
    <row r="75" spans="4:10" ht="12">
      <c r="D75" s="220" t="s">
        <v>180</v>
      </c>
      <c r="E75" s="221"/>
      <c r="F75" s="222" t="s">
        <v>205</v>
      </c>
      <c r="G75" s="223" t="s">
        <v>115</v>
      </c>
      <c r="H75" s="224">
        <v>4</v>
      </c>
      <c r="I75" s="225">
        <v>35</v>
      </c>
      <c r="J75" s="225">
        <f t="shared" si="1"/>
        <v>78</v>
      </c>
    </row>
    <row r="76" spans="4:10" ht="12">
      <c r="D76" s="220" t="s">
        <v>180</v>
      </c>
      <c r="E76" s="221"/>
      <c r="F76" s="222" t="s">
        <v>205</v>
      </c>
      <c r="G76" s="223" t="s">
        <v>115</v>
      </c>
      <c r="H76" s="224">
        <v>4</v>
      </c>
      <c r="I76" s="225">
        <v>35</v>
      </c>
      <c r="J76" s="225">
        <f t="shared" si="1"/>
        <v>78</v>
      </c>
    </row>
    <row r="77" spans="4:10" ht="12">
      <c r="D77" s="220" t="s">
        <v>180</v>
      </c>
      <c r="E77" s="221"/>
      <c r="F77" s="222" t="s">
        <v>205</v>
      </c>
      <c r="G77" s="223" t="s">
        <v>115</v>
      </c>
      <c r="H77" s="224">
        <v>4</v>
      </c>
      <c r="I77" s="225">
        <v>25</v>
      </c>
      <c r="J77" s="225">
        <f t="shared" si="1"/>
        <v>58</v>
      </c>
    </row>
    <row r="78" spans="4:10" ht="12">
      <c r="D78" s="220" t="s">
        <v>180</v>
      </c>
      <c r="E78" s="221"/>
      <c r="F78" s="222" t="s">
        <v>205</v>
      </c>
      <c r="G78" s="223" t="s">
        <v>115</v>
      </c>
      <c r="H78" s="224">
        <v>4</v>
      </c>
      <c r="I78" s="225">
        <v>14</v>
      </c>
      <c r="J78" s="225">
        <f t="shared" si="1"/>
        <v>36</v>
      </c>
    </row>
    <row r="79" spans="4:10" ht="12">
      <c r="D79" s="220" t="s">
        <v>180</v>
      </c>
      <c r="E79" s="221"/>
      <c r="F79" s="222" t="s">
        <v>205</v>
      </c>
      <c r="G79" s="223" t="s">
        <v>115</v>
      </c>
      <c r="H79" s="224">
        <v>4</v>
      </c>
      <c r="I79" s="225">
        <v>44</v>
      </c>
      <c r="J79" s="225">
        <f t="shared" si="1"/>
        <v>96</v>
      </c>
    </row>
    <row r="80" spans="4:10" ht="12">
      <c r="D80" s="220" t="s">
        <v>180</v>
      </c>
      <c r="E80" s="221"/>
      <c r="F80" s="222" t="s">
        <v>205</v>
      </c>
      <c r="G80" s="223" t="s">
        <v>115</v>
      </c>
      <c r="H80" s="224">
        <v>4</v>
      </c>
      <c r="I80" s="225">
        <v>8</v>
      </c>
      <c r="J80" s="225">
        <f t="shared" si="1"/>
        <v>24</v>
      </c>
    </row>
    <row r="81" spans="4:10" ht="12">
      <c r="D81" s="220" t="s">
        <v>180</v>
      </c>
      <c r="E81" s="221"/>
      <c r="F81" s="222" t="s">
        <v>205</v>
      </c>
      <c r="G81" s="223" t="s">
        <v>115</v>
      </c>
      <c r="H81" s="224">
        <v>4</v>
      </c>
      <c r="I81" s="225">
        <v>5</v>
      </c>
      <c r="J81" s="225">
        <f t="shared" si="1"/>
        <v>18</v>
      </c>
    </row>
    <row r="82" spans="4:10" ht="12">
      <c r="D82" s="220" t="s">
        <v>180</v>
      </c>
      <c r="E82" s="221"/>
      <c r="F82" s="222" t="s">
        <v>205</v>
      </c>
      <c r="G82" s="223" t="s">
        <v>115</v>
      </c>
      <c r="H82" s="224">
        <v>4</v>
      </c>
      <c r="I82" s="225">
        <v>15</v>
      </c>
      <c r="J82" s="225">
        <f t="shared" si="1"/>
        <v>38</v>
      </c>
    </row>
    <row r="83" spans="4:10" ht="12">
      <c r="D83" s="220" t="s">
        <v>180</v>
      </c>
      <c r="E83" s="221"/>
      <c r="F83" s="222" t="s">
        <v>205</v>
      </c>
      <c r="G83" s="223" t="s">
        <v>115</v>
      </c>
      <c r="H83" s="224">
        <v>4</v>
      </c>
      <c r="I83" s="225">
        <v>35</v>
      </c>
      <c r="J83" s="225">
        <f t="shared" si="1"/>
        <v>78</v>
      </c>
    </row>
    <row r="84" spans="4:10" ht="12">
      <c r="D84" s="220" t="s">
        <v>180</v>
      </c>
      <c r="E84" s="221"/>
      <c r="F84" s="222" t="s">
        <v>205</v>
      </c>
      <c r="G84" s="223" t="s">
        <v>115</v>
      </c>
      <c r="H84" s="224">
        <v>4</v>
      </c>
      <c r="I84" s="225">
        <v>34</v>
      </c>
      <c r="J84" s="225">
        <f t="shared" si="1"/>
        <v>76</v>
      </c>
    </row>
    <row r="85" spans="4:10" ht="12">
      <c r="D85" s="220" t="s">
        <v>180</v>
      </c>
      <c r="E85" s="221"/>
      <c r="F85" s="222" t="s">
        <v>205</v>
      </c>
      <c r="G85" s="223" t="s">
        <v>115</v>
      </c>
      <c r="H85" s="224">
        <v>4</v>
      </c>
      <c r="I85" s="225">
        <v>31</v>
      </c>
      <c r="J85" s="225">
        <f t="shared" si="1"/>
        <v>70</v>
      </c>
    </row>
    <row r="86" spans="4:10" ht="12">
      <c r="D86" s="220" t="s">
        <v>180</v>
      </c>
      <c r="E86" s="221"/>
      <c r="F86" s="222" t="s">
        <v>205</v>
      </c>
      <c r="G86" s="223" t="s">
        <v>115</v>
      </c>
      <c r="H86" s="224">
        <v>4</v>
      </c>
      <c r="I86" s="225">
        <v>28</v>
      </c>
      <c r="J86" s="225">
        <f t="shared" si="1"/>
        <v>64</v>
      </c>
    </row>
    <row r="87" spans="4:10" ht="12">
      <c r="D87" s="220" t="s">
        <v>180</v>
      </c>
      <c r="E87" s="221"/>
      <c r="F87" s="222" t="s">
        <v>205</v>
      </c>
      <c r="G87" s="223" t="s">
        <v>115</v>
      </c>
      <c r="H87" s="224">
        <v>4</v>
      </c>
      <c r="I87" s="225">
        <v>25</v>
      </c>
      <c r="J87" s="225">
        <f t="shared" si="1"/>
        <v>58</v>
      </c>
    </row>
    <row r="88" spans="4:10" ht="12">
      <c r="D88" s="220" t="s">
        <v>180</v>
      </c>
      <c r="E88" s="221"/>
      <c r="F88" s="222" t="s">
        <v>205</v>
      </c>
      <c r="G88" s="223" t="s">
        <v>115</v>
      </c>
      <c r="H88" s="224">
        <v>4</v>
      </c>
      <c r="I88" s="225">
        <v>22</v>
      </c>
      <c r="J88" s="225">
        <f t="shared" si="1"/>
        <v>52</v>
      </c>
    </row>
    <row r="89" spans="4:10" ht="12">
      <c r="D89" s="220" t="s">
        <v>180</v>
      </c>
      <c r="E89" s="221"/>
      <c r="F89" s="222" t="s">
        <v>205</v>
      </c>
      <c r="G89" s="223" t="s">
        <v>115</v>
      </c>
      <c r="H89" s="224">
        <v>4</v>
      </c>
      <c r="I89" s="225">
        <v>15</v>
      </c>
      <c r="J89" s="225">
        <f t="shared" si="1"/>
        <v>38</v>
      </c>
    </row>
    <row r="90" spans="4:10" ht="12">
      <c r="D90" s="220" t="s">
        <v>180</v>
      </c>
      <c r="E90" s="221"/>
      <c r="F90" s="222" t="s">
        <v>205</v>
      </c>
      <c r="G90" s="223" t="s">
        <v>115</v>
      </c>
      <c r="H90" s="224">
        <v>4</v>
      </c>
      <c r="I90" s="225">
        <v>12</v>
      </c>
      <c r="J90" s="225">
        <f t="shared" si="1"/>
        <v>32</v>
      </c>
    </row>
    <row r="91" spans="4:10" ht="12">
      <c r="D91" s="220" t="s">
        <v>180</v>
      </c>
      <c r="E91" s="221"/>
      <c r="F91" s="222" t="s">
        <v>205</v>
      </c>
      <c r="G91" s="223" t="s">
        <v>115</v>
      </c>
      <c r="H91" s="224">
        <v>4</v>
      </c>
      <c r="I91" s="225">
        <v>14</v>
      </c>
      <c r="J91" s="225">
        <f t="shared" si="1"/>
        <v>36</v>
      </c>
    </row>
    <row r="92" spans="4:10" ht="36">
      <c r="D92" s="184" t="s">
        <v>180</v>
      </c>
      <c r="E92" s="185"/>
      <c r="F92" s="246" t="s">
        <v>222</v>
      </c>
      <c r="G92" s="187" t="s">
        <v>115</v>
      </c>
      <c r="H92" s="199">
        <f>H73/2</f>
        <v>511</v>
      </c>
      <c r="I92" s="189">
        <v>0</v>
      </c>
      <c r="J92" s="189">
        <f>ROUND(I92*H92,2)</f>
        <v>0</v>
      </c>
    </row>
    <row r="93" spans="4:10" ht="111.75" customHeight="1">
      <c r="D93" s="184" t="s">
        <v>180</v>
      </c>
      <c r="E93" s="185"/>
      <c r="F93" s="242" t="s">
        <v>224</v>
      </c>
      <c r="G93" s="187" t="s">
        <v>157</v>
      </c>
      <c r="H93" s="199">
        <v>1</v>
      </c>
      <c r="I93" s="189">
        <v>0</v>
      </c>
      <c r="J93" s="189">
        <f>H93*I93</f>
        <v>0</v>
      </c>
    </row>
    <row r="94" spans="4:10" ht="36">
      <c r="D94" s="184" t="s">
        <v>180</v>
      </c>
      <c r="E94" s="185"/>
      <c r="F94" s="247" t="s">
        <v>223</v>
      </c>
      <c r="G94" s="187" t="s">
        <v>115</v>
      </c>
      <c r="H94" s="199">
        <v>1000</v>
      </c>
      <c r="I94" s="189">
        <v>0</v>
      </c>
      <c r="J94" s="189">
        <f>ROUND(I94*H94,2)</f>
        <v>0</v>
      </c>
    </row>
    <row r="95" spans="6:10" ht="12">
      <c r="F95" s="222"/>
      <c r="G95" s="223"/>
      <c r="H95" s="224"/>
      <c r="I95" s="225"/>
      <c r="J95" s="225"/>
    </row>
    <row r="96" spans="6:10" ht="12">
      <c r="F96" s="222"/>
      <c r="G96" s="223"/>
      <c r="H96" s="224"/>
      <c r="I96" s="225"/>
      <c r="J96" s="225"/>
    </row>
  </sheetData>
  <autoFilter ref="C55:K59"/>
  <mergeCells count="7">
    <mergeCell ref="E46:H46"/>
    <mergeCell ref="E48:H48"/>
    <mergeCell ref="L2:V2"/>
    <mergeCell ref="E7:H7"/>
    <mergeCell ref="E9:H9"/>
    <mergeCell ref="E18:H18"/>
    <mergeCell ref="E27:H2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9"/>
  <sheetViews>
    <sheetView showGridLines="0" workbookViewId="0" topLeftCell="A101">
      <selection activeCell="X128" sqref="X12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248" t="s">
        <v>5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7" t="s">
        <v>83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s="1" customFormat="1" ht="24.95" customHeight="1">
      <c r="B4" s="20"/>
      <c r="D4" s="21" t="s">
        <v>84</v>
      </c>
      <c r="L4" s="20"/>
      <c r="M4" s="91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83" t="str">
        <f>'Rekapitulace stavby'!K6</f>
        <v>Rekonstrukce částí objektu budovy Pavilonu H</v>
      </c>
      <c r="F7" s="284"/>
      <c r="G7" s="284"/>
      <c r="H7" s="284"/>
      <c r="L7" s="20"/>
    </row>
    <row r="8" spans="1:31" s="2" customFormat="1" ht="12" customHeight="1">
      <c r="A8" s="29"/>
      <c r="B8" s="30"/>
      <c r="C8" s="29"/>
      <c r="D8" s="26" t="s">
        <v>85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53" t="s">
        <v>160</v>
      </c>
      <c r="F9" s="282"/>
      <c r="G9" s="282"/>
      <c r="H9" s="28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>
        <f>'Rekapitulace stavby'!AN8</f>
        <v>45323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20</v>
      </c>
      <c r="E14" s="29"/>
      <c r="F14" s="29"/>
      <c r="G14" s="29"/>
      <c r="H14" s="29"/>
      <c r="I14" s="26" t="s">
        <v>21</v>
      </c>
      <c r="J14" s="24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22</v>
      </c>
      <c r="J15" s="24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23</v>
      </c>
      <c r="E17" s="29"/>
      <c r="F17" s="29"/>
      <c r="G17" s="29"/>
      <c r="H17" s="29"/>
      <c r="I17" s="26" t="s">
        <v>21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76" t="str">
        <f>'Rekapitulace stavby'!E14</f>
        <v xml:space="preserve"> </v>
      </c>
      <c r="F18" s="276"/>
      <c r="G18" s="276"/>
      <c r="H18" s="276"/>
      <c r="I18" s="26" t="s">
        <v>22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24</v>
      </c>
      <c r="E20" s="29"/>
      <c r="F20" s="29"/>
      <c r="G20" s="29"/>
      <c r="H20" s="29"/>
      <c r="I20" s="26" t="s">
        <v>21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25</v>
      </c>
      <c r="F21" s="29"/>
      <c r="G21" s="29"/>
      <c r="H21" s="29"/>
      <c r="I21" s="26" t="s">
        <v>22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27</v>
      </c>
      <c r="E23" s="29"/>
      <c r="F23" s="29"/>
      <c r="G23" s="29"/>
      <c r="H23" s="29"/>
      <c r="I23" s="26" t="s">
        <v>21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22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28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278" t="s">
        <v>1</v>
      </c>
      <c r="F27" s="278"/>
      <c r="G27" s="278"/>
      <c r="H27" s="278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5" t="s">
        <v>30</v>
      </c>
      <c r="E30" s="29"/>
      <c r="F30" s="29"/>
      <c r="G30" s="29"/>
      <c r="H30" s="29"/>
      <c r="I30" s="29"/>
      <c r="J30" s="68">
        <f>ROUND(J120,2)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33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34</v>
      </c>
      <c r="E33" s="26" t="s">
        <v>35</v>
      </c>
      <c r="F33" s="97">
        <f>ROUND((SUM(BE120:BE128)),2)</f>
        <v>0</v>
      </c>
      <c r="G33" s="29"/>
      <c r="H33" s="29"/>
      <c r="I33" s="98">
        <v>0.21</v>
      </c>
      <c r="J33" s="97">
        <f>ROUND(((SUM(BE120:BE128))*I33),2)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36</v>
      </c>
      <c r="F34" s="97">
        <f>ROUND((SUM(BF120:BF128)),2)</f>
        <v>0</v>
      </c>
      <c r="G34" s="29"/>
      <c r="H34" s="29"/>
      <c r="I34" s="98">
        <v>0.15</v>
      </c>
      <c r="J34" s="97">
        <f>ROUND(((SUM(BF120:BF128))*I34),2)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37</v>
      </c>
      <c r="F35" s="97">
        <f>ROUND((SUM(BG120:BG128)),2)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38</v>
      </c>
      <c r="F36" s="97">
        <f>ROUND((SUM(BH120:BH128)),2)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39</v>
      </c>
      <c r="F37" s="97">
        <f>ROUND((SUM(BI120:BI128)),2)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9"/>
      <c r="D39" s="100" t="s">
        <v>40</v>
      </c>
      <c r="E39" s="57"/>
      <c r="F39" s="57"/>
      <c r="G39" s="101" t="s">
        <v>41</v>
      </c>
      <c r="H39" s="102" t="s">
        <v>42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45</v>
      </c>
      <c r="E61" s="32"/>
      <c r="F61" s="105" t="s">
        <v>46</v>
      </c>
      <c r="G61" s="42" t="s">
        <v>45</v>
      </c>
      <c r="H61" s="32"/>
      <c r="I61" s="32"/>
      <c r="J61" s="106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45</v>
      </c>
      <c r="E76" s="32"/>
      <c r="F76" s="105" t="s">
        <v>46</v>
      </c>
      <c r="G76" s="42" t="s">
        <v>45</v>
      </c>
      <c r="H76" s="32"/>
      <c r="I76" s="32"/>
      <c r="J76" s="106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86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83" t="str">
        <f>E7</f>
        <v>Rekonstrukce částí objektu budovy Pavilonu H</v>
      </c>
      <c r="F85" s="284"/>
      <c r="G85" s="284"/>
      <c r="H85" s="284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85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53" t="str">
        <f>E9</f>
        <v>SO 03 - Vedlejší a ostatní náklady</v>
      </c>
      <c r="F87" s="282"/>
      <c r="G87" s="282"/>
      <c r="H87" s="28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17</v>
      </c>
      <c r="D89" s="29"/>
      <c r="E89" s="29"/>
      <c r="F89" s="24" t="str">
        <f>F12</f>
        <v xml:space="preserve"> </v>
      </c>
      <c r="G89" s="29"/>
      <c r="H89" s="29"/>
      <c r="I89" s="26" t="s">
        <v>19</v>
      </c>
      <c r="J89" s="52">
        <f>IF(J12="","",J12)</f>
        <v>45323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6" t="s">
        <v>20</v>
      </c>
      <c r="D91" s="29"/>
      <c r="E91" s="29"/>
      <c r="F91" s="24" t="str">
        <f>E15</f>
        <v xml:space="preserve"> </v>
      </c>
      <c r="G91" s="29"/>
      <c r="H91" s="29"/>
      <c r="I91" s="26" t="s">
        <v>24</v>
      </c>
      <c r="J91" s="27" t="str">
        <f>E21</f>
        <v>Ing. Arch. Jan Ságl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23</v>
      </c>
      <c r="D92" s="29"/>
      <c r="E92" s="29"/>
      <c r="F92" s="24" t="str">
        <f>IF(E18="","",E18)</f>
        <v xml:space="preserve"> </v>
      </c>
      <c r="G92" s="29"/>
      <c r="H92" s="29"/>
      <c r="I92" s="26" t="s">
        <v>27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7" t="s">
        <v>87</v>
      </c>
      <c r="D94" s="99"/>
      <c r="E94" s="99"/>
      <c r="F94" s="99"/>
      <c r="G94" s="99"/>
      <c r="H94" s="99"/>
      <c r="I94" s="99"/>
      <c r="J94" s="108" t="s">
        <v>88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9" t="s">
        <v>89</v>
      </c>
      <c r="D96" s="29"/>
      <c r="E96" s="29"/>
      <c r="F96" s="29"/>
      <c r="G96" s="29"/>
      <c r="H96" s="29"/>
      <c r="I96" s="29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90</v>
      </c>
    </row>
    <row r="97" spans="2:12" s="9" customFormat="1" ht="24.95" customHeight="1">
      <c r="B97" s="110"/>
      <c r="D97" s="111" t="s">
        <v>161</v>
      </c>
      <c r="E97" s="112"/>
      <c r="F97" s="112"/>
      <c r="G97" s="112"/>
      <c r="H97" s="112"/>
      <c r="I97" s="112"/>
      <c r="J97" s="113">
        <f>J121</f>
        <v>0</v>
      </c>
      <c r="L97" s="110"/>
    </row>
    <row r="98" spans="2:12" s="10" customFormat="1" ht="19.9" customHeight="1">
      <c r="B98" s="114"/>
      <c r="D98" s="115" t="s">
        <v>162</v>
      </c>
      <c r="E98" s="116"/>
      <c r="F98" s="116"/>
      <c r="G98" s="116"/>
      <c r="H98" s="116"/>
      <c r="I98" s="116"/>
      <c r="J98" s="117">
        <f>J122</f>
        <v>0</v>
      </c>
      <c r="L98" s="114"/>
    </row>
    <row r="99" spans="2:12" s="10" customFormat="1" ht="19.9" customHeight="1">
      <c r="B99" s="114"/>
      <c r="D99" s="115" t="s">
        <v>163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2:12" s="10" customFormat="1" ht="19.9" customHeight="1">
      <c r="B100" s="114"/>
      <c r="D100" s="115" t="s">
        <v>164</v>
      </c>
      <c r="E100" s="116"/>
      <c r="F100" s="116"/>
      <c r="G100" s="116"/>
      <c r="H100" s="116"/>
      <c r="I100" s="116"/>
      <c r="J100" s="117">
        <f>J127</f>
        <v>0</v>
      </c>
      <c r="L100" s="114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21" t="s">
        <v>91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6" t="s">
        <v>14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83" t="str">
        <f>E7</f>
        <v>Rekonstrukce částí objektu budovy Pavilonu H</v>
      </c>
      <c r="F110" s="284"/>
      <c r="G110" s="284"/>
      <c r="H110" s="284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6" t="s">
        <v>85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53" t="str">
        <f>E9</f>
        <v>SO 03 - Vedlejší a ostatní náklady</v>
      </c>
      <c r="F112" s="282"/>
      <c r="G112" s="282"/>
      <c r="H112" s="282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6" t="s">
        <v>17</v>
      </c>
      <c r="D114" s="29"/>
      <c r="E114" s="29"/>
      <c r="F114" s="24" t="str">
        <f>F12</f>
        <v xml:space="preserve"> </v>
      </c>
      <c r="G114" s="29"/>
      <c r="H114" s="29"/>
      <c r="I114" s="26" t="s">
        <v>19</v>
      </c>
      <c r="J114" s="52">
        <f>IF(J12="","",J12)</f>
        <v>45323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.2" customHeight="1">
      <c r="A116" s="29"/>
      <c r="B116" s="30"/>
      <c r="C116" s="26" t="s">
        <v>20</v>
      </c>
      <c r="D116" s="29"/>
      <c r="E116" s="29"/>
      <c r="F116" s="24" t="str">
        <f>E15</f>
        <v xml:space="preserve"> </v>
      </c>
      <c r="G116" s="29"/>
      <c r="H116" s="29"/>
      <c r="I116" s="26" t="s">
        <v>24</v>
      </c>
      <c r="J116" s="27" t="str">
        <f>E21</f>
        <v>Ing. Arch. Jan Ságl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5.2" customHeight="1">
      <c r="A117" s="29"/>
      <c r="B117" s="30"/>
      <c r="C117" s="26" t="s">
        <v>23</v>
      </c>
      <c r="D117" s="29"/>
      <c r="E117" s="29"/>
      <c r="F117" s="24" t="str">
        <f>IF(E18="","",E18)</f>
        <v xml:space="preserve"> </v>
      </c>
      <c r="G117" s="29"/>
      <c r="H117" s="29"/>
      <c r="I117" s="26" t="s">
        <v>27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1" customFormat="1" ht="29.25" customHeight="1">
      <c r="A119" s="118"/>
      <c r="B119" s="119"/>
      <c r="C119" s="120" t="s">
        <v>92</v>
      </c>
      <c r="D119" s="121" t="s">
        <v>55</v>
      </c>
      <c r="E119" s="121" t="s">
        <v>51</v>
      </c>
      <c r="F119" s="121" t="s">
        <v>52</v>
      </c>
      <c r="G119" s="121" t="s">
        <v>93</v>
      </c>
      <c r="H119" s="121" t="s">
        <v>94</v>
      </c>
      <c r="I119" s="121" t="s">
        <v>95</v>
      </c>
      <c r="J119" s="122" t="s">
        <v>88</v>
      </c>
      <c r="K119" s="123" t="s">
        <v>96</v>
      </c>
      <c r="L119" s="124"/>
      <c r="M119" s="59" t="s">
        <v>1</v>
      </c>
      <c r="N119" s="60" t="s">
        <v>34</v>
      </c>
      <c r="O119" s="60" t="s">
        <v>97</v>
      </c>
      <c r="P119" s="60" t="s">
        <v>98</v>
      </c>
      <c r="Q119" s="60" t="s">
        <v>99</v>
      </c>
      <c r="R119" s="60" t="s">
        <v>100</v>
      </c>
      <c r="S119" s="60" t="s">
        <v>101</v>
      </c>
      <c r="T119" s="61" t="s">
        <v>102</v>
      </c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</row>
    <row r="120" spans="1:63" s="2" customFormat="1" ht="22.9" customHeight="1">
      <c r="A120" s="29"/>
      <c r="B120" s="30"/>
      <c r="C120" s="66" t="s">
        <v>103</v>
      </c>
      <c r="D120" s="29"/>
      <c r="E120" s="29"/>
      <c r="F120" s="29"/>
      <c r="G120" s="29"/>
      <c r="H120" s="29"/>
      <c r="I120" s="29"/>
      <c r="J120" s="125">
        <f>J121</f>
        <v>0</v>
      </c>
      <c r="K120" s="29"/>
      <c r="L120" s="30"/>
      <c r="M120" s="62"/>
      <c r="N120" s="53"/>
      <c r="O120" s="63"/>
      <c r="P120" s="126" t="e">
        <f>P121</f>
        <v>#REF!</v>
      </c>
      <c r="Q120" s="63"/>
      <c r="R120" s="126" t="e">
        <f>R121</f>
        <v>#REF!</v>
      </c>
      <c r="S120" s="63"/>
      <c r="T120" s="127" t="e">
        <f>T121</f>
        <v>#REF!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7" t="s">
        <v>69</v>
      </c>
      <c r="AU120" s="17" t="s">
        <v>90</v>
      </c>
      <c r="BK120" s="128" t="e">
        <f>BK121</f>
        <v>#REF!</v>
      </c>
    </row>
    <row r="121" spans="2:63" s="12" customFormat="1" ht="25.9" customHeight="1">
      <c r="B121" s="129"/>
      <c r="D121" s="130" t="s">
        <v>69</v>
      </c>
      <c r="E121" s="131" t="s">
        <v>165</v>
      </c>
      <c r="F121" s="131" t="s">
        <v>166</v>
      </c>
      <c r="J121" s="132">
        <f>J122+J124+J127</f>
        <v>0</v>
      </c>
      <c r="L121" s="129"/>
      <c r="M121" s="133"/>
      <c r="N121" s="134"/>
      <c r="O121" s="134"/>
      <c r="P121" s="135" t="e">
        <f>P122+P124+P127+#REF!</f>
        <v>#REF!</v>
      </c>
      <c r="Q121" s="134"/>
      <c r="R121" s="135" t="e">
        <f>R122+R124+R127+#REF!</f>
        <v>#REF!</v>
      </c>
      <c r="S121" s="134"/>
      <c r="T121" s="136" t="e">
        <f>T122+T124+T127+#REF!</f>
        <v>#REF!</v>
      </c>
      <c r="AR121" s="130" t="s">
        <v>114</v>
      </c>
      <c r="AT121" s="137" t="s">
        <v>69</v>
      </c>
      <c r="AU121" s="137" t="s">
        <v>70</v>
      </c>
      <c r="AY121" s="130" t="s">
        <v>106</v>
      </c>
      <c r="BK121" s="138" t="e">
        <f>BK122+BK124+BK127+#REF!</f>
        <v>#REF!</v>
      </c>
    </row>
    <row r="122" spans="2:63" s="12" customFormat="1" ht="22.9" customHeight="1">
      <c r="B122" s="129"/>
      <c r="D122" s="130" t="s">
        <v>69</v>
      </c>
      <c r="E122" s="139" t="s">
        <v>167</v>
      </c>
      <c r="F122" s="139" t="s">
        <v>168</v>
      </c>
      <c r="J122" s="140">
        <f>BK122</f>
        <v>0</v>
      </c>
      <c r="L122" s="129"/>
      <c r="M122" s="133"/>
      <c r="N122" s="134"/>
      <c r="O122" s="134"/>
      <c r="P122" s="135">
        <f>P123</f>
        <v>0</v>
      </c>
      <c r="Q122" s="134"/>
      <c r="R122" s="135">
        <f>R123</f>
        <v>0</v>
      </c>
      <c r="S122" s="134"/>
      <c r="T122" s="136">
        <f>T123</f>
        <v>0</v>
      </c>
      <c r="AR122" s="130" t="s">
        <v>114</v>
      </c>
      <c r="AT122" s="137" t="s">
        <v>69</v>
      </c>
      <c r="AU122" s="137" t="s">
        <v>77</v>
      </c>
      <c r="AY122" s="130" t="s">
        <v>106</v>
      </c>
      <c r="BK122" s="138">
        <f>BK123</f>
        <v>0</v>
      </c>
    </row>
    <row r="123" spans="1:65" s="2" customFormat="1" ht="16.5" customHeight="1">
      <c r="A123" s="29"/>
      <c r="B123" s="141"/>
      <c r="C123" s="142" t="s">
        <v>77</v>
      </c>
      <c r="D123" s="142" t="s">
        <v>108</v>
      </c>
      <c r="E123" s="143" t="s">
        <v>169</v>
      </c>
      <c r="F123" s="186" t="s">
        <v>206</v>
      </c>
      <c r="G123" s="145" t="s">
        <v>133</v>
      </c>
      <c r="H123" s="146">
        <v>1</v>
      </c>
      <c r="I123" s="147">
        <v>0</v>
      </c>
      <c r="J123" s="147">
        <f>I123</f>
        <v>0</v>
      </c>
      <c r="K123" s="148"/>
      <c r="L123" s="30"/>
      <c r="M123" s="149" t="s">
        <v>1</v>
      </c>
      <c r="N123" s="150" t="s">
        <v>35</v>
      </c>
      <c r="O123" s="151">
        <v>0</v>
      </c>
      <c r="P123" s="151">
        <f>O123*H123</f>
        <v>0</v>
      </c>
      <c r="Q123" s="151">
        <v>0</v>
      </c>
      <c r="R123" s="151">
        <f>Q123*H123</f>
        <v>0</v>
      </c>
      <c r="S123" s="151">
        <v>0</v>
      </c>
      <c r="T123" s="152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3" t="s">
        <v>170</v>
      </c>
      <c r="AT123" s="153" t="s">
        <v>108</v>
      </c>
      <c r="AU123" s="153" t="s">
        <v>79</v>
      </c>
      <c r="AY123" s="17" t="s">
        <v>106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7" t="s">
        <v>77</v>
      </c>
      <c r="BK123" s="154">
        <f>ROUND(I123*H123,2)</f>
        <v>0</v>
      </c>
      <c r="BL123" s="17" t="s">
        <v>170</v>
      </c>
      <c r="BM123" s="153" t="s">
        <v>171</v>
      </c>
    </row>
    <row r="124" spans="2:63" s="12" customFormat="1" ht="22.9" customHeight="1">
      <c r="B124" s="129"/>
      <c r="D124" s="130" t="s">
        <v>69</v>
      </c>
      <c r="E124" s="139" t="s">
        <v>172</v>
      </c>
      <c r="F124" s="139" t="s">
        <v>173</v>
      </c>
      <c r="J124" s="140">
        <f>J125+J126</f>
        <v>0</v>
      </c>
      <c r="L124" s="129"/>
      <c r="M124" s="133"/>
      <c r="N124" s="134"/>
      <c r="O124" s="134"/>
      <c r="P124" s="135">
        <f>P125</f>
        <v>0</v>
      </c>
      <c r="Q124" s="134"/>
      <c r="R124" s="135">
        <f>R125</f>
        <v>0</v>
      </c>
      <c r="S124" s="134"/>
      <c r="T124" s="136">
        <f>T125</f>
        <v>0</v>
      </c>
      <c r="AR124" s="130" t="s">
        <v>114</v>
      </c>
      <c r="AT124" s="137" t="s">
        <v>69</v>
      </c>
      <c r="AU124" s="137" t="s">
        <v>77</v>
      </c>
      <c r="AY124" s="130" t="s">
        <v>106</v>
      </c>
      <c r="BK124" s="138">
        <f>BK125</f>
        <v>0</v>
      </c>
    </row>
    <row r="125" spans="1:65" s="2" customFormat="1" ht="16.5" customHeight="1">
      <c r="A125" s="29"/>
      <c r="B125" s="141"/>
      <c r="C125" s="142" t="s">
        <v>79</v>
      </c>
      <c r="D125" s="142" t="s">
        <v>108</v>
      </c>
      <c r="E125" s="143" t="s">
        <v>174</v>
      </c>
      <c r="F125" s="144" t="s">
        <v>173</v>
      </c>
      <c r="G125" s="145" t="s">
        <v>133</v>
      </c>
      <c r="H125" s="146">
        <v>1</v>
      </c>
      <c r="I125" s="147">
        <v>0</v>
      </c>
      <c r="J125" s="147">
        <f>I125</f>
        <v>0</v>
      </c>
      <c r="K125" s="148"/>
      <c r="L125" s="30"/>
      <c r="M125" s="149" t="s">
        <v>1</v>
      </c>
      <c r="N125" s="150" t="s">
        <v>35</v>
      </c>
      <c r="O125" s="151">
        <v>0</v>
      </c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3" t="s">
        <v>170</v>
      </c>
      <c r="AT125" s="153" t="s">
        <v>108</v>
      </c>
      <c r="AU125" s="153" t="s">
        <v>79</v>
      </c>
      <c r="AY125" s="17" t="s">
        <v>106</v>
      </c>
      <c r="BE125" s="154">
        <f>IF(N125="základní",J125,0)</f>
        <v>0</v>
      </c>
      <c r="BF125" s="154">
        <f>IF(N125="snížená",J125,0)</f>
        <v>0</v>
      </c>
      <c r="BG125" s="154">
        <f>IF(N125="zákl. přenesená",J125,0)</f>
        <v>0</v>
      </c>
      <c r="BH125" s="154">
        <f>IF(N125="sníž. přenesená",J125,0)</f>
        <v>0</v>
      </c>
      <c r="BI125" s="154">
        <f>IF(N125="nulová",J125,0)</f>
        <v>0</v>
      </c>
      <c r="BJ125" s="17" t="s">
        <v>77</v>
      </c>
      <c r="BK125" s="154">
        <f>ROUND(I125*H125,2)</f>
        <v>0</v>
      </c>
      <c r="BL125" s="17" t="s">
        <v>170</v>
      </c>
      <c r="BM125" s="153" t="s">
        <v>175</v>
      </c>
    </row>
    <row r="126" spans="1:65" s="190" customFormat="1" ht="16.5" customHeight="1">
      <c r="A126" s="200"/>
      <c r="B126" s="192"/>
      <c r="C126" s="184" t="s">
        <v>79</v>
      </c>
      <c r="D126" s="184" t="s">
        <v>108</v>
      </c>
      <c r="E126" s="185" t="s">
        <v>174</v>
      </c>
      <c r="F126" s="186" t="s">
        <v>207</v>
      </c>
      <c r="G126" s="187" t="s">
        <v>133</v>
      </c>
      <c r="H126" s="188">
        <v>1</v>
      </c>
      <c r="I126" s="189">
        <v>0</v>
      </c>
      <c r="J126" s="189">
        <f>I126</f>
        <v>0</v>
      </c>
      <c r="K126" s="182"/>
      <c r="L126" s="30"/>
      <c r="M126" s="149"/>
      <c r="N126" s="150"/>
      <c r="O126" s="193"/>
      <c r="P126" s="193"/>
      <c r="Q126" s="193"/>
      <c r="R126" s="193"/>
      <c r="S126" s="193"/>
      <c r="T126" s="194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R126" s="195"/>
      <c r="AT126" s="195"/>
      <c r="AU126" s="195"/>
      <c r="AY126" s="191"/>
      <c r="BE126" s="196"/>
      <c r="BF126" s="196"/>
      <c r="BG126" s="196"/>
      <c r="BH126" s="196"/>
      <c r="BI126" s="196"/>
      <c r="BJ126" s="191"/>
      <c r="BK126" s="196"/>
      <c r="BL126" s="191"/>
      <c r="BM126" s="195"/>
    </row>
    <row r="127" spans="2:63" s="12" customFormat="1" ht="22.9" customHeight="1">
      <c r="B127" s="129"/>
      <c r="D127" s="130" t="s">
        <v>69</v>
      </c>
      <c r="E127" s="139" t="s">
        <v>176</v>
      </c>
      <c r="F127" s="139" t="s">
        <v>177</v>
      </c>
      <c r="J127" s="140">
        <f>SUM(J128:J128)</f>
        <v>0</v>
      </c>
      <c r="L127" s="129"/>
      <c r="M127" s="133"/>
      <c r="N127" s="134"/>
      <c r="O127" s="134"/>
      <c r="P127" s="135">
        <f>SUM(P128:P128)</f>
        <v>0</v>
      </c>
      <c r="Q127" s="134"/>
      <c r="R127" s="135">
        <f>SUM(R128:R128)</f>
        <v>0</v>
      </c>
      <c r="S127" s="134"/>
      <c r="T127" s="136">
        <f>SUM(T128:T128)</f>
        <v>0</v>
      </c>
      <c r="AR127" s="130" t="s">
        <v>114</v>
      </c>
      <c r="AT127" s="137" t="s">
        <v>69</v>
      </c>
      <c r="AU127" s="137" t="s">
        <v>77</v>
      </c>
      <c r="AY127" s="130" t="s">
        <v>106</v>
      </c>
      <c r="BK127" s="138">
        <f>SUM(BK128:BK128)</f>
        <v>0</v>
      </c>
    </row>
    <row r="128" spans="1:65" s="2" customFormat="1" ht="16.5" customHeight="1">
      <c r="A128" s="29"/>
      <c r="B128" s="141"/>
      <c r="C128" s="142" t="s">
        <v>110</v>
      </c>
      <c r="D128" s="142" t="s">
        <v>108</v>
      </c>
      <c r="E128" s="143" t="s">
        <v>178</v>
      </c>
      <c r="F128" s="144" t="s">
        <v>181</v>
      </c>
      <c r="G128" s="145" t="s">
        <v>133</v>
      </c>
      <c r="H128" s="146">
        <v>1</v>
      </c>
      <c r="I128" s="147">
        <v>0</v>
      </c>
      <c r="J128" s="147">
        <f>ROUND(I128*H128,2)</f>
        <v>0</v>
      </c>
      <c r="K128" s="148"/>
      <c r="L128" s="30"/>
      <c r="M128" s="149" t="s">
        <v>1</v>
      </c>
      <c r="N128" s="150" t="s">
        <v>35</v>
      </c>
      <c r="O128" s="151">
        <v>0</v>
      </c>
      <c r="P128" s="151">
        <f>O128*H128</f>
        <v>0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170</v>
      </c>
      <c r="AT128" s="153" t="s">
        <v>108</v>
      </c>
      <c r="AU128" s="153" t="s">
        <v>79</v>
      </c>
      <c r="AY128" s="17" t="s">
        <v>106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17" t="s">
        <v>77</v>
      </c>
      <c r="BK128" s="154">
        <f>ROUND(I128*H128,2)</f>
        <v>0</v>
      </c>
      <c r="BL128" s="17" t="s">
        <v>170</v>
      </c>
      <c r="BM128" s="153" t="s">
        <v>179</v>
      </c>
    </row>
    <row r="129" spans="1:31" s="2" customFormat="1" ht="6.95" customHeight="1">
      <c r="A129" s="29"/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30"/>
      <c r="M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</sheetData>
  <autoFilter ref="C119:K12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Ságl</dc:creator>
  <cp:keywords/>
  <dc:description/>
  <cp:lastModifiedBy>sagl@ksarchitekti.cz</cp:lastModifiedBy>
  <cp:lastPrinted>2023-04-28T13:57:27Z</cp:lastPrinted>
  <dcterms:created xsi:type="dcterms:W3CDTF">2023-04-26T11:22:16Z</dcterms:created>
  <dcterms:modified xsi:type="dcterms:W3CDTF">2024-02-22T11:05:41Z</dcterms:modified>
  <cp:category/>
  <cp:version/>
  <cp:contentType/>
  <cp:contentStatus/>
</cp:coreProperties>
</file>