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AKCE\202057_ SV PROPOJENÍ OKRUŽNÍ A NA HROUDÁCH\09_EXP\231219_DPS komplet k tisku\Rozpočet\"/>
    </mc:Choice>
  </mc:AlternateContent>
  <xr:revisionPtr revIDLastSave="0" documentId="13_ncr:20001_{F5F32842-9D63-4D1E-920D-01AE81F1B83F}" xr6:coauthVersionLast="47" xr6:coauthVersionMax="47" xr10:uidLastSave="{00000000-0000-0000-0000-000000000000}"/>
  <bookViews>
    <workbookView xWindow="-120" yWindow="-120" windowWidth="38640" windowHeight="21240" tabRatio="844" xr2:uid="{00000000-000D-0000-FFFF-FFFF00000000}"/>
  </bookViews>
  <sheets>
    <sheet name="Rekapitulace" sheetId="1" r:id="rId1"/>
    <sheet name="Krycí list" sheetId="34" r:id="rId2"/>
    <sheet name="SO 310 - Vodovod – 0-0,098" sheetId="2" r:id="rId3"/>
    <sheet name="SO 310 - Vodovod – 0,098-KÚ" sheetId="18" r:id="rId4"/>
    <sheet name="SO 320 - Spl. kan. – 0-0,098" sheetId="3" r:id="rId5"/>
    <sheet name="SO 320 - Spl. kan. – 0,098-KÚ" sheetId="19" r:id="rId6"/>
    <sheet name="SO 330 - Odvodnění – 0-0,098" sheetId="4" r:id="rId7"/>
    <sheet name="SO 330 - Odvodnění – 0,098-KÚ" sheetId="20" r:id="rId8"/>
    <sheet name="SO 401 - VO rekapitulace" sheetId="9" r:id="rId9"/>
    <sheet name="VO materiál – 0-0,098 " sheetId="22" r:id="rId10"/>
    <sheet name="VO materiál – 0,098-KÚ" sheetId="8" r:id="rId11"/>
    <sheet name="VO montáž – 0-0,098" sheetId="7" r:id="rId12"/>
    <sheet name="VO montáž – 0,098-KÚ" sheetId="23" r:id="rId13"/>
    <sheet name="SO 402 - Kabelovod" sheetId="35" r:id="rId14"/>
    <sheet name="Rekapitulace - 101 - Komunikace" sheetId="26" r:id="rId15"/>
    <sheet name="101001N" sheetId="27" r:id="rId16"/>
    <sheet name="101001U" sheetId="28" r:id="rId17"/>
    <sheet name="101101.1" sheetId="29" r:id="rId18"/>
    <sheet name="101101.2" sheetId="30" r:id="rId19"/>
    <sheet name="101101.3" sheetId="31" r:id="rId20"/>
    <sheet name="101101.4" sheetId="32" r:id="rId21"/>
    <sheet name="101101.5" sheetId="33" r:id="rId22"/>
  </sheets>
  <externalReferences>
    <externalReference r:id="rId23"/>
  </externalReferences>
  <definedNames>
    <definedName name="_xlnm._FilterDatabase" localSheetId="3" hidden="1">'SO 310 - Vodovod – 0,098-KÚ'!$C$85:$K$321</definedName>
    <definedName name="_xlnm._FilterDatabase" localSheetId="2" hidden="1">'SO 310 - Vodovod – 0-0,098'!$C$85:$K$361</definedName>
    <definedName name="_xlnm._FilterDatabase" localSheetId="5" hidden="1">'SO 320 - Spl. kan. – 0,098-KÚ'!$C$87:$K$417</definedName>
    <definedName name="_xlnm._FilterDatabase" localSheetId="4" hidden="1">'SO 320 - Spl. kan. – 0-0,098'!$C$87:$K$454</definedName>
    <definedName name="_xlnm._FilterDatabase" localSheetId="7" hidden="1">'SO 330 - Odvodnění – 0,098-KÚ'!$C$87:$K$433</definedName>
    <definedName name="_xlnm._FilterDatabase" localSheetId="6" hidden="1">'SO 330 - Odvodnění – 0-0,098'!$C$87:$K$463</definedName>
    <definedName name="_xlnm._FilterDatabase" localSheetId="13" hidden="1">'SO 402 - Kabelovod'!$C$86:$K$244</definedName>
    <definedName name="_xlnm.Print_Titles" localSheetId="0">Rekapitulace!$60:$60</definedName>
    <definedName name="_xlnm.Print_Titles" localSheetId="3">'SO 310 - Vodovod – 0,098-KÚ'!$85:$85</definedName>
    <definedName name="_xlnm.Print_Titles" localSheetId="2">'SO 310 - Vodovod – 0-0,098'!$85:$85</definedName>
    <definedName name="_xlnm.Print_Titles" localSheetId="5">'SO 320 - Spl. kan. – 0,098-KÚ'!$87:$87</definedName>
    <definedName name="_xlnm.Print_Titles" localSheetId="4">'SO 320 - Spl. kan. – 0-0,098'!$87:$87</definedName>
    <definedName name="_xlnm.Print_Titles" localSheetId="7">'SO 330 - Odvodnění – 0,098-KÚ'!$87:$87</definedName>
    <definedName name="_xlnm.Print_Titles" localSheetId="6">'SO 330 - Odvodnění – 0-0,098'!$87:$87</definedName>
    <definedName name="_xlnm.Print_Titles" localSheetId="13">'SO 402 - Kabelovod'!$86:$86</definedName>
    <definedName name="_xlnm.Print_Area" localSheetId="0">Rekapitulace!$D$4:$AO$44,Rekapitulace!$C$50:$AQ$69</definedName>
    <definedName name="_xlnm.Print_Area" localSheetId="3">'SO 310 - Vodovod – 0,098-KÚ'!$C$4:$J$39,'SO 310 - Vodovod – 0,098-KÚ'!$C$45:$J$67,'SO 310 - Vodovod – 0,098-KÚ'!$C$73:$K$321</definedName>
    <definedName name="_xlnm.Print_Area" localSheetId="2">'SO 310 - Vodovod – 0-0,098'!$C$4:$J$39,'SO 310 - Vodovod – 0-0,098'!$C$45:$J$67,'SO 310 - Vodovod – 0-0,098'!$C$73:$K$361</definedName>
    <definedName name="_xlnm.Print_Area" localSheetId="5">'SO 320 - Spl. kan. – 0,098-KÚ'!$C$4:$J$39,'SO 320 - Spl. kan. – 0,098-KÚ'!$C$45:$J$69,'SO 320 - Spl. kan. – 0,098-KÚ'!$C$75:$K$417</definedName>
    <definedName name="_xlnm.Print_Area" localSheetId="4">'SO 320 - Spl. kan. – 0-0,098'!$C$4:$J$39,'SO 320 - Spl. kan. – 0-0,098'!$C$45:$J$69,'SO 320 - Spl. kan. – 0-0,098'!$C$75:$K$454</definedName>
    <definedName name="_xlnm.Print_Area" localSheetId="7">'SO 330 - Odvodnění – 0,098-KÚ'!$C$4:$J$39,'SO 330 - Odvodnění – 0,098-KÚ'!$C$45:$J$69,'SO 330 - Odvodnění – 0,098-KÚ'!$C$75:$K$433</definedName>
    <definedName name="_xlnm.Print_Area" localSheetId="6">'SO 330 - Odvodnění – 0-0,098'!$C$4:$J$39,'SO 330 - Odvodnění – 0-0,098'!$C$45:$J$69,'SO 330 - Odvodnění – 0-0,098'!$C$75:$K$463</definedName>
    <definedName name="_xlnm.Print_Area" localSheetId="13">'SO 402 - Kabelovod'!$C$4:$J$39,'SO 402 - Kabelovod'!$C$45:$J$68,'SO 402 - Kabelovod'!$C$74:$K$244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2" i="1" l="1"/>
  <c r="AG62" i="1"/>
  <c r="AN68" i="1"/>
  <c r="AG68" i="1"/>
  <c r="G42" i="34"/>
  <c r="F42" i="34"/>
  <c r="E42" i="34"/>
  <c r="G39" i="34"/>
  <c r="F39" i="34"/>
  <c r="E39" i="34"/>
  <c r="E38" i="34"/>
  <c r="BK243" i="35"/>
  <c r="BI243" i="35"/>
  <c r="BH243" i="35"/>
  <c r="BG243" i="35"/>
  <c r="BF243" i="35"/>
  <c r="T243" i="35"/>
  <c r="R243" i="35"/>
  <c r="P243" i="35"/>
  <c r="J243" i="35"/>
  <c r="BE243" i="35" s="1"/>
  <c r="BK242" i="35"/>
  <c r="BI242" i="35"/>
  <c r="BH242" i="35"/>
  <c r="BG242" i="35"/>
  <c r="BF242" i="35"/>
  <c r="T242" i="35"/>
  <c r="R242" i="35"/>
  <c r="P242" i="35"/>
  <c r="J242" i="35"/>
  <c r="BE242" i="35" s="1"/>
  <c r="BK240" i="35"/>
  <c r="BI240" i="35"/>
  <c r="BH240" i="35"/>
  <c r="BG240" i="35"/>
  <c r="BF240" i="35"/>
  <c r="T240" i="35"/>
  <c r="R240" i="35"/>
  <c r="P240" i="35"/>
  <c r="J240" i="35"/>
  <c r="BE240" i="35" s="1"/>
  <c r="BK239" i="35"/>
  <c r="BI239" i="35"/>
  <c r="BH239" i="35"/>
  <c r="BG239" i="35"/>
  <c r="BF239" i="35"/>
  <c r="T239" i="35"/>
  <c r="R239" i="35"/>
  <c r="P239" i="35"/>
  <c r="J239" i="35"/>
  <c r="BE239" i="35" s="1"/>
  <c r="BK237" i="35"/>
  <c r="BI237" i="35"/>
  <c r="BH237" i="35"/>
  <c r="BG237" i="35"/>
  <c r="BF237" i="35"/>
  <c r="T237" i="35"/>
  <c r="R237" i="35"/>
  <c r="P237" i="35"/>
  <c r="J237" i="35"/>
  <c r="BE237" i="35" s="1"/>
  <c r="BK236" i="35"/>
  <c r="BI236" i="35"/>
  <c r="BH236" i="35"/>
  <c r="BG236" i="35"/>
  <c r="BF236" i="35"/>
  <c r="T236" i="35"/>
  <c r="R236" i="35"/>
  <c r="P236" i="35"/>
  <c r="J236" i="35"/>
  <c r="BE236" i="35" s="1"/>
  <c r="BK234" i="35"/>
  <c r="BI234" i="35"/>
  <c r="BH234" i="35"/>
  <c r="BG234" i="35"/>
  <c r="BF234" i="35"/>
  <c r="T234" i="35"/>
  <c r="R234" i="35"/>
  <c r="P234" i="35"/>
  <c r="J234" i="35"/>
  <c r="BE234" i="35" s="1"/>
  <c r="BK233" i="35"/>
  <c r="BI233" i="35"/>
  <c r="BH233" i="35"/>
  <c r="BG233" i="35"/>
  <c r="BF233" i="35"/>
  <c r="BE233" i="35"/>
  <c r="T233" i="35"/>
  <c r="R233" i="35"/>
  <c r="P233" i="35"/>
  <c r="J233" i="35"/>
  <c r="BK231" i="35"/>
  <c r="BI231" i="35"/>
  <c r="BH231" i="35"/>
  <c r="BG231" i="35"/>
  <c r="BF231" i="35"/>
  <c r="T231" i="35"/>
  <c r="R231" i="35"/>
  <c r="P231" i="35"/>
  <c r="J231" i="35"/>
  <c r="BE231" i="35" s="1"/>
  <c r="BK230" i="35"/>
  <c r="BI230" i="35"/>
  <c r="BH230" i="35"/>
  <c r="BG230" i="35"/>
  <c r="BF230" i="35"/>
  <c r="T230" i="35"/>
  <c r="R230" i="35"/>
  <c r="R215" i="35" s="1"/>
  <c r="P230" i="35"/>
  <c r="P215" i="35" s="1"/>
  <c r="J230" i="35"/>
  <c r="BE230" i="35" s="1"/>
  <c r="BK228" i="35"/>
  <c r="BI228" i="35"/>
  <c r="BH228" i="35"/>
  <c r="BG228" i="35"/>
  <c r="BF228" i="35"/>
  <c r="T228" i="35"/>
  <c r="R228" i="35"/>
  <c r="P228" i="35"/>
  <c r="J228" i="35"/>
  <c r="BE228" i="35" s="1"/>
  <c r="BK227" i="35"/>
  <c r="BI227" i="35"/>
  <c r="BH227" i="35"/>
  <c r="BG227" i="35"/>
  <c r="BF227" i="35"/>
  <c r="T227" i="35"/>
  <c r="T215" i="35" s="1"/>
  <c r="R227" i="35"/>
  <c r="P227" i="35"/>
  <c r="J227" i="35"/>
  <c r="BE227" i="35" s="1"/>
  <c r="BK225" i="35"/>
  <c r="BI225" i="35"/>
  <c r="BH225" i="35"/>
  <c r="BG225" i="35"/>
  <c r="BF225" i="35"/>
  <c r="BE225" i="35"/>
  <c r="T225" i="35"/>
  <c r="R225" i="35"/>
  <c r="P225" i="35"/>
  <c r="J225" i="35"/>
  <c r="BK224" i="35"/>
  <c r="BI224" i="35"/>
  <c r="BH224" i="35"/>
  <c r="BG224" i="35"/>
  <c r="BF224" i="35"/>
  <c r="T224" i="35"/>
  <c r="R224" i="35"/>
  <c r="P224" i="35"/>
  <c r="J224" i="35"/>
  <c r="BE224" i="35" s="1"/>
  <c r="BK222" i="35"/>
  <c r="BI222" i="35"/>
  <c r="BH222" i="35"/>
  <c r="BG222" i="35"/>
  <c r="BF222" i="35"/>
  <c r="T222" i="35"/>
  <c r="R222" i="35"/>
  <c r="P222" i="35"/>
  <c r="J222" i="35"/>
  <c r="BE222" i="35" s="1"/>
  <c r="BK218" i="35"/>
  <c r="BK215" i="35" s="1"/>
  <c r="J215" i="35" s="1"/>
  <c r="J67" i="35" s="1"/>
  <c r="BI218" i="35"/>
  <c r="BH218" i="35"/>
  <c r="BG218" i="35"/>
  <c r="BF218" i="35"/>
  <c r="BE218" i="35"/>
  <c r="T218" i="35"/>
  <c r="R218" i="35"/>
  <c r="P218" i="35"/>
  <c r="J218" i="35"/>
  <c r="BK216" i="35"/>
  <c r="BI216" i="35"/>
  <c r="BH216" i="35"/>
  <c r="BG216" i="35"/>
  <c r="BF216" i="35"/>
  <c r="T216" i="35"/>
  <c r="R216" i="35"/>
  <c r="P216" i="35"/>
  <c r="J216" i="35"/>
  <c r="BE216" i="35" s="1"/>
  <c r="BK214" i="35"/>
  <c r="BI214" i="35"/>
  <c r="BH214" i="35"/>
  <c r="BG214" i="35"/>
  <c r="BF214" i="35"/>
  <c r="T214" i="35"/>
  <c r="R214" i="35"/>
  <c r="P214" i="35"/>
  <c r="J214" i="35"/>
  <c r="BE214" i="35" s="1"/>
  <c r="BK212" i="35"/>
  <c r="BI212" i="35"/>
  <c r="BH212" i="35"/>
  <c r="BG212" i="35"/>
  <c r="BF212" i="35"/>
  <c r="T212" i="35"/>
  <c r="R212" i="35"/>
  <c r="P212" i="35"/>
  <c r="J212" i="35"/>
  <c r="BE212" i="35" s="1"/>
  <c r="BK211" i="35"/>
  <c r="J211" i="35" s="1"/>
  <c r="J66" i="35" s="1"/>
  <c r="T211" i="35"/>
  <c r="R211" i="35"/>
  <c r="P211" i="35"/>
  <c r="BK208" i="35"/>
  <c r="BI208" i="35"/>
  <c r="BH208" i="35"/>
  <c r="BG208" i="35"/>
  <c r="BF208" i="35"/>
  <c r="T208" i="35"/>
  <c r="R208" i="35"/>
  <c r="P208" i="35"/>
  <c r="J208" i="35"/>
  <c r="BE208" i="35" s="1"/>
  <c r="BK206" i="35"/>
  <c r="BI206" i="35"/>
  <c r="BH206" i="35"/>
  <c r="BG206" i="35"/>
  <c r="BF206" i="35"/>
  <c r="T206" i="35"/>
  <c r="T205" i="35" s="1"/>
  <c r="R206" i="35"/>
  <c r="P206" i="35"/>
  <c r="P205" i="35" s="1"/>
  <c r="J206" i="35"/>
  <c r="BE206" i="35" s="1"/>
  <c r="BK203" i="35"/>
  <c r="BI203" i="35"/>
  <c r="BH203" i="35"/>
  <c r="BG203" i="35"/>
  <c r="BF203" i="35"/>
  <c r="T203" i="35"/>
  <c r="R203" i="35"/>
  <c r="P203" i="35"/>
  <c r="P202" i="35" s="1"/>
  <c r="J203" i="35"/>
  <c r="BE203" i="35" s="1"/>
  <c r="BK202" i="35"/>
  <c r="J202" i="35" s="1"/>
  <c r="J63" i="35" s="1"/>
  <c r="T202" i="35"/>
  <c r="R202" i="35"/>
  <c r="BK196" i="35"/>
  <c r="BI196" i="35"/>
  <c r="BH196" i="35"/>
  <c r="BG196" i="35"/>
  <c r="BF196" i="35"/>
  <c r="T196" i="35"/>
  <c r="R196" i="35"/>
  <c r="P196" i="35"/>
  <c r="J196" i="35"/>
  <c r="BE196" i="35" s="1"/>
  <c r="BK190" i="35"/>
  <c r="BI190" i="35"/>
  <c r="BH190" i="35"/>
  <c r="BG190" i="35"/>
  <c r="BF190" i="35"/>
  <c r="T190" i="35"/>
  <c r="R190" i="35"/>
  <c r="P190" i="35"/>
  <c r="J190" i="35"/>
  <c r="BE190" i="35" s="1"/>
  <c r="BK187" i="35"/>
  <c r="BI187" i="35"/>
  <c r="BH187" i="35"/>
  <c r="BG187" i="35"/>
  <c r="BF187" i="35"/>
  <c r="T187" i="35"/>
  <c r="R187" i="35"/>
  <c r="P187" i="35"/>
  <c r="J187" i="35"/>
  <c r="BE187" i="35" s="1"/>
  <c r="BK181" i="35"/>
  <c r="BI181" i="35"/>
  <c r="BH181" i="35"/>
  <c r="BG181" i="35"/>
  <c r="BF181" i="35"/>
  <c r="BE181" i="35"/>
  <c r="T181" i="35"/>
  <c r="R181" i="35"/>
  <c r="P181" i="35"/>
  <c r="J181" i="35"/>
  <c r="BK177" i="35"/>
  <c r="BI177" i="35"/>
  <c r="BH177" i="35"/>
  <c r="BG177" i="35"/>
  <c r="BF177" i="35"/>
  <c r="T177" i="35"/>
  <c r="T172" i="35" s="1"/>
  <c r="R177" i="35"/>
  <c r="P177" i="35"/>
  <c r="J177" i="35"/>
  <c r="BE177" i="35" s="1"/>
  <c r="BK173" i="35"/>
  <c r="BK172" i="35" s="1"/>
  <c r="J172" i="35" s="1"/>
  <c r="J62" i="35" s="1"/>
  <c r="BI173" i="35"/>
  <c r="BH173" i="35"/>
  <c r="BG173" i="35"/>
  <c r="BF173" i="35"/>
  <c r="BE173" i="35"/>
  <c r="T173" i="35"/>
  <c r="R173" i="35"/>
  <c r="P173" i="35"/>
  <c r="J173" i="35"/>
  <c r="BK170" i="35"/>
  <c r="BI170" i="35"/>
  <c r="BH170" i="35"/>
  <c r="BG170" i="35"/>
  <c r="BF170" i="35"/>
  <c r="T170" i="35"/>
  <c r="R170" i="35"/>
  <c r="P170" i="35"/>
  <c r="J170" i="35"/>
  <c r="BE170" i="35" s="1"/>
  <c r="BK166" i="35"/>
  <c r="BI166" i="35"/>
  <c r="BH166" i="35"/>
  <c r="BG166" i="35"/>
  <c r="BF166" i="35"/>
  <c r="BE166" i="35"/>
  <c r="T166" i="35"/>
  <c r="R166" i="35"/>
  <c r="P166" i="35"/>
  <c r="J166" i="35"/>
  <c r="BK164" i="35"/>
  <c r="BI164" i="35"/>
  <c r="BH164" i="35"/>
  <c r="BG164" i="35"/>
  <c r="BF164" i="35"/>
  <c r="T164" i="35"/>
  <c r="R164" i="35"/>
  <c r="P164" i="35"/>
  <c r="J164" i="35"/>
  <c r="BE164" i="35" s="1"/>
  <c r="BK161" i="35"/>
  <c r="BI161" i="35"/>
  <c r="BH161" i="35"/>
  <c r="BG161" i="35"/>
  <c r="BF161" i="35"/>
  <c r="T161" i="35"/>
  <c r="R161" i="35"/>
  <c r="P161" i="35"/>
  <c r="J161" i="35"/>
  <c r="BE161" i="35" s="1"/>
  <c r="BK159" i="35"/>
  <c r="BI159" i="35"/>
  <c r="BH159" i="35"/>
  <c r="BG159" i="35"/>
  <c r="BF159" i="35"/>
  <c r="T159" i="35"/>
  <c r="R159" i="35"/>
  <c r="P159" i="35"/>
  <c r="J159" i="35"/>
  <c r="BE159" i="35" s="1"/>
  <c r="BK153" i="35"/>
  <c r="BI153" i="35"/>
  <c r="BH153" i="35"/>
  <c r="BG153" i="35"/>
  <c r="BF153" i="35"/>
  <c r="T153" i="35"/>
  <c r="R153" i="35"/>
  <c r="P153" i="35"/>
  <c r="J153" i="35"/>
  <c r="BE153" i="35" s="1"/>
  <c r="BK150" i="35"/>
  <c r="BI150" i="35"/>
  <c r="BH150" i="35"/>
  <c r="BG150" i="35"/>
  <c r="BF150" i="35"/>
  <c r="BE150" i="35"/>
  <c r="T150" i="35"/>
  <c r="R150" i="35"/>
  <c r="P150" i="35"/>
  <c r="J150" i="35"/>
  <c r="BK148" i="35"/>
  <c r="BI148" i="35"/>
  <c r="BH148" i="35"/>
  <c r="BG148" i="35"/>
  <c r="BF148" i="35"/>
  <c r="T148" i="35"/>
  <c r="R148" i="35"/>
  <c r="P148" i="35"/>
  <c r="J148" i="35"/>
  <c r="BE148" i="35" s="1"/>
  <c r="BK145" i="35"/>
  <c r="BI145" i="35"/>
  <c r="BH145" i="35"/>
  <c r="BG145" i="35"/>
  <c r="BF145" i="35"/>
  <c r="T145" i="35"/>
  <c r="R145" i="35"/>
  <c r="P145" i="35"/>
  <c r="J145" i="35"/>
  <c r="BE145" i="35" s="1"/>
  <c r="BK143" i="35"/>
  <c r="BI143" i="35"/>
  <c r="BH143" i="35"/>
  <c r="BG143" i="35"/>
  <c r="BF143" i="35"/>
  <c r="BE143" i="35"/>
  <c r="T143" i="35"/>
  <c r="R143" i="35"/>
  <c r="P143" i="35"/>
  <c r="J143" i="35"/>
  <c r="BK141" i="35"/>
  <c r="BI141" i="35"/>
  <c r="BH141" i="35"/>
  <c r="BG141" i="35"/>
  <c r="BF141" i="35"/>
  <c r="T141" i="35"/>
  <c r="R141" i="35"/>
  <c r="P141" i="35"/>
  <c r="J141" i="35"/>
  <c r="BE141" i="35" s="1"/>
  <c r="BK135" i="35"/>
  <c r="BI135" i="35"/>
  <c r="BH135" i="35"/>
  <c r="BG135" i="35"/>
  <c r="BF135" i="35"/>
  <c r="T135" i="35"/>
  <c r="R135" i="35"/>
  <c r="P135" i="35"/>
  <c r="J135" i="35"/>
  <c r="BE135" i="35" s="1"/>
  <c r="BK120" i="35"/>
  <c r="BI120" i="35"/>
  <c r="BH120" i="35"/>
  <c r="BG120" i="35"/>
  <c r="BF120" i="35"/>
  <c r="T120" i="35"/>
  <c r="R120" i="35"/>
  <c r="P120" i="35"/>
  <c r="J120" i="35"/>
  <c r="BE120" i="35" s="1"/>
  <c r="BK105" i="35"/>
  <c r="BI105" i="35"/>
  <c r="BH105" i="35"/>
  <c r="BG105" i="35"/>
  <c r="BF105" i="35"/>
  <c r="T105" i="35"/>
  <c r="R105" i="35"/>
  <c r="P105" i="35"/>
  <c r="J105" i="35"/>
  <c r="BE105" i="35" s="1"/>
  <c r="BK90" i="35"/>
  <c r="BI90" i="35"/>
  <c r="BH90" i="35"/>
  <c r="BG90" i="35"/>
  <c r="BF90" i="35"/>
  <c r="BE90" i="35"/>
  <c r="T90" i="35"/>
  <c r="T89" i="35" s="1"/>
  <c r="T88" i="35" s="1"/>
  <c r="R90" i="35"/>
  <c r="P90" i="35"/>
  <c r="J90" i="35"/>
  <c r="J84" i="35"/>
  <c r="J83" i="35"/>
  <c r="F81" i="35"/>
  <c r="E79" i="35"/>
  <c r="J55" i="35"/>
  <c r="F55" i="35"/>
  <c r="J54" i="35"/>
  <c r="F54" i="35"/>
  <c r="J52" i="35"/>
  <c r="F52" i="35"/>
  <c r="E50" i="35"/>
  <c r="E48" i="35"/>
  <c r="J37" i="35"/>
  <c r="J36" i="35"/>
  <c r="J35" i="35"/>
  <c r="F84" i="35" s="1"/>
  <c r="F83" i="35" s="1"/>
  <c r="J81" i="35" s="1"/>
  <c r="E77" i="35" s="1"/>
  <c r="F36" i="35" l="1"/>
  <c r="J34" i="35"/>
  <c r="F35" i="35"/>
  <c r="P210" i="35"/>
  <c r="R210" i="35"/>
  <c r="F37" i="35"/>
  <c r="T210" i="35"/>
  <c r="BK210" i="35"/>
  <c r="J210" i="35" s="1"/>
  <c r="J65" i="35" s="1"/>
  <c r="R205" i="35"/>
  <c r="R172" i="35"/>
  <c r="BK205" i="35"/>
  <c r="J205" i="35" s="1"/>
  <c r="J64" i="35" s="1"/>
  <c r="T87" i="35"/>
  <c r="BK89" i="35"/>
  <c r="P172" i="35"/>
  <c r="P89" i="35"/>
  <c r="P88" i="35" s="1"/>
  <c r="P87" i="35" s="1"/>
  <c r="R89" i="35"/>
  <c r="R88" i="35" s="1"/>
  <c r="R87" i="35" s="1"/>
  <c r="J33" i="35"/>
  <c r="J89" i="35"/>
  <c r="J61" i="35" s="1"/>
  <c r="BK88" i="35"/>
  <c r="F33" i="35"/>
  <c r="F34" i="35"/>
  <c r="J88" i="35" l="1"/>
  <c r="J60" i="35" s="1"/>
  <c r="BK87" i="35"/>
  <c r="J87" i="35" s="1"/>
  <c r="J30" i="35" l="1"/>
  <c r="J39" i="35" s="1"/>
  <c r="J59" i="35"/>
  <c r="E12" i="34" l="1"/>
  <c r="E13" i="34"/>
  <c r="E14" i="34"/>
  <c r="E15" i="34"/>
  <c r="E16" i="34"/>
  <c r="E17" i="34"/>
  <c r="E11" i="34"/>
  <c r="C10" i="26"/>
  <c r="C11" i="26"/>
  <c r="C12" i="26"/>
  <c r="C13" i="26"/>
  <c r="C14" i="26"/>
  <c r="C15" i="26"/>
  <c r="F38" i="34" l="1"/>
  <c r="G38" i="34" s="1"/>
  <c r="D10" i="26"/>
  <c r="E10" i="26" s="1"/>
  <c r="D15" i="26"/>
  <c r="F15" i="34"/>
  <c r="D17" i="34"/>
  <c r="F16" i="34"/>
  <c r="D16" i="34"/>
  <c r="F14" i="34"/>
  <c r="F13" i="34"/>
  <c r="F12" i="34"/>
  <c r="F11" i="34"/>
  <c r="G10" i="33"/>
  <c r="I10" i="33" s="1"/>
  <c r="B15" i="33"/>
  <c r="B23" i="33" s="1"/>
  <c r="G15" i="33"/>
  <c r="I15" i="33" s="1"/>
  <c r="B19" i="33"/>
  <c r="I19" i="33"/>
  <c r="O19" i="33" s="1"/>
  <c r="I23" i="33"/>
  <c r="O23" i="33" s="1"/>
  <c r="G27" i="33"/>
  <c r="I27" i="33" s="1"/>
  <c r="O27" i="33" s="1"/>
  <c r="G31" i="33"/>
  <c r="I31" i="33" s="1"/>
  <c r="O31" i="33" s="1"/>
  <c r="G35" i="33"/>
  <c r="I35" i="33" s="1"/>
  <c r="O35" i="33" s="1"/>
  <c r="G39" i="33"/>
  <c r="I39" i="33" s="1"/>
  <c r="O39" i="33" s="1"/>
  <c r="G44" i="33"/>
  <c r="I44" i="33"/>
  <c r="O44" i="33" s="1"/>
  <c r="G48" i="33"/>
  <c r="I48" i="33" s="1"/>
  <c r="G53" i="33"/>
  <c r="I53" i="33"/>
  <c r="O53" i="33" s="1"/>
  <c r="I57" i="33"/>
  <c r="O57" i="33" s="1"/>
  <c r="G61" i="33"/>
  <c r="I61" i="33" s="1"/>
  <c r="I65" i="33"/>
  <c r="O65" i="33" s="1"/>
  <c r="G69" i="33"/>
  <c r="I69" i="33" s="1"/>
  <c r="O69" i="33" s="1"/>
  <c r="G73" i="33"/>
  <c r="I73" i="33"/>
  <c r="O73" i="33" s="1"/>
  <c r="G77" i="33"/>
  <c r="I77" i="33" s="1"/>
  <c r="O77" i="33" s="1"/>
  <c r="G81" i="33"/>
  <c r="I81" i="33"/>
  <c r="O81" i="33" s="1"/>
  <c r="G85" i="33"/>
  <c r="I85" i="33" s="1"/>
  <c r="O85" i="33" s="1"/>
  <c r="I89" i="33"/>
  <c r="O89" i="33" s="1"/>
  <c r="G93" i="33"/>
  <c r="I93" i="33" s="1"/>
  <c r="O93" i="33" s="1"/>
  <c r="I97" i="33"/>
  <c r="I98" i="33"/>
  <c r="O98" i="33" s="1"/>
  <c r="I103" i="33"/>
  <c r="O103" i="33" s="1"/>
  <c r="I107" i="33"/>
  <c r="O107" i="33" s="1"/>
  <c r="I111" i="33"/>
  <c r="O111" i="33" s="1"/>
  <c r="I115" i="33"/>
  <c r="O115" i="33" s="1"/>
  <c r="I119" i="33"/>
  <c r="O119" i="33" s="1"/>
  <c r="G123" i="33"/>
  <c r="I123" i="33" s="1"/>
  <c r="O123" i="33" s="1"/>
  <c r="G127" i="33"/>
  <c r="I127" i="33" s="1"/>
  <c r="O127" i="33" s="1"/>
  <c r="I131" i="33"/>
  <c r="O131" i="33" s="1"/>
  <c r="G135" i="33"/>
  <c r="I135" i="33"/>
  <c r="O135" i="33" s="1"/>
  <c r="G139" i="33"/>
  <c r="I139" i="33" s="1"/>
  <c r="O139" i="33" s="1"/>
  <c r="I134" i="32"/>
  <c r="O134" i="32" s="1"/>
  <c r="G130" i="32"/>
  <c r="I130" i="32" s="1"/>
  <c r="O130" i="32" s="1"/>
  <c r="G126" i="32"/>
  <c r="I126" i="32" s="1"/>
  <c r="I122" i="32"/>
  <c r="O122" i="32" s="1"/>
  <c r="G122" i="32"/>
  <c r="I118" i="32"/>
  <c r="O118" i="32" s="1"/>
  <c r="I114" i="32"/>
  <c r="O114" i="32" s="1"/>
  <c r="I110" i="32"/>
  <c r="O110" i="32" s="1"/>
  <c r="I106" i="32"/>
  <c r="O106" i="32" s="1"/>
  <c r="G101" i="32"/>
  <c r="I101" i="32" s="1"/>
  <c r="O101" i="32" s="1"/>
  <c r="I97" i="32"/>
  <c r="O97" i="32" s="1"/>
  <c r="I93" i="32"/>
  <c r="O93" i="32" s="1"/>
  <c r="I89" i="32"/>
  <c r="O89" i="32" s="1"/>
  <c r="I85" i="32"/>
  <c r="O85" i="32" s="1"/>
  <c r="G81" i="32"/>
  <c r="I81" i="32" s="1"/>
  <c r="I77" i="32"/>
  <c r="O77" i="32" s="1"/>
  <c r="I73" i="32"/>
  <c r="O73" i="32" s="1"/>
  <c r="I69" i="32"/>
  <c r="O69" i="32" s="1"/>
  <c r="I65" i="32"/>
  <c r="O65" i="32" s="1"/>
  <c r="B65" i="32"/>
  <c r="I61" i="32"/>
  <c r="O61" i="32" s="1"/>
  <c r="I56" i="32"/>
  <c r="O56" i="32" s="1"/>
  <c r="G52" i="32"/>
  <c r="I52" i="32" s="1"/>
  <c r="I47" i="32"/>
  <c r="O47" i="32" s="1"/>
  <c r="I43" i="32"/>
  <c r="O43" i="32" s="1"/>
  <c r="I39" i="32"/>
  <c r="O39" i="32" s="1"/>
  <c r="G39" i="32"/>
  <c r="I35" i="32"/>
  <c r="O35" i="32" s="1"/>
  <c r="G35" i="32"/>
  <c r="I31" i="32"/>
  <c r="O31" i="32" s="1"/>
  <c r="G27" i="32"/>
  <c r="I27" i="32" s="1"/>
  <c r="I23" i="32"/>
  <c r="O23" i="32" s="1"/>
  <c r="I19" i="32"/>
  <c r="O19" i="32" s="1"/>
  <c r="I14" i="32"/>
  <c r="O14" i="32" s="1"/>
  <c r="G10" i="32"/>
  <c r="I10" i="32" s="1"/>
  <c r="I49" i="31"/>
  <c r="O49" i="31" s="1"/>
  <c r="I45" i="31"/>
  <c r="O45" i="31" s="1"/>
  <c r="I44" i="31"/>
  <c r="I40" i="31"/>
  <c r="O40" i="31" s="1"/>
  <c r="I36" i="31"/>
  <c r="O36" i="31" s="1"/>
  <c r="I32" i="31"/>
  <c r="O32" i="31" s="1"/>
  <c r="I31" i="31"/>
  <c r="I27" i="31"/>
  <c r="O27" i="31" s="1"/>
  <c r="I23" i="31"/>
  <c r="O23" i="31" s="1"/>
  <c r="I19" i="31"/>
  <c r="O19" i="31" s="1"/>
  <c r="I15" i="31"/>
  <c r="O15" i="31" s="1"/>
  <c r="I14" i="31"/>
  <c r="I10" i="31"/>
  <c r="O10" i="31" s="1"/>
  <c r="I9" i="31"/>
  <c r="I48" i="30"/>
  <c r="O48" i="30" s="1"/>
  <c r="I44" i="30"/>
  <c r="O44" i="30" s="1"/>
  <c r="I43" i="30"/>
  <c r="I39" i="30"/>
  <c r="O39" i="30" s="1"/>
  <c r="O35" i="30"/>
  <c r="I35" i="30"/>
  <c r="I31" i="30"/>
  <c r="O31" i="30" s="1"/>
  <c r="I30" i="30"/>
  <c r="I26" i="30"/>
  <c r="O26" i="30" s="1"/>
  <c r="I22" i="30"/>
  <c r="O22" i="30" s="1"/>
  <c r="I19" i="30"/>
  <c r="O19" i="30" s="1"/>
  <c r="I15" i="30"/>
  <c r="O15" i="30" s="1"/>
  <c r="I14" i="30"/>
  <c r="I10" i="30"/>
  <c r="O10" i="30" s="1"/>
  <c r="I9" i="30"/>
  <c r="I78" i="29"/>
  <c r="O78" i="29" s="1"/>
  <c r="I74" i="29"/>
  <c r="O74" i="29" s="1"/>
  <c r="I70" i="29"/>
  <c r="O70" i="29" s="1"/>
  <c r="I66" i="29"/>
  <c r="O66" i="29" s="1"/>
  <c r="I65" i="29"/>
  <c r="I61" i="29"/>
  <c r="O61" i="29" s="1"/>
  <c r="I57" i="29"/>
  <c r="O57" i="29" s="1"/>
  <c r="I53" i="29"/>
  <c r="O53" i="29" s="1"/>
  <c r="I49" i="29"/>
  <c r="O49" i="29" s="1"/>
  <c r="I45" i="29"/>
  <c r="O45" i="29" s="1"/>
  <c r="I41" i="29"/>
  <c r="O41" i="29" s="1"/>
  <c r="I37" i="29"/>
  <c r="O37" i="29" s="1"/>
  <c r="I36" i="29"/>
  <c r="I32" i="29"/>
  <c r="O32" i="29" s="1"/>
  <c r="I31" i="29"/>
  <c r="I27" i="29"/>
  <c r="O27" i="29" s="1"/>
  <c r="I23" i="29"/>
  <c r="O23" i="29" s="1"/>
  <c r="I19" i="29"/>
  <c r="O19" i="29" s="1"/>
  <c r="I15" i="29"/>
  <c r="O15" i="29" s="1"/>
  <c r="I14" i="29"/>
  <c r="I10" i="29"/>
  <c r="O10" i="29" s="1"/>
  <c r="I9" i="29"/>
  <c r="I13" i="28"/>
  <c r="O13" i="28" s="1"/>
  <c r="I10" i="28"/>
  <c r="O10" i="28" s="1"/>
  <c r="I9" i="28"/>
  <c r="I3" i="28" s="1"/>
  <c r="I19" i="27"/>
  <c r="O19" i="27" s="1"/>
  <c r="I16" i="27"/>
  <c r="O16" i="27" s="1"/>
  <c r="I13" i="27"/>
  <c r="O13" i="27" s="1"/>
  <c r="I10" i="27"/>
  <c r="O10" i="27" s="1"/>
  <c r="I9" i="27"/>
  <c r="I3" i="27" s="1"/>
  <c r="B16" i="26"/>
  <c r="B15" i="26"/>
  <c r="D14" i="26"/>
  <c r="D13" i="26"/>
  <c r="D12" i="26"/>
  <c r="D11" i="26" l="1"/>
  <c r="E11" i="26" s="1"/>
  <c r="I3" i="31"/>
  <c r="I3" i="30"/>
  <c r="I3" i="29"/>
  <c r="I43" i="33"/>
  <c r="O48" i="33"/>
  <c r="O52" i="32"/>
  <c r="I51" i="32"/>
  <c r="E15" i="26"/>
  <c r="E13" i="26"/>
  <c r="E14" i="26"/>
  <c r="E12" i="26"/>
  <c r="B27" i="33"/>
  <c r="G12" i="34"/>
  <c r="G13" i="34"/>
  <c r="G14" i="34"/>
  <c r="G15" i="34"/>
  <c r="G11" i="34"/>
  <c r="G16" i="34"/>
  <c r="I14" i="33"/>
  <c r="O15" i="33"/>
  <c r="I102" i="33"/>
  <c r="O61" i="33"/>
  <c r="I52" i="33"/>
  <c r="I9" i="33"/>
  <c r="O10" i="33"/>
  <c r="I60" i="32"/>
  <c r="O81" i="32"/>
  <c r="O27" i="32"/>
  <c r="I18" i="32"/>
  <c r="I9" i="32"/>
  <c r="O10" i="32"/>
  <c r="I105" i="32"/>
  <c r="O126" i="32"/>
  <c r="B69" i="32"/>
  <c r="B73" i="32"/>
  <c r="I3" i="32" l="1"/>
  <c r="F17" i="34"/>
  <c r="F18" i="34" s="1"/>
  <c r="I3" i="33"/>
  <c r="B31" i="33"/>
  <c r="B35" i="33"/>
  <c r="B77" i="32"/>
  <c r="C16" i="26" l="1"/>
  <c r="D16" i="26" s="1"/>
  <c r="B39" i="33"/>
  <c r="B81" i="32"/>
  <c r="B85" i="32"/>
  <c r="E18" i="34" l="1"/>
  <c r="AG67" i="1" s="1"/>
  <c r="G17" i="34"/>
  <c r="E7" i="34"/>
  <c r="E16" i="26"/>
  <c r="C7" i="26" s="1"/>
  <c r="C6" i="26"/>
  <c r="B44" i="33"/>
  <c r="B89" i="32"/>
  <c r="B93" i="32" s="1"/>
  <c r="G18" i="34" l="1"/>
  <c r="AN67" i="1" s="1"/>
  <c r="E8" i="34"/>
  <c r="B48" i="33"/>
  <c r="B53" i="33" s="1"/>
  <c r="B97" i="32"/>
  <c r="B101" i="32" s="1"/>
  <c r="B57" i="33" l="1"/>
  <c r="B106" i="32"/>
  <c r="B110" i="32"/>
  <c r="B114" i="32" s="1"/>
  <c r="B118" i="32" s="1"/>
  <c r="B122" i="32" s="1"/>
  <c r="B126" i="32" s="1"/>
  <c r="B130" i="32" s="1"/>
  <c r="B61" i="33" l="1"/>
  <c r="B134" i="32"/>
  <c r="B65" i="33" l="1"/>
  <c r="E61" i="7"/>
  <c r="E61" i="23"/>
  <c r="G77" i="23"/>
  <c r="G75" i="23"/>
  <c r="E74" i="23"/>
  <c r="E73" i="23"/>
  <c r="G73" i="23" s="1"/>
  <c r="E72" i="23"/>
  <c r="G72" i="23" s="1"/>
  <c r="E71" i="23"/>
  <c r="G71" i="23" s="1"/>
  <c r="E70" i="23"/>
  <c r="G70" i="23" s="1"/>
  <c r="E69" i="23"/>
  <c r="E65" i="23"/>
  <c r="G65" i="23" s="1"/>
  <c r="E64" i="23"/>
  <c r="G64" i="23" s="1"/>
  <c r="E63" i="23"/>
  <c r="G63" i="23" s="1"/>
  <c r="E62" i="23"/>
  <c r="E60" i="23"/>
  <c r="E59" i="23"/>
  <c r="E58" i="23"/>
  <c r="E57" i="23"/>
  <c r="E56" i="23"/>
  <c r="E55" i="23"/>
  <c r="E54" i="23"/>
  <c r="E53" i="23"/>
  <c r="E52" i="23"/>
  <c r="E51" i="23"/>
  <c r="G51" i="23" s="1"/>
  <c r="E50" i="23"/>
  <c r="G50" i="23" s="1"/>
  <c r="E49" i="23"/>
  <c r="G49" i="23" s="1"/>
  <c r="E48" i="23"/>
  <c r="G48" i="23" s="1"/>
  <c r="E47" i="23"/>
  <c r="G47" i="23" s="1"/>
  <c r="E28" i="23"/>
  <c r="E27" i="23"/>
  <c r="G27" i="23" s="1"/>
  <c r="E26" i="23"/>
  <c r="G26" i="23" s="1"/>
  <c r="E21" i="23"/>
  <c r="G21" i="23" s="1"/>
  <c r="E11" i="23"/>
  <c r="E10" i="23"/>
  <c r="E74" i="7"/>
  <c r="E73" i="7"/>
  <c r="E72" i="7"/>
  <c r="E71" i="7"/>
  <c r="E70" i="7"/>
  <c r="E69" i="7"/>
  <c r="E65" i="7"/>
  <c r="E64" i="7"/>
  <c r="E63" i="7"/>
  <c r="E62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28" i="7"/>
  <c r="E27" i="7"/>
  <c r="E26" i="7"/>
  <c r="E21" i="7"/>
  <c r="E11" i="7"/>
  <c r="E10" i="7"/>
  <c r="G76" i="23"/>
  <c r="G74" i="23"/>
  <c r="G69" i="23"/>
  <c r="G62" i="23"/>
  <c r="G61" i="23"/>
  <c r="G60" i="23"/>
  <c r="G59" i="23"/>
  <c r="G58" i="23"/>
  <c r="G57" i="23"/>
  <c r="G56" i="23"/>
  <c r="G55" i="23"/>
  <c r="G54" i="23"/>
  <c r="G53" i="23"/>
  <c r="G52" i="23"/>
  <c r="G43" i="23"/>
  <c r="G39" i="23"/>
  <c r="G38" i="23"/>
  <c r="G37" i="23"/>
  <c r="G33" i="23"/>
  <c r="G32" i="23"/>
  <c r="G28" i="23"/>
  <c r="G25" i="23"/>
  <c r="G20" i="23"/>
  <c r="G16" i="23"/>
  <c r="G15" i="23"/>
  <c r="G11" i="23"/>
  <c r="G10" i="23"/>
  <c r="E53" i="8"/>
  <c r="E54" i="8"/>
  <c r="E54" i="22"/>
  <c r="E55" i="22"/>
  <c r="E58" i="8"/>
  <c r="E57" i="8"/>
  <c r="E56" i="8"/>
  <c r="E8" i="8"/>
  <c r="E18" i="22"/>
  <c r="E18" i="8"/>
  <c r="E9" i="8"/>
  <c r="E60" i="22"/>
  <c r="G60" i="22" s="1"/>
  <c r="E59" i="22"/>
  <c r="G59" i="22" s="1"/>
  <c r="E58" i="22"/>
  <c r="G58" i="22" s="1"/>
  <c r="E9" i="22"/>
  <c r="E8" i="22"/>
  <c r="G57" i="22"/>
  <c r="G56" i="22"/>
  <c r="G55" i="22"/>
  <c r="G54" i="22"/>
  <c r="G50" i="22"/>
  <c r="G49" i="22"/>
  <c r="G48" i="22"/>
  <c r="G47" i="22"/>
  <c r="G46" i="22"/>
  <c r="G45" i="22"/>
  <c r="G44" i="22"/>
  <c r="G40" i="22"/>
  <c r="G39" i="22"/>
  <c r="G38" i="22"/>
  <c r="G34" i="22"/>
  <c r="G33" i="22"/>
  <c r="G32" i="22"/>
  <c r="G28" i="22"/>
  <c r="G27" i="22"/>
  <c r="G26" i="22"/>
  <c r="G25" i="22"/>
  <c r="G24" i="22"/>
  <c r="G23" i="22"/>
  <c r="G19" i="22"/>
  <c r="G18" i="22"/>
  <c r="G14" i="22"/>
  <c r="G13" i="22"/>
  <c r="G9" i="22"/>
  <c r="G8" i="22"/>
  <c r="H442" i="20"/>
  <c r="BI442" i="20" s="1"/>
  <c r="H440" i="20"/>
  <c r="BI440" i="20" s="1"/>
  <c r="H436" i="20"/>
  <c r="BI436" i="20" s="1"/>
  <c r="H433" i="20"/>
  <c r="BI433" i="20" s="1"/>
  <c r="H429" i="20"/>
  <c r="R429" i="20" s="1"/>
  <c r="H427" i="20"/>
  <c r="BI427" i="20" s="1"/>
  <c r="H425" i="20"/>
  <c r="H410" i="20"/>
  <c r="H407" i="20"/>
  <c r="H393" i="20"/>
  <c r="H392" i="20"/>
  <c r="H390" i="20"/>
  <c r="BI390" i="20" s="1"/>
  <c r="H389" i="20"/>
  <c r="H388" i="20"/>
  <c r="T388" i="20" s="1"/>
  <c r="H386" i="20"/>
  <c r="H381" i="20"/>
  <c r="H378" i="20"/>
  <c r="H377" i="20"/>
  <c r="H374" i="20"/>
  <c r="H373" i="20"/>
  <c r="H369" i="20"/>
  <c r="T369" i="20" s="1"/>
  <c r="H366" i="20"/>
  <c r="H364" i="20"/>
  <c r="H350" i="20"/>
  <c r="J350" i="20" s="1"/>
  <c r="BC350" i="20" s="1"/>
  <c r="H349" i="20"/>
  <c r="H348" i="20"/>
  <c r="T348" i="20" s="1"/>
  <c r="H347" i="20"/>
  <c r="H344" i="20"/>
  <c r="BI344" i="20" s="1"/>
  <c r="H343" i="20"/>
  <c r="H329" i="20"/>
  <c r="R329" i="20" s="1"/>
  <c r="H328" i="20"/>
  <c r="H323" i="20"/>
  <c r="H322" i="20"/>
  <c r="H291" i="20"/>
  <c r="H289" i="20"/>
  <c r="H288" i="20"/>
  <c r="H286" i="20"/>
  <c r="T286" i="20" s="1"/>
  <c r="H285" i="20"/>
  <c r="H271" i="20"/>
  <c r="BI271" i="20" s="1"/>
  <c r="H269" i="20"/>
  <c r="H268" i="20"/>
  <c r="H259" i="20"/>
  <c r="H258" i="20"/>
  <c r="H256" i="20"/>
  <c r="H254" i="20"/>
  <c r="H253" i="20"/>
  <c r="H251" i="20"/>
  <c r="H250" i="20"/>
  <c r="H248" i="20"/>
  <c r="P248" i="20" s="1"/>
  <c r="H246" i="20"/>
  <c r="BI246" i="20" s="1"/>
  <c r="H245" i="20"/>
  <c r="H234" i="20"/>
  <c r="BI234" i="20" s="1"/>
  <c r="H232" i="20"/>
  <c r="T232" i="20" s="1"/>
  <c r="H231" i="20"/>
  <c r="H224" i="20"/>
  <c r="BI224" i="20" s="1"/>
  <c r="H223" i="20"/>
  <c r="H220" i="20"/>
  <c r="H219" i="20"/>
  <c r="H210" i="20"/>
  <c r="H209" i="20"/>
  <c r="H200" i="20"/>
  <c r="H199" i="20"/>
  <c r="H190" i="20"/>
  <c r="H189" i="20"/>
  <c r="H183" i="20"/>
  <c r="H182" i="20"/>
  <c r="H171" i="20"/>
  <c r="H170" i="20"/>
  <c r="H164" i="20"/>
  <c r="H163" i="20"/>
  <c r="H152" i="20"/>
  <c r="H151" i="20"/>
  <c r="H145" i="20"/>
  <c r="H144" i="20"/>
  <c r="H133" i="20"/>
  <c r="R133" i="20" s="1"/>
  <c r="H132" i="20"/>
  <c r="H125" i="20"/>
  <c r="BI125" i="20" s="1"/>
  <c r="H124" i="20"/>
  <c r="H119" i="20"/>
  <c r="BI119" i="20" s="1"/>
  <c r="H118" i="20"/>
  <c r="H91" i="20"/>
  <c r="BI91" i="20" s="1"/>
  <c r="H472" i="4"/>
  <c r="H470" i="4"/>
  <c r="H466" i="4"/>
  <c r="H463" i="4"/>
  <c r="H457" i="4"/>
  <c r="H455" i="4"/>
  <c r="H451" i="4"/>
  <c r="H436" i="4"/>
  <c r="H433" i="4"/>
  <c r="H411" i="4"/>
  <c r="H410" i="4"/>
  <c r="H408" i="4"/>
  <c r="H407" i="4"/>
  <c r="H406" i="4"/>
  <c r="H404" i="4"/>
  <c r="H387" i="4"/>
  <c r="H384" i="4"/>
  <c r="H383" i="4"/>
  <c r="H380" i="4"/>
  <c r="H379" i="4"/>
  <c r="H375" i="4"/>
  <c r="H372" i="4"/>
  <c r="H370" i="4"/>
  <c r="H356" i="4"/>
  <c r="H355" i="4"/>
  <c r="H353" i="4"/>
  <c r="H352" i="4"/>
  <c r="H348" i="4"/>
  <c r="H347" i="4"/>
  <c r="H333" i="4"/>
  <c r="H332" i="4"/>
  <c r="H327" i="4"/>
  <c r="H326" i="4"/>
  <c r="H295" i="4"/>
  <c r="H293" i="4"/>
  <c r="H292" i="4"/>
  <c r="H290" i="4"/>
  <c r="H289" i="4"/>
  <c r="H275" i="4"/>
  <c r="H273" i="4"/>
  <c r="H272" i="4"/>
  <c r="H263" i="4"/>
  <c r="H262" i="4"/>
  <c r="H260" i="4"/>
  <c r="H258" i="4"/>
  <c r="H257" i="4"/>
  <c r="H255" i="4"/>
  <c r="H254" i="4"/>
  <c r="H252" i="4"/>
  <c r="H250" i="4"/>
  <c r="H249" i="4"/>
  <c r="H238" i="4"/>
  <c r="H236" i="4"/>
  <c r="H235" i="4"/>
  <c r="H228" i="4"/>
  <c r="H227" i="4"/>
  <c r="H224" i="4"/>
  <c r="H223" i="4"/>
  <c r="H214" i="4"/>
  <c r="H213" i="4"/>
  <c r="H204" i="4"/>
  <c r="H203" i="4"/>
  <c r="H194" i="4"/>
  <c r="H193" i="4"/>
  <c r="H187" i="4"/>
  <c r="H186" i="4"/>
  <c r="H175" i="4"/>
  <c r="H174" i="4"/>
  <c r="H168" i="4"/>
  <c r="H167" i="4"/>
  <c r="H156" i="4"/>
  <c r="H155" i="4"/>
  <c r="H149" i="4"/>
  <c r="H148" i="4"/>
  <c r="H137" i="4"/>
  <c r="H132" i="4"/>
  <c r="H125" i="4"/>
  <c r="H124" i="4"/>
  <c r="H119" i="4"/>
  <c r="H118" i="4"/>
  <c r="H91" i="4"/>
  <c r="H101" i="3"/>
  <c r="BG442" i="20"/>
  <c r="BF442" i="20"/>
  <c r="BE442" i="20"/>
  <c r="BD442" i="20"/>
  <c r="BC442" i="20"/>
  <c r="BG440" i="20"/>
  <c r="BF440" i="20"/>
  <c r="BE440" i="20"/>
  <c r="BD440" i="20"/>
  <c r="BC440" i="20"/>
  <c r="J440" i="20"/>
  <c r="BI438" i="20"/>
  <c r="BG438" i="20"/>
  <c r="BF438" i="20"/>
  <c r="BE438" i="20"/>
  <c r="BD438" i="20"/>
  <c r="BC438" i="20"/>
  <c r="J438" i="20"/>
  <c r="BG436" i="20"/>
  <c r="BF436" i="20"/>
  <c r="BE436" i="20"/>
  <c r="BD436" i="20"/>
  <c r="BC436" i="20"/>
  <c r="J436" i="20"/>
  <c r="BG433" i="20"/>
  <c r="BF433" i="20"/>
  <c r="BE433" i="20"/>
  <c r="BD433" i="20"/>
  <c r="P433" i="20"/>
  <c r="J433" i="20"/>
  <c r="BC433" i="20" s="1"/>
  <c r="BI429" i="20"/>
  <c r="BG429" i="20"/>
  <c r="BF429" i="20"/>
  <c r="BE429" i="20"/>
  <c r="BD429" i="20"/>
  <c r="T429" i="20"/>
  <c r="BG427" i="20"/>
  <c r="BF427" i="20"/>
  <c r="BE427" i="20"/>
  <c r="BD427" i="20"/>
  <c r="R427" i="20"/>
  <c r="BI410" i="20"/>
  <c r="BG410" i="20"/>
  <c r="BF410" i="20"/>
  <c r="BE410" i="20"/>
  <c r="BD410" i="20"/>
  <c r="T410" i="20"/>
  <c r="R410" i="20"/>
  <c r="P410" i="20"/>
  <c r="J410" i="20"/>
  <c r="BC410" i="20" s="1"/>
  <c r="BI407" i="20"/>
  <c r="BG407" i="20"/>
  <c r="BF407" i="20"/>
  <c r="BE407" i="20"/>
  <c r="BD407" i="20"/>
  <c r="T407" i="20"/>
  <c r="R407" i="20"/>
  <c r="P407" i="20"/>
  <c r="J407" i="20"/>
  <c r="BC407" i="20" s="1"/>
  <c r="BI406" i="20"/>
  <c r="BG406" i="20"/>
  <c r="BF406" i="20"/>
  <c r="BE406" i="20"/>
  <c r="BD406" i="20"/>
  <c r="T406" i="20"/>
  <c r="R406" i="20"/>
  <c r="P406" i="20"/>
  <c r="J406" i="20"/>
  <c r="BC406" i="20" s="1"/>
  <c r="BI404" i="20"/>
  <c r="BG404" i="20"/>
  <c r="BF404" i="20"/>
  <c r="BE404" i="20"/>
  <c r="BD404" i="20"/>
  <c r="T404" i="20"/>
  <c r="R404" i="20"/>
  <c r="P404" i="20"/>
  <c r="J404" i="20"/>
  <c r="BC404" i="20" s="1"/>
  <c r="BI402" i="20"/>
  <c r="BG402" i="20"/>
  <c r="BF402" i="20"/>
  <c r="BE402" i="20"/>
  <c r="BD402" i="20"/>
  <c r="T402" i="20"/>
  <c r="R402" i="20"/>
  <c r="P402" i="20"/>
  <c r="J402" i="20"/>
  <c r="BC402" i="20" s="1"/>
  <c r="BI401" i="20"/>
  <c r="BG401" i="20"/>
  <c r="BF401" i="20"/>
  <c r="BE401" i="20"/>
  <c r="BD401" i="20"/>
  <c r="T401" i="20"/>
  <c r="R401" i="20"/>
  <c r="P401" i="20"/>
  <c r="J401" i="20"/>
  <c r="BC401" i="20" s="1"/>
  <c r="BI399" i="20"/>
  <c r="BG399" i="20"/>
  <c r="BF399" i="20"/>
  <c r="BE399" i="20"/>
  <c r="BD399" i="20"/>
  <c r="T399" i="20"/>
  <c r="R399" i="20"/>
  <c r="P399" i="20"/>
  <c r="J399" i="20"/>
  <c r="BC399" i="20" s="1"/>
  <c r="BI397" i="20"/>
  <c r="BG397" i="20"/>
  <c r="BF397" i="20"/>
  <c r="BE397" i="20"/>
  <c r="BD397" i="20"/>
  <c r="T397" i="20"/>
  <c r="R397" i="20"/>
  <c r="P397" i="20"/>
  <c r="J397" i="20"/>
  <c r="BC397" i="20" s="1"/>
  <c r="BI396" i="20"/>
  <c r="BG396" i="20"/>
  <c r="BF396" i="20"/>
  <c r="BE396" i="20"/>
  <c r="BD396" i="20"/>
  <c r="T396" i="20"/>
  <c r="R396" i="20"/>
  <c r="P396" i="20"/>
  <c r="J396" i="20"/>
  <c r="BC396" i="20" s="1"/>
  <c r="BI394" i="20"/>
  <c r="BG394" i="20"/>
  <c r="BF394" i="20"/>
  <c r="BE394" i="20"/>
  <c r="BD394" i="20"/>
  <c r="T394" i="20"/>
  <c r="R394" i="20"/>
  <c r="P394" i="20"/>
  <c r="J394" i="20"/>
  <c r="BC394" i="20" s="1"/>
  <c r="BI392" i="20"/>
  <c r="BG392" i="20"/>
  <c r="BF392" i="20"/>
  <c r="BE392" i="20"/>
  <c r="BD392" i="20"/>
  <c r="T392" i="20"/>
  <c r="R392" i="20"/>
  <c r="P392" i="20"/>
  <c r="J392" i="20"/>
  <c r="BC392" i="20" s="1"/>
  <c r="BG390" i="20"/>
  <c r="BF390" i="20"/>
  <c r="BE390" i="20"/>
  <c r="BD390" i="20"/>
  <c r="R390" i="20"/>
  <c r="P390" i="20"/>
  <c r="J390" i="20"/>
  <c r="BC390" i="20" s="1"/>
  <c r="BI388" i="20"/>
  <c r="BG388" i="20"/>
  <c r="BF388" i="20"/>
  <c r="BE388" i="20"/>
  <c r="BD388" i="20"/>
  <c r="BI386" i="20"/>
  <c r="BG386" i="20"/>
  <c r="BF386" i="20"/>
  <c r="BE386" i="20"/>
  <c r="BD386" i="20"/>
  <c r="T386" i="20"/>
  <c r="R386" i="20"/>
  <c r="P386" i="20"/>
  <c r="J386" i="20"/>
  <c r="BC386" i="20" s="1"/>
  <c r="BI385" i="20"/>
  <c r="BG385" i="20"/>
  <c r="BF385" i="20"/>
  <c r="BE385" i="20"/>
  <c r="BD385" i="20"/>
  <c r="T385" i="20"/>
  <c r="R385" i="20"/>
  <c r="P385" i="20"/>
  <c r="J385" i="20"/>
  <c r="BC385" i="20" s="1"/>
  <c r="BI383" i="20"/>
  <c r="BG383" i="20"/>
  <c r="BF383" i="20"/>
  <c r="BE383" i="20"/>
  <c r="BD383" i="20"/>
  <c r="T383" i="20"/>
  <c r="R383" i="20"/>
  <c r="P383" i="20"/>
  <c r="J383" i="20"/>
  <c r="BC383" i="20" s="1"/>
  <c r="BI378" i="20"/>
  <c r="BG378" i="20"/>
  <c r="BF378" i="20"/>
  <c r="BE378" i="20"/>
  <c r="BD378" i="20"/>
  <c r="T378" i="20"/>
  <c r="R378" i="20"/>
  <c r="P378" i="20"/>
  <c r="J378" i="20"/>
  <c r="BC378" i="20" s="1"/>
  <c r="BI374" i="20"/>
  <c r="BG374" i="20"/>
  <c r="BF374" i="20"/>
  <c r="BE374" i="20"/>
  <c r="BD374" i="20"/>
  <c r="T374" i="20"/>
  <c r="R374" i="20"/>
  <c r="P374" i="20"/>
  <c r="J374" i="20"/>
  <c r="BC374" i="20" s="1"/>
  <c r="BI369" i="20"/>
  <c r="BG369" i="20"/>
  <c r="BF369" i="20"/>
  <c r="BE369" i="20"/>
  <c r="BD369" i="20"/>
  <c r="R369" i="20"/>
  <c r="P369" i="20"/>
  <c r="J369" i="20"/>
  <c r="BC369" i="20" s="1"/>
  <c r="BI366" i="20"/>
  <c r="BI365" i="20" s="1"/>
  <c r="J365" i="20" s="1"/>
  <c r="J62" i="20" s="1"/>
  <c r="BG366" i="20"/>
  <c r="BF366" i="20"/>
  <c r="BE366" i="20"/>
  <c r="BD366" i="20"/>
  <c r="T366" i="20"/>
  <c r="T365" i="20" s="1"/>
  <c r="R366" i="20"/>
  <c r="R365" i="20" s="1"/>
  <c r="P366" i="20"/>
  <c r="P365" i="20" s="1"/>
  <c r="J366" i="20"/>
  <c r="BC366" i="20" s="1"/>
  <c r="BG350" i="20"/>
  <c r="BF350" i="20"/>
  <c r="BE350" i="20"/>
  <c r="BD350" i="20"/>
  <c r="BG348" i="20"/>
  <c r="BF348" i="20"/>
  <c r="BE348" i="20"/>
  <c r="BD348" i="20"/>
  <c r="BG344" i="20"/>
  <c r="BF344" i="20"/>
  <c r="BE344" i="20"/>
  <c r="BD344" i="20"/>
  <c r="R344" i="20"/>
  <c r="P344" i="20"/>
  <c r="J344" i="20"/>
  <c r="BC344" i="20" s="1"/>
  <c r="BI329" i="20"/>
  <c r="BG329" i="20"/>
  <c r="BF329" i="20"/>
  <c r="BE329" i="20"/>
  <c r="BD329" i="20"/>
  <c r="T329" i="20"/>
  <c r="BI323" i="20"/>
  <c r="BG323" i="20"/>
  <c r="BF323" i="20"/>
  <c r="BE323" i="20"/>
  <c r="BD323" i="20"/>
  <c r="T323" i="20"/>
  <c r="R323" i="20"/>
  <c r="P323" i="20"/>
  <c r="J323" i="20"/>
  <c r="BC323" i="20" s="1"/>
  <c r="BI291" i="20"/>
  <c r="BG291" i="20"/>
  <c r="BF291" i="20"/>
  <c r="BE291" i="20"/>
  <c r="BD291" i="20"/>
  <c r="T291" i="20"/>
  <c r="R291" i="20"/>
  <c r="P291" i="20"/>
  <c r="J291" i="20"/>
  <c r="BC291" i="20" s="1"/>
  <c r="BI289" i="20"/>
  <c r="BG289" i="20"/>
  <c r="BF289" i="20"/>
  <c r="BE289" i="20"/>
  <c r="BD289" i="20"/>
  <c r="T289" i="20"/>
  <c r="R289" i="20"/>
  <c r="P289" i="20"/>
  <c r="J289" i="20"/>
  <c r="BC289" i="20" s="1"/>
  <c r="BI286" i="20"/>
  <c r="BG286" i="20"/>
  <c r="BF286" i="20"/>
  <c r="BE286" i="20"/>
  <c r="BD286" i="20"/>
  <c r="BG271" i="20"/>
  <c r="BF271" i="20"/>
  <c r="BE271" i="20"/>
  <c r="BD271" i="20"/>
  <c r="T271" i="20"/>
  <c r="R271" i="20"/>
  <c r="P271" i="20"/>
  <c r="J271" i="20"/>
  <c r="BC271" i="20" s="1"/>
  <c r="BI269" i="20"/>
  <c r="BG269" i="20"/>
  <c r="BF269" i="20"/>
  <c r="BE269" i="20"/>
  <c r="BD269" i="20"/>
  <c r="T269" i="20"/>
  <c r="R269" i="20"/>
  <c r="P269" i="20"/>
  <c r="J269" i="20"/>
  <c r="BC269" i="20" s="1"/>
  <c r="BI259" i="20"/>
  <c r="BG259" i="20"/>
  <c r="BF259" i="20"/>
  <c r="BE259" i="20"/>
  <c r="BD259" i="20"/>
  <c r="T259" i="20"/>
  <c r="R259" i="20"/>
  <c r="P259" i="20"/>
  <c r="J259" i="20"/>
  <c r="BC259" i="20" s="1"/>
  <c r="BI256" i="20"/>
  <c r="BG256" i="20"/>
  <c r="BF256" i="20"/>
  <c r="BE256" i="20"/>
  <c r="BD256" i="20"/>
  <c r="T256" i="20"/>
  <c r="R256" i="20"/>
  <c r="P256" i="20"/>
  <c r="J256" i="20"/>
  <c r="BC256" i="20" s="1"/>
  <c r="BI254" i="20"/>
  <c r="BG254" i="20"/>
  <c r="BF254" i="20"/>
  <c r="BE254" i="20"/>
  <c r="BD254" i="20"/>
  <c r="T254" i="20"/>
  <c r="R254" i="20"/>
  <c r="P254" i="20"/>
  <c r="J254" i="20"/>
  <c r="BC254" i="20" s="1"/>
  <c r="BI251" i="20"/>
  <c r="BG251" i="20"/>
  <c r="BF251" i="20"/>
  <c r="BE251" i="20"/>
  <c r="BD251" i="20"/>
  <c r="T251" i="20"/>
  <c r="R251" i="20"/>
  <c r="P251" i="20"/>
  <c r="J251" i="20"/>
  <c r="BC251" i="20" s="1"/>
  <c r="BI248" i="20"/>
  <c r="BG248" i="20"/>
  <c r="BF248" i="20"/>
  <c r="BE248" i="20"/>
  <c r="BD248" i="20"/>
  <c r="BG246" i="20"/>
  <c r="BF246" i="20"/>
  <c r="BE246" i="20"/>
  <c r="BD246" i="20"/>
  <c r="BG234" i="20"/>
  <c r="BF234" i="20"/>
  <c r="BE234" i="20"/>
  <c r="BD234" i="20"/>
  <c r="P234" i="20"/>
  <c r="BI232" i="20"/>
  <c r="BG232" i="20"/>
  <c r="BF232" i="20"/>
  <c r="BE232" i="20"/>
  <c r="BD232" i="20"/>
  <c r="BG224" i="20"/>
  <c r="BF224" i="20"/>
  <c r="BE224" i="20"/>
  <c r="BD224" i="20"/>
  <c r="T224" i="20"/>
  <c r="J224" i="20"/>
  <c r="BC224" i="20" s="1"/>
  <c r="BI220" i="20"/>
  <c r="BG220" i="20"/>
  <c r="BF220" i="20"/>
  <c r="BE220" i="20"/>
  <c r="BD220" i="20"/>
  <c r="T220" i="20"/>
  <c r="R220" i="20"/>
  <c r="P220" i="20"/>
  <c r="J220" i="20"/>
  <c r="BC220" i="20" s="1"/>
  <c r="BI210" i="20"/>
  <c r="BG210" i="20"/>
  <c r="BF210" i="20"/>
  <c r="BE210" i="20"/>
  <c r="BD210" i="20"/>
  <c r="T210" i="20"/>
  <c r="R210" i="20"/>
  <c r="P210" i="20"/>
  <c r="J210" i="20"/>
  <c r="BC210" i="20" s="1"/>
  <c r="BI200" i="20"/>
  <c r="BG200" i="20"/>
  <c r="BF200" i="20"/>
  <c r="BE200" i="20"/>
  <c r="BD200" i="20"/>
  <c r="T200" i="20"/>
  <c r="R200" i="20"/>
  <c r="P200" i="20"/>
  <c r="J200" i="20"/>
  <c r="BC200" i="20" s="1"/>
  <c r="BI190" i="20"/>
  <c r="BG190" i="20"/>
  <c r="BF190" i="20"/>
  <c r="BE190" i="20"/>
  <c r="BD190" i="20"/>
  <c r="T190" i="20"/>
  <c r="R190" i="20"/>
  <c r="P190" i="20"/>
  <c r="J190" i="20"/>
  <c r="BC190" i="20" s="1"/>
  <c r="BI183" i="20"/>
  <c r="BG183" i="20"/>
  <c r="BF183" i="20"/>
  <c r="BE183" i="20"/>
  <c r="BD183" i="20"/>
  <c r="T183" i="20"/>
  <c r="R183" i="20"/>
  <c r="P183" i="20"/>
  <c r="J183" i="20"/>
  <c r="BC183" i="20" s="1"/>
  <c r="BI171" i="20"/>
  <c r="BG171" i="20"/>
  <c r="BF171" i="20"/>
  <c r="BE171" i="20"/>
  <c r="BD171" i="20"/>
  <c r="T171" i="20"/>
  <c r="R171" i="20"/>
  <c r="P171" i="20"/>
  <c r="J171" i="20"/>
  <c r="BC171" i="20" s="1"/>
  <c r="BI164" i="20"/>
  <c r="BG164" i="20"/>
  <c r="BF164" i="20"/>
  <c r="BE164" i="20"/>
  <c r="BD164" i="20"/>
  <c r="T164" i="20"/>
  <c r="R164" i="20"/>
  <c r="P164" i="20"/>
  <c r="J164" i="20"/>
  <c r="BC164" i="20" s="1"/>
  <c r="BI152" i="20"/>
  <c r="BG152" i="20"/>
  <c r="BF152" i="20"/>
  <c r="BE152" i="20"/>
  <c r="BD152" i="20"/>
  <c r="T152" i="20"/>
  <c r="R152" i="20"/>
  <c r="P152" i="20"/>
  <c r="J152" i="20"/>
  <c r="BC152" i="20" s="1"/>
  <c r="BI145" i="20"/>
  <c r="BG145" i="20"/>
  <c r="BF145" i="20"/>
  <c r="BE145" i="20"/>
  <c r="BD145" i="20"/>
  <c r="T145" i="20"/>
  <c r="R145" i="20"/>
  <c r="P145" i="20"/>
  <c r="J145" i="20"/>
  <c r="BC145" i="20" s="1"/>
  <c r="BG133" i="20"/>
  <c r="BF133" i="20"/>
  <c r="BE133" i="20"/>
  <c r="BD133" i="20"/>
  <c r="BG125" i="20"/>
  <c r="BF125" i="20"/>
  <c r="BE125" i="20"/>
  <c r="BD125" i="20"/>
  <c r="BG119" i="20"/>
  <c r="BF119" i="20"/>
  <c r="BE119" i="20"/>
  <c r="BD119" i="20"/>
  <c r="T119" i="20"/>
  <c r="R119" i="20"/>
  <c r="P119" i="20"/>
  <c r="J119" i="20"/>
  <c r="BC119" i="20" s="1"/>
  <c r="BG91" i="20"/>
  <c r="BF91" i="20"/>
  <c r="BE91" i="20"/>
  <c r="BD91" i="20"/>
  <c r="J85" i="20"/>
  <c r="J84" i="20"/>
  <c r="F82" i="20"/>
  <c r="E80" i="20"/>
  <c r="J55" i="20"/>
  <c r="J54" i="20"/>
  <c r="F52" i="20"/>
  <c r="E50" i="20"/>
  <c r="J37" i="20"/>
  <c r="J36" i="20"/>
  <c r="J35" i="20"/>
  <c r="J18" i="20"/>
  <c r="E18" i="20"/>
  <c r="F55" i="20" s="1"/>
  <c r="J17" i="20"/>
  <c r="J15" i="20"/>
  <c r="E15" i="20"/>
  <c r="F54" i="20" s="1"/>
  <c r="J14" i="20"/>
  <c r="J12" i="20"/>
  <c r="J52" i="20" s="1"/>
  <c r="E7" i="20"/>
  <c r="E48" i="20" s="1"/>
  <c r="H365" i="19"/>
  <c r="H209" i="3"/>
  <c r="H195" i="19"/>
  <c r="BJ195" i="19" s="1"/>
  <c r="H416" i="19"/>
  <c r="H414" i="19"/>
  <c r="H413" i="19"/>
  <c r="H412" i="19"/>
  <c r="H411" i="19"/>
  <c r="J411" i="19" s="1"/>
  <c r="H409" i="19"/>
  <c r="BJ409" i="19" s="1"/>
  <c r="H407" i="19"/>
  <c r="J407" i="19" s="1"/>
  <c r="H401" i="19"/>
  <c r="J401" i="19" s="1"/>
  <c r="H399" i="19"/>
  <c r="BJ399" i="19" s="1"/>
  <c r="H392" i="19"/>
  <c r="H390" i="19"/>
  <c r="J390" i="19" s="1"/>
  <c r="H366" i="19"/>
  <c r="J366" i="19" s="1"/>
  <c r="H360" i="19"/>
  <c r="H321" i="19"/>
  <c r="H320" i="19"/>
  <c r="H318" i="19"/>
  <c r="BJ318" i="19" s="1"/>
  <c r="H317" i="19"/>
  <c r="H316" i="19"/>
  <c r="BJ316" i="19" s="1"/>
  <c r="H314" i="19"/>
  <c r="BJ314" i="19" s="1"/>
  <c r="H313" i="19"/>
  <c r="H312" i="19"/>
  <c r="BJ312" i="19" s="1"/>
  <c r="H310" i="19"/>
  <c r="J310" i="19" s="1"/>
  <c r="H309" i="19"/>
  <c r="H308" i="19"/>
  <c r="J308" i="19" s="1"/>
  <c r="H306" i="19"/>
  <c r="H305" i="19"/>
  <c r="H289" i="19"/>
  <c r="H288" i="19"/>
  <c r="H286" i="19"/>
  <c r="H285" i="19"/>
  <c r="BJ285" i="19" s="1"/>
  <c r="H279" i="19"/>
  <c r="H273" i="19"/>
  <c r="J273" i="19" s="1"/>
  <c r="H272" i="19"/>
  <c r="H264" i="19"/>
  <c r="BJ264" i="19" s="1"/>
  <c r="H263" i="19"/>
  <c r="H257" i="19"/>
  <c r="H256" i="19"/>
  <c r="H250" i="19"/>
  <c r="H249" i="19"/>
  <c r="H240" i="19"/>
  <c r="H239" i="19"/>
  <c r="H232" i="19"/>
  <c r="J232" i="19" s="1"/>
  <c r="H229" i="19"/>
  <c r="J229" i="19" s="1"/>
  <c r="H227" i="19"/>
  <c r="H216" i="19"/>
  <c r="BJ216" i="19" s="1"/>
  <c r="H214" i="19"/>
  <c r="J214" i="19" s="1"/>
  <c r="H213" i="19"/>
  <c r="H202" i="19"/>
  <c r="J202" i="19" s="1"/>
  <c r="H200" i="19"/>
  <c r="BJ200" i="19" s="1"/>
  <c r="H197" i="19"/>
  <c r="H193" i="19"/>
  <c r="J193" i="19" s="1"/>
  <c r="H192" i="19"/>
  <c r="H186" i="19"/>
  <c r="J186" i="19" s="1"/>
  <c r="H185" i="19"/>
  <c r="H183" i="19"/>
  <c r="BJ183" i="19" s="1"/>
  <c r="H181" i="19"/>
  <c r="BJ181" i="19" s="1"/>
  <c r="H180" i="19"/>
  <c r="H178" i="19"/>
  <c r="BJ178" i="19" s="1"/>
  <c r="H176" i="19"/>
  <c r="J176" i="19" s="1"/>
  <c r="H174" i="19"/>
  <c r="BJ174" i="19" s="1"/>
  <c r="H173" i="19"/>
  <c r="H167" i="19"/>
  <c r="BJ167" i="19" s="1"/>
  <c r="H165" i="19"/>
  <c r="BJ165" i="19" s="1"/>
  <c r="H164" i="19"/>
  <c r="H154" i="19"/>
  <c r="J154" i="19" s="1"/>
  <c r="H153" i="19"/>
  <c r="H133" i="19"/>
  <c r="BJ133" i="19" s="1"/>
  <c r="H132" i="19"/>
  <c r="H112" i="19"/>
  <c r="BJ112" i="19" s="1"/>
  <c r="H111" i="19"/>
  <c r="H91" i="19"/>
  <c r="BJ91" i="19" s="1"/>
  <c r="H453" i="3"/>
  <c r="H451" i="3"/>
  <c r="H450" i="3"/>
  <c r="H449" i="3"/>
  <c r="H448" i="3"/>
  <c r="H446" i="3"/>
  <c r="H444" i="3"/>
  <c r="H438" i="3"/>
  <c r="H436" i="3"/>
  <c r="H429" i="3"/>
  <c r="H427" i="3"/>
  <c r="H401" i="3"/>
  <c r="H400" i="3"/>
  <c r="H395" i="3"/>
  <c r="H347" i="3"/>
  <c r="H346" i="3"/>
  <c r="H344" i="3"/>
  <c r="H343" i="3"/>
  <c r="H342" i="3"/>
  <c r="H340" i="3"/>
  <c r="H339" i="3"/>
  <c r="H338" i="3"/>
  <c r="H336" i="3"/>
  <c r="H335" i="3"/>
  <c r="H334" i="3"/>
  <c r="H332" i="3"/>
  <c r="H331" i="3"/>
  <c r="H313" i="3"/>
  <c r="H312" i="3"/>
  <c r="H310" i="3"/>
  <c r="H309" i="3"/>
  <c r="H293" i="3"/>
  <c r="H183" i="2"/>
  <c r="H181" i="2"/>
  <c r="H164" i="18"/>
  <c r="H162" i="18"/>
  <c r="H299" i="3"/>
  <c r="H292" i="3"/>
  <c r="H284" i="3"/>
  <c r="H283" i="3"/>
  <c r="H277" i="3"/>
  <c r="H270" i="3"/>
  <c r="H264" i="3"/>
  <c r="H263" i="3"/>
  <c r="H254" i="3"/>
  <c r="H253" i="3"/>
  <c r="H246" i="3"/>
  <c r="H243" i="3"/>
  <c r="H241" i="3"/>
  <c r="H230" i="3"/>
  <c r="H228" i="3"/>
  <c r="H227" i="3"/>
  <c r="H216" i="3"/>
  <c r="H214" i="3"/>
  <c r="H212" i="3"/>
  <c r="H211" i="3"/>
  <c r="H207" i="3"/>
  <c r="H206" i="3"/>
  <c r="H200" i="3"/>
  <c r="H199" i="3"/>
  <c r="H197" i="3"/>
  <c r="H195" i="3"/>
  <c r="H194" i="3"/>
  <c r="H192" i="3"/>
  <c r="H190" i="3"/>
  <c r="H188" i="3"/>
  <c r="H187" i="3"/>
  <c r="H181" i="3"/>
  <c r="H179" i="3"/>
  <c r="H178" i="3"/>
  <c r="H168" i="3"/>
  <c r="H163" i="3"/>
  <c r="H143" i="3"/>
  <c r="H142" i="3"/>
  <c r="H122" i="3"/>
  <c r="H121" i="3"/>
  <c r="BJ416" i="19"/>
  <c r="BH416" i="19"/>
  <c r="BG416" i="19"/>
  <c r="BF416" i="19"/>
  <c r="BE416" i="19"/>
  <c r="BD416" i="19"/>
  <c r="J416" i="19"/>
  <c r="BJ414" i="19"/>
  <c r="BH414" i="19"/>
  <c r="BG414" i="19"/>
  <c r="BF414" i="19"/>
  <c r="BE414" i="19"/>
  <c r="BD414" i="19"/>
  <c r="J414" i="19"/>
  <c r="BJ412" i="19"/>
  <c r="BH412" i="19"/>
  <c r="BG412" i="19"/>
  <c r="BF412" i="19"/>
  <c r="BE412" i="19"/>
  <c r="BD412" i="19"/>
  <c r="J412" i="19"/>
  <c r="BJ411" i="19"/>
  <c r="BH411" i="19"/>
  <c r="BG411" i="19"/>
  <c r="BF411" i="19"/>
  <c r="BE411" i="19"/>
  <c r="BD411" i="19"/>
  <c r="BH409" i="19"/>
  <c r="BG409" i="19"/>
  <c r="BF409" i="19"/>
  <c r="BE409" i="19"/>
  <c r="BD409" i="19"/>
  <c r="J409" i="19"/>
  <c r="BJ407" i="19"/>
  <c r="BH407" i="19"/>
  <c r="BG407" i="19"/>
  <c r="BF407" i="19"/>
  <c r="BE407" i="19"/>
  <c r="BD407" i="19"/>
  <c r="BJ405" i="19"/>
  <c r="BH405" i="19"/>
  <c r="BG405" i="19"/>
  <c r="BF405" i="19"/>
  <c r="BE405" i="19"/>
  <c r="BD405" i="19"/>
  <c r="J405" i="19"/>
  <c r="BJ401" i="19"/>
  <c r="BH401" i="19"/>
  <c r="BG401" i="19"/>
  <c r="BF401" i="19"/>
  <c r="BE401" i="19"/>
  <c r="BD401" i="19"/>
  <c r="BH399" i="19"/>
  <c r="BG399" i="19"/>
  <c r="BF399" i="19"/>
  <c r="BE399" i="19"/>
  <c r="BD399" i="19"/>
  <c r="BJ396" i="19"/>
  <c r="BH396" i="19"/>
  <c r="BG396" i="19"/>
  <c r="BF396" i="19"/>
  <c r="BE396" i="19"/>
  <c r="BD396" i="19"/>
  <c r="J396" i="19"/>
  <c r="BJ394" i="19"/>
  <c r="BH394" i="19"/>
  <c r="BG394" i="19"/>
  <c r="BF394" i="19"/>
  <c r="BE394" i="19"/>
  <c r="BD394" i="19"/>
  <c r="J394" i="19"/>
  <c r="BJ392" i="19"/>
  <c r="BH392" i="19"/>
  <c r="BG392" i="19"/>
  <c r="BF392" i="19"/>
  <c r="BE392" i="19"/>
  <c r="BD392" i="19"/>
  <c r="J392" i="19"/>
  <c r="BJ390" i="19"/>
  <c r="BH390" i="19"/>
  <c r="BG390" i="19"/>
  <c r="BF390" i="19"/>
  <c r="BE390" i="19"/>
  <c r="BD390" i="19"/>
  <c r="BJ388" i="19"/>
  <c r="BH388" i="19"/>
  <c r="BG388" i="19"/>
  <c r="BF388" i="19"/>
  <c r="BE388" i="19"/>
  <c r="BD388" i="19"/>
  <c r="J388" i="19"/>
  <c r="BJ387" i="19"/>
  <c r="BH387" i="19"/>
  <c r="BG387" i="19"/>
  <c r="BF387" i="19"/>
  <c r="BE387" i="19"/>
  <c r="BD387" i="19"/>
  <c r="J387" i="19"/>
  <c r="BJ385" i="19"/>
  <c r="BH385" i="19"/>
  <c r="BG385" i="19"/>
  <c r="BF385" i="19"/>
  <c r="BE385" i="19"/>
  <c r="BD385" i="19"/>
  <c r="J385" i="19"/>
  <c r="BJ383" i="19"/>
  <c r="BH383" i="19"/>
  <c r="BG383" i="19"/>
  <c r="BF383" i="19"/>
  <c r="BE383" i="19"/>
  <c r="BD383" i="19"/>
  <c r="J383" i="19"/>
  <c r="BJ382" i="19"/>
  <c r="BH382" i="19"/>
  <c r="BG382" i="19"/>
  <c r="BF382" i="19"/>
  <c r="BE382" i="19"/>
  <c r="BD382" i="19"/>
  <c r="J382" i="19"/>
  <c r="BJ380" i="19"/>
  <c r="BH380" i="19"/>
  <c r="BG380" i="19"/>
  <c r="BF380" i="19"/>
  <c r="BE380" i="19"/>
  <c r="BD380" i="19"/>
  <c r="J380" i="19"/>
  <c r="BJ379" i="19"/>
  <c r="BH379" i="19"/>
  <c r="BG379" i="19"/>
  <c r="BF379" i="19"/>
  <c r="BE379" i="19"/>
  <c r="BD379" i="19"/>
  <c r="J379" i="19"/>
  <c r="BJ377" i="19"/>
  <c r="BH377" i="19"/>
  <c r="BG377" i="19"/>
  <c r="BF377" i="19"/>
  <c r="BE377" i="19"/>
  <c r="BD377" i="19"/>
  <c r="J377" i="19"/>
  <c r="BJ376" i="19"/>
  <c r="BH376" i="19"/>
  <c r="BG376" i="19"/>
  <c r="BF376" i="19"/>
  <c r="BE376" i="19"/>
  <c r="BD376" i="19"/>
  <c r="J376" i="19"/>
  <c r="BJ375" i="19"/>
  <c r="BH375" i="19"/>
  <c r="BG375" i="19"/>
  <c r="BF375" i="19"/>
  <c r="BE375" i="19"/>
  <c r="BD375" i="19"/>
  <c r="J375" i="19"/>
  <c r="BJ373" i="19"/>
  <c r="BH373" i="19"/>
  <c r="BG373" i="19"/>
  <c r="BF373" i="19"/>
  <c r="BE373" i="19"/>
  <c r="BD373" i="19"/>
  <c r="J373" i="19"/>
  <c r="BJ372" i="19"/>
  <c r="BH372" i="19"/>
  <c r="BG372" i="19"/>
  <c r="BF372" i="19"/>
  <c r="BE372" i="19"/>
  <c r="BD372" i="19"/>
  <c r="J372" i="19"/>
  <c r="BJ371" i="19"/>
  <c r="BH371" i="19"/>
  <c r="BG371" i="19"/>
  <c r="BF371" i="19"/>
  <c r="BE371" i="19"/>
  <c r="BD371" i="19"/>
  <c r="J371" i="19"/>
  <c r="BJ370" i="19"/>
  <c r="BH370" i="19"/>
  <c r="BG370" i="19"/>
  <c r="BF370" i="19"/>
  <c r="BE370" i="19"/>
  <c r="BD370" i="19"/>
  <c r="J370" i="19"/>
  <c r="BJ368" i="19"/>
  <c r="BH368" i="19"/>
  <c r="BG368" i="19"/>
  <c r="BF368" i="19"/>
  <c r="BE368" i="19"/>
  <c r="BD368" i="19"/>
  <c r="J368" i="19"/>
  <c r="BJ366" i="19"/>
  <c r="BH366" i="19"/>
  <c r="BG366" i="19"/>
  <c r="BF366" i="19"/>
  <c r="BE366" i="19"/>
  <c r="BD366" i="19"/>
  <c r="BJ360" i="19"/>
  <c r="BH360" i="19"/>
  <c r="BG360" i="19"/>
  <c r="BF360" i="19"/>
  <c r="BE360" i="19"/>
  <c r="BD360" i="19"/>
  <c r="J360" i="19"/>
  <c r="BJ359" i="19"/>
  <c r="BH359" i="19"/>
  <c r="BG359" i="19"/>
  <c r="BF359" i="19"/>
  <c r="BE359" i="19"/>
  <c r="BD359" i="19"/>
  <c r="J359" i="19"/>
  <c r="BJ358" i="19"/>
  <c r="BH358" i="19"/>
  <c r="BG358" i="19"/>
  <c r="BF358" i="19"/>
  <c r="BE358" i="19"/>
  <c r="BD358" i="19"/>
  <c r="J358" i="19"/>
  <c r="BJ356" i="19"/>
  <c r="BH356" i="19"/>
  <c r="BG356" i="19"/>
  <c r="BF356" i="19"/>
  <c r="BE356" i="19"/>
  <c r="BD356" i="19"/>
  <c r="J356" i="19"/>
  <c r="BJ354" i="19"/>
  <c r="BH354" i="19"/>
  <c r="BG354" i="19"/>
  <c r="BF354" i="19"/>
  <c r="BE354" i="19"/>
  <c r="BD354" i="19"/>
  <c r="J354" i="19"/>
  <c r="BJ352" i="19"/>
  <c r="BH352" i="19"/>
  <c r="BG352" i="19"/>
  <c r="BF352" i="19"/>
  <c r="BE352" i="19"/>
  <c r="BD352" i="19"/>
  <c r="J352" i="19"/>
  <c r="BJ351" i="19"/>
  <c r="BH351" i="19"/>
  <c r="BG351" i="19"/>
  <c r="BF351" i="19"/>
  <c r="BE351" i="19"/>
  <c r="BD351" i="19"/>
  <c r="J351" i="19"/>
  <c r="BJ350" i="19"/>
  <c r="BH350" i="19"/>
  <c r="BG350" i="19"/>
  <c r="BF350" i="19"/>
  <c r="BE350" i="19"/>
  <c r="BD350" i="19"/>
  <c r="J350" i="19"/>
  <c r="BJ348" i="19"/>
  <c r="BH348" i="19"/>
  <c r="BG348" i="19"/>
  <c r="BF348" i="19"/>
  <c r="BE348" i="19"/>
  <c r="BD348" i="19"/>
  <c r="J348" i="19"/>
  <c r="BJ347" i="19"/>
  <c r="BH347" i="19"/>
  <c r="BG347" i="19"/>
  <c r="BF347" i="19"/>
  <c r="BE347" i="19"/>
  <c r="BD347" i="19"/>
  <c r="J347" i="19"/>
  <c r="BJ346" i="19"/>
  <c r="BH346" i="19"/>
  <c r="BG346" i="19"/>
  <c r="BF346" i="19"/>
  <c r="BE346" i="19"/>
  <c r="BD346" i="19"/>
  <c r="J346" i="19"/>
  <c r="BJ344" i="19"/>
  <c r="BH344" i="19"/>
  <c r="BG344" i="19"/>
  <c r="BF344" i="19"/>
  <c r="BE344" i="19"/>
  <c r="BD344" i="19"/>
  <c r="J344" i="19"/>
  <c r="BJ343" i="19"/>
  <c r="BH343" i="19"/>
  <c r="BG343" i="19"/>
  <c r="BF343" i="19"/>
  <c r="BE343" i="19"/>
  <c r="BD343" i="19"/>
  <c r="J343" i="19"/>
  <c r="BJ341" i="19"/>
  <c r="BH341" i="19"/>
  <c r="BG341" i="19"/>
  <c r="BF341" i="19"/>
  <c r="BE341" i="19"/>
  <c r="BD341" i="19"/>
  <c r="J341" i="19"/>
  <c r="BJ340" i="19"/>
  <c r="BH340" i="19"/>
  <c r="BG340" i="19"/>
  <c r="BF340" i="19"/>
  <c r="BE340" i="19"/>
  <c r="BD340" i="19"/>
  <c r="J340" i="19"/>
  <c r="BJ338" i="19"/>
  <c r="BH338" i="19"/>
  <c r="BG338" i="19"/>
  <c r="BF338" i="19"/>
  <c r="BE338" i="19"/>
  <c r="BD338" i="19"/>
  <c r="J338" i="19"/>
  <c r="BJ337" i="19"/>
  <c r="BH337" i="19"/>
  <c r="BG337" i="19"/>
  <c r="BF337" i="19"/>
  <c r="BE337" i="19"/>
  <c r="BD337" i="19"/>
  <c r="J337" i="19"/>
  <c r="BJ335" i="19"/>
  <c r="BH335" i="19"/>
  <c r="BG335" i="19"/>
  <c r="BF335" i="19"/>
  <c r="BE335" i="19"/>
  <c r="BD335" i="19"/>
  <c r="J335" i="19"/>
  <c r="BJ334" i="19"/>
  <c r="BH334" i="19"/>
  <c r="BG334" i="19"/>
  <c r="BF334" i="19"/>
  <c r="BE334" i="19"/>
  <c r="BD334" i="19"/>
  <c r="J334" i="19"/>
  <c r="BJ333" i="19"/>
  <c r="BH333" i="19"/>
  <c r="BG333" i="19"/>
  <c r="BF333" i="19"/>
  <c r="BE333" i="19"/>
  <c r="BD333" i="19"/>
  <c r="J333" i="19"/>
  <c r="BJ332" i="19"/>
  <c r="BH332" i="19"/>
  <c r="BG332" i="19"/>
  <c r="BF332" i="19"/>
  <c r="BE332" i="19"/>
  <c r="BD332" i="19"/>
  <c r="J332" i="19"/>
  <c r="BJ331" i="19"/>
  <c r="BH331" i="19"/>
  <c r="BG331" i="19"/>
  <c r="BF331" i="19"/>
  <c r="BE331" i="19"/>
  <c r="BD331" i="19"/>
  <c r="J331" i="19"/>
  <c r="BJ330" i="19"/>
  <c r="BH330" i="19"/>
  <c r="BG330" i="19"/>
  <c r="BF330" i="19"/>
  <c r="BE330" i="19"/>
  <c r="BD330" i="19"/>
  <c r="J330" i="19"/>
  <c r="BJ328" i="19"/>
  <c r="BH328" i="19"/>
  <c r="BG328" i="19"/>
  <c r="BF328" i="19"/>
  <c r="BE328" i="19"/>
  <c r="BD328" i="19"/>
  <c r="J328" i="19"/>
  <c r="BJ327" i="19"/>
  <c r="BH327" i="19"/>
  <c r="BG327" i="19"/>
  <c r="BF327" i="19"/>
  <c r="BE327" i="19"/>
  <c r="BD327" i="19"/>
  <c r="J327" i="19"/>
  <c r="BJ325" i="19"/>
  <c r="BH325" i="19"/>
  <c r="BG325" i="19"/>
  <c r="BF325" i="19"/>
  <c r="BE325" i="19"/>
  <c r="BD325" i="19"/>
  <c r="J325" i="19"/>
  <c r="BJ324" i="19"/>
  <c r="BH324" i="19"/>
  <c r="BG324" i="19"/>
  <c r="BF324" i="19"/>
  <c r="BE324" i="19"/>
  <c r="BD324" i="19"/>
  <c r="J324" i="19"/>
  <c r="BJ322" i="19"/>
  <c r="BH322" i="19"/>
  <c r="BG322" i="19"/>
  <c r="BF322" i="19"/>
  <c r="BE322" i="19"/>
  <c r="BD322" i="19"/>
  <c r="J322" i="19"/>
  <c r="BJ320" i="19"/>
  <c r="BH320" i="19"/>
  <c r="BG320" i="19"/>
  <c r="BF320" i="19"/>
  <c r="BE320" i="19"/>
  <c r="BD320" i="19"/>
  <c r="J320" i="19"/>
  <c r="BH318" i="19"/>
  <c r="BG318" i="19"/>
  <c r="BF318" i="19"/>
  <c r="BE318" i="19"/>
  <c r="BD318" i="19"/>
  <c r="J318" i="19"/>
  <c r="BH316" i="19"/>
  <c r="BG316" i="19"/>
  <c r="BF316" i="19"/>
  <c r="BE316" i="19"/>
  <c r="BD316" i="19"/>
  <c r="BH314" i="19"/>
  <c r="BG314" i="19"/>
  <c r="BF314" i="19"/>
  <c r="BE314" i="19"/>
  <c r="BD314" i="19"/>
  <c r="BH312" i="19"/>
  <c r="BG312" i="19"/>
  <c r="BF312" i="19"/>
  <c r="BE312" i="19"/>
  <c r="BD312" i="19"/>
  <c r="BH310" i="19"/>
  <c r="BG310" i="19"/>
  <c r="BF310" i="19"/>
  <c r="BE310" i="19"/>
  <c r="BD310" i="19"/>
  <c r="BJ308" i="19"/>
  <c r="BH308" i="19"/>
  <c r="BG308" i="19"/>
  <c r="BF308" i="19"/>
  <c r="BE308" i="19"/>
  <c r="BD308" i="19"/>
  <c r="BJ306" i="19"/>
  <c r="BH306" i="19"/>
  <c r="BG306" i="19"/>
  <c r="BF306" i="19"/>
  <c r="BE306" i="19"/>
  <c r="BD306" i="19"/>
  <c r="J306" i="19"/>
  <c r="BJ305" i="19"/>
  <c r="BH305" i="19"/>
  <c r="BG305" i="19"/>
  <c r="BF305" i="19"/>
  <c r="BE305" i="19"/>
  <c r="BD305" i="19"/>
  <c r="J305" i="19"/>
  <c r="BJ304" i="19"/>
  <c r="BH304" i="19"/>
  <c r="BG304" i="19"/>
  <c r="BF304" i="19"/>
  <c r="BE304" i="19"/>
  <c r="BD304" i="19"/>
  <c r="J304" i="19"/>
  <c r="BJ303" i="19"/>
  <c r="BH303" i="19"/>
  <c r="BG303" i="19"/>
  <c r="BF303" i="19"/>
  <c r="BE303" i="19"/>
  <c r="BD303" i="19"/>
  <c r="J303" i="19"/>
  <c r="BJ301" i="19"/>
  <c r="BH301" i="19"/>
  <c r="BG301" i="19"/>
  <c r="BF301" i="19"/>
  <c r="BE301" i="19"/>
  <c r="BD301" i="19"/>
  <c r="J301" i="19"/>
  <c r="BJ300" i="19"/>
  <c r="BH300" i="19"/>
  <c r="BG300" i="19"/>
  <c r="BF300" i="19"/>
  <c r="BE300" i="19"/>
  <c r="BD300" i="19"/>
  <c r="J300" i="19"/>
  <c r="BJ298" i="19"/>
  <c r="BH298" i="19"/>
  <c r="BG298" i="19"/>
  <c r="BF298" i="19"/>
  <c r="BE298" i="19"/>
  <c r="BD298" i="19"/>
  <c r="J298" i="19"/>
  <c r="BJ297" i="19"/>
  <c r="BH297" i="19"/>
  <c r="BG297" i="19"/>
  <c r="BF297" i="19"/>
  <c r="BE297" i="19"/>
  <c r="BD297" i="19"/>
  <c r="J297" i="19"/>
  <c r="BJ296" i="19"/>
  <c r="BH296" i="19"/>
  <c r="BG296" i="19"/>
  <c r="BF296" i="19"/>
  <c r="BE296" i="19"/>
  <c r="BD296" i="19"/>
  <c r="J296" i="19"/>
  <c r="BJ294" i="19"/>
  <c r="BH294" i="19"/>
  <c r="BG294" i="19"/>
  <c r="BF294" i="19"/>
  <c r="BE294" i="19"/>
  <c r="BD294" i="19"/>
  <c r="J294" i="19"/>
  <c r="BJ293" i="19"/>
  <c r="BH293" i="19"/>
  <c r="BG293" i="19"/>
  <c r="BF293" i="19"/>
  <c r="BE293" i="19"/>
  <c r="BD293" i="19"/>
  <c r="J293" i="19"/>
  <c r="BJ291" i="19"/>
  <c r="BH291" i="19"/>
  <c r="BG291" i="19"/>
  <c r="BF291" i="19"/>
  <c r="BE291" i="19"/>
  <c r="BD291" i="19"/>
  <c r="J291" i="19"/>
  <c r="BJ290" i="19"/>
  <c r="BH290" i="19"/>
  <c r="BG290" i="19"/>
  <c r="BF290" i="19"/>
  <c r="BE290" i="19"/>
  <c r="BD290" i="19"/>
  <c r="J290" i="19"/>
  <c r="BJ288" i="19"/>
  <c r="BH288" i="19"/>
  <c r="BG288" i="19"/>
  <c r="BF288" i="19"/>
  <c r="BE288" i="19"/>
  <c r="BD288" i="19"/>
  <c r="J288" i="19"/>
  <c r="BJ286" i="19"/>
  <c r="BH286" i="19"/>
  <c r="BG286" i="19"/>
  <c r="BF286" i="19"/>
  <c r="BE286" i="19"/>
  <c r="BD286" i="19"/>
  <c r="J286" i="19"/>
  <c r="BH285" i="19"/>
  <c r="BG285" i="19"/>
  <c r="BF285" i="19"/>
  <c r="BE285" i="19"/>
  <c r="BD285" i="19"/>
  <c r="BJ284" i="19"/>
  <c r="BH284" i="19"/>
  <c r="BG284" i="19"/>
  <c r="BF284" i="19"/>
  <c r="BE284" i="19"/>
  <c r="BD284" i="19"/>
  <c r="J284" i="19"/>
  <c r="BJ283" i="19"/>
  <c r="BH283" i="19"/>
  <c r="BG283" i="19"/>
  <c r="BF283" i="19"/>
  <c r="BE283" i="19"/>
  <c r="BD283" i="19"/>
  <c r="J283" i="19"/>
  <c r="BJ281" i="19"/>
  <c r="BH281" i="19"/>
  <c r="BG281" i="19"/>
  <c r="BF281" i="19"/>
  <c r="BE281" i="19"/>
  <c r="BD281" i="19"/>
  <c r="J281" i="19"/>
  <c r="BH273" i="19"/>
  <c r="BG273" i="19"/>
  <c r="BF273" i="19"/>
  <c r="BE273" i="19"/>
  <c r="BD273" i="19"/>
  <c r="BH264" i="19"/>
  <c r="BG264" i="19"/>
  <c r="BF264" i="19"/>
  <c r="BE264" i="19"/>
  <c r="BD264" i="19"/>
  <c r="BJ257" i="19"/>
  <c r="BH257" i="19"/>
  <c r="BG257" i="19"/>
  <c r="BF257" i="19"/>
  <c r="BE257" i="19"/>
  <c r="BD257" i="19"/>
  <c r="J257" i="19"/>
  <c r="BJ250" i="19"/>
  <c r="BH250" i="19"/>
  <c r="BG250" i="19"/>
  <c r="BF250" i="19"/>
  <c r="BE250" i="19"/>
  <c r="BD250" i="19"/>
  <c r="J250" i="19"/>
  <c r="BJ240" i="19"/>
  <c r="BH240" i="19"/>
  <c r="BG240" i="19"/>
  <c r="BF240" i="19"/>
  <c r="BE240" i="19"/>
  <c r="BD240" i="19"/>
  <c r="J240" i="19"/>
  <c r="BH232" i="19"/>
  <c r="BG232" i="19"/>
  <c r="BF232" i="19"/>
  <c r="BE232" i="19"/>
  <c r="BD232" i="19"/>
  <c r="BH229" i="19"/>
  <c r="BG229" i="19"/>
  <c r="BF229" i="19"/>
  <c r="BE229" i="19"/>
  <c r="BD229" i="19"/>
  <c r="BH216" i="19"/>
  <c r="BG216" i="19"/>
  <c r="BF216" i="19"/>
  <c r="BE216" i="19"/>
  <c r="BD216" i="19"/>
  <c r="BH214" i="19"/>
  <c r="BG214" i="19"/>
  <c r="BF214" i="19"/>
  <c r="BE214" i="19"/>
  <c r="BD214" i="19"/>
  <c r="BJ202" i="19"/>
  <c r="BH202" i="19"/>
  <c r="BG202" i="19"/>
  <c r="BF202" i="19"/>
  <c r="BE202" i="19"/>
  <c r="BD202" i="19"/>
  <c r="BH200" i="19"/>
  <c r="BG200" i="19"/>
  <c r="BF200" i="19"/>
  <c r="BE200" i="19"/>
  <c r="BD200" i="19"/>
  <c r="BJ198" i="19"/>
  <c r="BH198" i="19"/>
  <c r="BG198" i="19"/>
  <c r="BF198" i="19"/>
  <c r="BE198" i="19"/>
  <c r="BD198" i="19"/>
  <c r="J198" i="19"/>
  <c r="BH195" i="19"/>
  <c r="BG195" i="19"/>
  <c r="BF195" i="19"/>
  <c r="BE195" i="19"/>
  <c r="BD195" i="19"/>
  <c r="J195" i="19"/>
  <c r="BH193" i="19"/>
  <c r="BG193" i="19"/>
  <c r="BF193" i="19"/>
  <c r="BE193" i="19"/>
  <c r="BD193" i="19"/>
  <c r="BH186" i="19"/>
  <c r="BG186" i="19"/>
  <c r="BF186" i="19"/>
  <c r="BE186" i="19"/>
  <c r="BD186" i="19"/>
  <c r="BH183" i="19"/>
  <c r="BG183" i="19"/>
  <c r="BF183" i="19"/>
  <c r="BE183" i="19"/>
  <c r="BD183" i="19"/>
  <c r="BH181" i="19"/>
  <c r="BG181" i="19"/>
  <c r="BF181" i="19"/>
  <c r="BE181" i="19"/>
  <c r="BD181" i="19"/>
  <c r="BH178" i="19"/>
  <c r="BG178" i="19"/>
  <c r="BF178" i="19"/>
  <c r="BE178" i="19"/>
  <c r="BD178" i="19"/>
  <c r="J178" i="19"/>
  <c r="BH176" i="19"/>
  <c r="BG176" i="19"/>
  <c r="BF176" i="19"/>
  <c r="BE176" i="19"/>
  <c r="BD176" i="19"/>
  <c r="BH174" i="19"/>
  <c r="BG174" i="19"/>
  <c r="BF174" i="19"/>
  <c r="BE174" i="19"/>
  <c r="BD174" i="19"/>
  <c r="BH167" i="19"/>
  <c r="BG167" i="19"/>
  <c r="BF167" i="19"/>
  <c r="BE167" i="19"/>
  <c r="BD167" i="19"/>
  <c r="BH165" i="19"/>
  <c r="BG165" i="19"/>
  <c r="BF165" i="19"/>
  <c r="BE165" i="19"/>
  <c r="BD165" i="19"/>
  <c r="BH154" i="19"/>
  <c r="BG154" i="19"/>
  <c r="BF154" i="19"/>
  <c r="BE154" i="19"/>
  <c r="BD154" i="19"/>
  <c r="BH133" i="19"/>
  <c r="BG133" i="19"/>
  <c r="BF133" i="19"/>
  <c r="BE133" i="19"/>
  <c r="BD133" i="19"/>
  <c r="BH112" i="19"/>
  <c r="BG112" i="19"/>
  <c r="BF112" i="19"/>
  <c r="BE112" i="19"/>
  <c r="BD112" i="19"/>
  <c r="BH91" i="19"/>
  <c r="BG91" i="19"/>
  <c r="BF91" i="19"/>
  <c r="BE91" i="19"/>
  <c r="BD91" i="19"/>
  <c r="T88" i="19"/>
  <c r="R88" i="19"/>
  <c r="P88" i="19"/>
  <c r="J85" i="19"/>
  <c r="J84" i="19"/>
  <c r="F82" i="19"/>
  <c r="E80" i="19"/>
  <c r="J55" i="19"/>
  <c r="J54" i="19"/>
  <c r="F52" i="19"/>
  <c r="E50" i="19"/>
  <c r="J37" i="19"/>
  <c r="J36" i="19"/>
  <c r="J35" i="19"/>
  <c r="J18" i="19"/>
  <c r="E18" i="19"/>
  <c r="F55" i="19" s="1"/>
  <c r="J17" i="19"/>
  <c r="J15" i="19"/>
  <c r="E15" i="19"/>
  <c r="F84" i="19" s="1"/>
  <c r="J14" i="19"/>
  <c r="J12" i="19"/>
  <c r="J82" i="19" s="1"/>
  <c r="E7" i="19"/>
  <c r="E48" i="19" s="1"/>
  <c r="H298" i="18"/>
  <c r="BJ232" i="19" l="1"/>
  <c r="J216" i="19"/>
  <c r="T133" i="20"/>
  <c r="R248" i="20"/>
  <c r="P350" i="20"/>
  <c r="T248" i="20"/>
  <c r="R350" i="20"/>
  <c r="BJ273" i="19"/>
  <c r="T350" i="20"/>
  <c r="J316" i="19"/>
  <c r="BI133" i="20"/>
  <c r="BI90" i="20" s="1"/>
  <c r="J234" i="20"/>
  <c r="BC234" i="20" s="1"/>
  <c r="BI350" i="20"/>
  <c r="T234" i="20"/>
  <c r="T390" i="20"/>
  <c r="R433" i="20"/>
  <c r="R432" i="20" s="1"/>
  <c r="R431" i="20" s="1"/>
  <c r="T344" i="20"/>
  <c r="T433" i="20"/>
  <c r="BJ229" i="19"/>
  <c r="BJ228" i="19" s="1"/>
  <c r="J228" i="19" s="1"/>
  <c r="J62" i="19" s="1"/>
  <c r="J286" i="20"/>
  <c r="BC286" i="20" s="1"/>
  <c r="J442" i="20"/>
  <c r="P286" i="20"/>
  <c r="R234" i="20"/>
  <c r="J399" i="19"/>
  <c r="J125" i="20"/>
  <c r="BC125" i="20" s="1"/>
  <c r="P224" i="20"/>
  <c r="R286" i="20"/>
  <c r="J427" i="20"/>
  <c r="BC427" i="20" s="1"/>
  <c r="J264" i="19"/>
  <c r="P125" i="20"/>
  <c r="R224" i="20"/>
  <c r="J246" i="20"/>
  <c r="BC246" i="20" s="1"/>
  <c r="P427" i="20"/>
  <c r="R125" i="20"/>
  <c r="P246" i="20"/>
  <c r="J348" i="20"/>
  <c r="BC348" i="20" s="1"/>
  <c r="T125" i="20"/>
  <c r="T90" i="20" s="1"/>
  <c r="R246" i="20"/>
  <c r="P348" i="20"/>
  <c r="T427" i="20"/>
  <c r="T246" i="20"/>
  <c r="R348" i="20"/>
  <c r="BJ310" i="19"/>
  <c r="BJ280" i="19" s="1"/>
  <c r="J280" i="19" s="1"/>
  <c r="J64" i="19" s="1"/>
  <c r="J91" i="20"/>
  <c r="BC91" i="20" s="1"/>
  <c r="J232" i="20"/>
  <c r="BC232" i="20" s="1"/>
  <c r="J388" i="20"/>
  <c r="BC388" i="20" s="1"/>
  <c r="P91" i="20"/>
  <c r="P90" i="20" s="1"/>
  <c r="J133" i="20"/>
  <c r="BC133" i="20" s="1"/>
  <c r="P232" i="20"/>
  <c r="J329" i="20"/>
  <c r="BC329" i="20" s="1"/>
  <c r="P388" i="20"/>
  <c r="J429" i="20"/>
  <c r="BC429" i="20" s="1"/>
  <c r="R91" i="20"/>
  <c r="R90" i="20" s="1"/>
  <c r="P133" i="20"/>
  <c r="R232" i="20"/>
  <c r="J248" i="20"/>
  <c r="BC248" i="20" s="1"/>
  <c r="P329" i="20"/>
  <c r="BI348" i="20"/>
  <c r="R388" i="20"/>
  <c r="P429" i="20"/>
  <c r="BJ214" i="19"/>
  <c r="T91" i="20"/>
  <c r="B69" i="33"/>
  <c r="G80" i="23"/>
  <c r="G64" i="22"/>
  <c r="G67" i="22" s="1"/>
  <c r="T432" i="20"/>
  <c r="T431" i="20" s="1"/>
  <c r="BI382" i="20"/>
  <c r="J382" i="20" s="1"/>
  <c r="J64" i="20" s="1"/>
  <c r="R382" i="20"/>
  <c r="P409" i="20"/>
  <c r="T382" i="20"/>
  <c r="P382" i="20"/>
  <c r="BI409" i="20"/>
  <c r="J409" i="20" s="1"/>
  <c r="J65" i="20" s="1"/>
  <c r="BI432" i="20"/>
  <c r="BI431" i="20" s="1"/>
  <c r="J431" i="20" s="1"/>
  <c r="J67" i="20" s="1"/>
  <c r="P432" i="20"/>
  <c r="P431" i="20" s="1"/>
  <c r="R409" i="20"/>
  <c r="T409" i="20"/>
  <c r="BI435" i="20"/>
  <c r="J435" i="20" s="1"/>
  <c r="J69" i="20" s="1"/>
  <c r="T368" i="20"/>
  <c r="P368" i="20"/>
  <c r="BI368" i="20"/>
  <c r="J368" i="20" s="1"/>
  <c r="J63" i="20" s="1"/>
  <c r="R368" i="20"/>
  <c r="J34" i="20"/>
  <c r="F35" i="20"/>
  <c r="F36" i="20"/>
  <c r="F37" i="20"/>
  <c r="BI426" i="20"/>
  <c r="J426" i="20" s="1"/>
  <c r="J66" i="20" s="1"/>
  <c r="P426" i="20"/>
  <c r="R426" i="20"/>
  <c r="T426" i="20"/>
  <c r="F34" i="20"/>
  <c r="E78" i="20"/>
  <c r="J82" i="20"/>
  <c r="F84" i="20"/>
  <c r="F85" i="20"/>
  <c r="J312" i="19"/>
  <c r="J314" i="19"/>
  <c r="BJ193" i="19"/>
  <c r="BJ90" i="19" s="1"/>
  <c r="J90" i="19" s="1"/>
  <c r="J61" i="19" s="1"/>
  <c r="J285" i="19"/>
  <c r="J200" i="19"/>
  <c r="J181" i="19"/>
  <c r="BJ186" i="19"/>
  <c r="J183" i="19"/>
  <c r="J165" i="19"/>
  <c r="J174" i="19"/>
  <c r="BJ176" i="19"/>
  <c r="J167" i="19"/>
  <c r="BJ154" i="19"/>
  <c r="J133" i="19"/>
  <c r="J91" i="19"/>
  <c r="J112" i="19"/>
  <c r="BJ398" i="19"/>
  <c r="J398" i="19" s="1"/>
  <c r="J65" i="19" s="1"/>
  <c r="BJ408" i="19"/>
  <c r="J408" i="19" s="1"/>
  <c r="J68" i="19" s="1"/>
  <c r="BJ231" i="19"/>
  <c r="J231" i="19" s="1"/>
  <c r="J63" i="19" s="1"/>
  <c r="BJ404" i="19"/>
  <c r="F34" i="19"/>
  <c r="E78" i="19"/>
  <c r="F85" i="19"/>
  <c r="J34" i="19"/>
  <c r="F35" i="19"/>
  <c r="F36" i="19"/>
  <c r="F37" i="19"/>
  <c r="J52" i="19"/>
  <c r="F54" i="19"/>
  <c r="E32" i="34" l="1"/>
  <c r="C19" i="9"/>
  <c r="E35" i="34"/>
  <c r="E33" i="34"/>
  <c r="D20" i="9"/>
  <c r="B73" i="33"/>
  <c r="B81" i="33" s="1"/>
  <c r="B77" i="33"/>
  <c r="BI89" i="20"/>
  <c r="J89" i="20" s="1"/>
  <c r="J60" i="20" s="1"/>
  <c r="J432" i="20"/>
  <c r="J68" i="20" s="1"/>
  <c r="R89" i="20"/>
  <c r="R88" i="20" s="1"/>
  <c r="P89" i="20"/>
  <c r="P88" i="20" s="1"/>
  <c r="T89" i="20"/>
  <c r="T88" i="20" s="1"/>
  <c r="J90" i="20"/>
  <c r="J61" i="20" s="1"/>
  <c r="BJ403" i="19"/>
  <c r="J403" i="19" s="1"/>
  <c r="J66" i="19" s="1"/>
  <c r="J404" i="19"/>
  <c r="J67" i="19" s="1"/>
  <c r="BJ89" i="19"/>
  <c r="J89" i="19" s="1"/>
  <c r="J60" i="19" s="1"/>
  <c r="B85" i="33" l="1"/>
  <c r="F33" i="34"/>
  <c r="G33" i="34" s="1"/>
  <c r="F35" i="34"/>
  <c r="G35" i="34" s="1"/>
  <c r="F32" i="34"/>
  <c r="G32" i="34" s="1"/>
  <c r="BI88" i="20"/>
  <c r="J88" i="20" s="1"/>
  <c r="J30" i="20" s="1"/>
  <c r="E29" i="34" s="1"/>
  <c r="BJ88" i="19"/>
  <c r="J88" i="19" s="1"/>
  <c r="J30" i="19" s="1"/>
  <c r="E25" i="34" s="1"/>
  <c r="F25" i="34" l="1"/>
  <c r="G25" i="34" s="1"/>
  <c r="F29" i="34"/>
  <c r="G29" i="34" s="1"/>
  <c r="B89" i="33"/>
  <c r="J59" i="20"/>
  <c r="F33" i="20"/>
  <c r="J33" i="20" s="1"/>
  <c r="J39" i="20" s="1"/>
  <c r="J59" i="19"/>
  <c r="F33" i="19"/>
  <c r="J33" i="19" s="1"/>
  <c r="J39" i="19" s="1"/>
  <c r="B98" i="33" l="1"/>
  <c r="B93" i="33"/>
  <c r="H151" i="2"/>
  <c r="H317" i="18"/>
  <c r="T317" i="18" s="1"/>
  <c r="H315" i="18"/>
  <c r="H312" i="18"/>
  <c r="H310" i="18"/>
  <c r="T310" i="18" s="1"/>
  <c r="H297" i="18"/>
  <c r="H292" i="18"/>
  <c r="H290" i="18"/>
  <c r="T290" i="18" s="1"/>
  <c r="H288" i="18"/>
  <c r="R288" i="18" s="1"/>
  <c r="H242" i="18"/>
  <c r="H248" i="18"/>
  <c r="H247" i="18"/>
  <c r="H246" i="18"/>
  <c r="H245" i="18"/>
  <c r="H243" i="18"/>
  <c r="H241" i="18"/>
  <c r="H239" i="18"/>
  <c r="J239" i="18" s="1"/>
  <c r="BE239" i="18" s="1"/>
  <c r="H238" i="18"/>
  <c r="H237" i="18"/>
  <c r="H235" i="18"/>
  <c r="H215" i="18"/>
  <c r="H208" i="18"/>
  <c r="H207" i="18"/>
  <c r="H196" i="18"/>
  <c r="H194" i="18"/>
  <c r="H183" i="18"/>
  <c r="H181" i="18"/>
  <c r="T181" i="18" s="1"/>
  <c r="H180" i="18"/>
  <c r="H179" i="18"/>
  <c r="H178" i="18"/>
  <c r="H167" i="18"/>
  <c r="H165" i="18"/>
  <c r="T165" i="18" s="1"/>
  <c r="H160" i="18"/>
  <c r="BK160" i="18" s="1"/>
  <c r="H159" i="18"/>
  <c r="H153" i="18"/>
  <c r="H152" i="18"/>
  <c r="H150" i="18"/>
  <c r="H148" i="18"/>
  <c r="H147" i="18"/>
  <c r="H145" i="18"/>
  <c r="H143" i="18"/>
  <c r="H141" i="18"/>
  <c r="P141" i="18" s="1"/>
  <c r="H140" i="18"/>
  <c r="H134" i="18"/>
  <c r="H132" i="18"/>
  <c r="H131" i="18"/>
  <c r="H125" i="18"/>
  <c r="H124" i="18"/>
  <c r="H113" i="18"/>
  <c r="J113" i="18" s="1"/>
  <c r="BE113" i="18" s="1"/>
  <c r="H112" i="18"/>
  <c r="H101" i="18"/>
  <c r="H100" i="18"/>
  <c r="H89" i="18"/>
  <c r="H357" i="2"/>
  <c r="H355" i="2"/>
  <c r="H352" i="2"/>
  <c r="H350" i="2"/>
  <c r="H338" i="2"/>
  <c r="H337" i="2"/>
  <c r="H332" i="2"/>
  <c r="H330" i="2"/>
  <c r="H328" i="2"/>
  <c r="H281" i="2"/>
  <c r="H280" i="2"/>
  <c r="H276" i="2"/>
  <c r="H275" i="2"/>
  <c r="H273" i="2"/>
  <c r="H271" i="2"/>
  <c r="H270" i="2"/>
  <c r="H268" i="2"/>
  <c r="H267" i="2"/>
  <c r="H266" i="2"/>
  <c r="H264" i="2"/>
  <c r="H241" i="2"/>
  <c r="H234" i="2"/>
  <c r="H226" i="2"/>
  <c r="H215" i="2"/>
  <c r="H213" i="2"/>
  <c r="H202" i="2"/>
  <c r="H200" i="2"/>
  <c r="H199" i="2"/>
  <c r="H198" i="2"/>
  <c r="H197" i="2"/>
  <c r="H186" i="2"/>
  <c r="H184" i="2"/>
  <c r="H179" i="2"/>
  <c r="H178" i="2"/>
  <c r="H172" i="2"/>
  <c r="H171" i="2"/>
  <c r="H169" i="2"/>
  <c r="H167" i="2"/>
  <c r="H166" i="2"/>
  <c r="H164" i="2"/>
  <c r="H162" i="2"/>
  <c r="H160" i="2"/>
  <c r="H159" i="2"/>
  <c r="H153" i="2"/>
  <c r="H150" i="2"/>
  <c r="H144" i="2"/>
  <c r="H127" i="2"/>
  <c r="H116" i="2"/>
  <c r="H128" i="2"/>
  <c r="H139" i="2"/>
  <c r="H140" i="2"/>
  <c r="H143" i="2"/>
  <c r="H104" i="2"/>
  <c r="H114" i="2"/>
  <c r="H115" i="2"/>
  <c r="BK321" i="18"/>
  <c r="BK320" i="18" s="1"/>
  <c r="BI321" i="18"/>
  <c r="BH321" i="18"/>
  <c r="BG321" i="18"/>
  <c r="BF321" i="18"/>
  <c r="T321" i="18"/>
  <c r="T320" i="18" s="1"/>
  <c r="T319" i="18" s="1"/>
  <c r="R321" i="18"/>
  <c r="R320" i="18" s="1"/>
  <c r="R319" i="18" s="1"/>
  <c r="P321" i="18"/>
  <c r="P320" i="18" s="1"/>
  <c r="P319" i="18" s="1"/>
  <c r="J321" i="18"/>
  <c r="BE321" i="18" s="1"/>
  <c r="BK317" i="18"/>
  <c r="BI317" i="18"/>
  <c r="BH317" i="18"/>
  <c r="BG317" i="18"/>
  <c r="BF317" i="18"/>
  <c r="P317" i="18"/>
  <c r="J317" i="18"/>
  <c r="BE317" i="18" s="1"/>
  <c r="BK315" i="18"/>
  <c r="BI315" i="18"/>
  <c r="BH315" i="18"/>
  <c r="BG315" i="18"/>
  <c r="BF315" i="18"/>
  <c r="T315" i="18"/>
  <c r="R315" i="18"/>
  <c r="P315" i="18"/>
  <c r="J315" i="18"/>
  <c r="BE315" i="18" s="1"/>
  <c r="BK312" i="18"/>
  <c r="BI312" i="18"/>
  <c r="BH312" i="18"/>
  <c r="BG312" i="18"/>
  <c r="BF312" i="18"/>
  <c r="T312" i="18"/>
  <c r="R312" i="18"/>
  <c r="P312" i="18"/>
  <c r="J312" i="18"/>
  <c r="BE312" i="18" s="1"/>
  <c r="BK310" i="18"/>
  <c r="BI310" i="18"/>
  <c r="BH310" i="18"/>
  <c r="BG310" i="18"/>
  <c r="BF310" i="18"/>
  <c r="J310" i="18"/>
  <c r="BE310" i="18" s="1"/>
  <c r="BK308" i="18"/>
  <c r="BI308" i="18"/>
  <c r="BH308" i="18"/>
  <c r="BG308" i="18"/>
  <c r="BF308" i="18"/>
  <c r="T308" i="18"/>
  <c r="R308" i="18"/>
  <c r="P308" i="18"/>
  <c r="J308" i="18"/>
  <c r="BE308" i="18" s="1"/>
  <c r="BK307" i="18"/>
  <c r="BI307" i="18"/>
  <c r="BH307" i="18"/>
  <c r="BG307" i="18"/>
  <c r="BF307" i="18"/>
  <c r="T307" i="18"/>
  <c r="R307" i="18"/>
  <c r="P307" i="18"/>
  <c r="J307" i="18"/>
  <c r="BE307" i="18" s="1"/>
  <c r="BK306" i="18"/>
  <c r="BI306" i="18"/>
  <c r="BH306" i="18"/>
  <c r="BG306" i="18"/>
  <c r="BF306" i="18"/>
  <c r="T306" i="18"/>
  <c r="R306" i="18"/>
  <c r="P306" i="18"/>
  <c r="J306" i="18"/>
  <c r="BE306" i="18" s="1"/>
  <c r="BK304" i="18"/>
  <c r="BI304" i="18"/>
  <c r="BH304" i="18"/>
  <c r="BG304" i="18"/>
  <c r="BF304" i="18"/>
  <c r="T304" i="18"/>
  <c r="R304" i="18"/>
  <c r="P304" i="18"/>
  <c r="J304" i="18"/>
  <c r="BE304" i="18" s="1"/>
  <c r="BK303" i="18"/>
  <c r="BI303" i="18"/>
  <c r="BH303" i="18"/>
  <c r="BG303" i="18"/>
  <c r="BF303" i="18"/>
  <c r="T303" i="18"/>
  <c r="R303" i="18"/>
  <c r="P303" i="18"/>
  <c r="J303" i="18"/>
  <c r="BE303" i="18" s="1"/>
  <c r="BK302" i="18"/>
  <c r="BI302" i="18"/>
  <c r="BH302" i="18"/>
  <c r="BG302" i="18"/>
  <c r="BF302" i="18"/>
  <c r="T302" i="18"/>
  <c r="R302" i="18"/>
  <c r="P302" i="18"/>
  <c r="J302" i="18"/>
  <c r="BE302" i="18" s="1"/>
  <c r="BK300" i="18"/>
  <c r="BI300" i="18"/>
  <c r="BH300" i="18"/>
  <c r="BG300" i="18"/>
  <c r="BF300" i="18"/>
  <c r="T300" i="18"/>
  <c r="R300" i="18"/>
  <c r="P300" i="18"/>
  <c r="J300" i="18"/>
  <c r="BE300" i="18" s="1"/>
  <c r="BK298" i="18"/>
  <c r="BI298" i="18"/>
  <c r="BH298" i="18"/>
  <c r="BG298" i="18"/>
  <c r="BF298" i="18"/>
  <c r="T298" i="18"/>
  <c r="R298" i="18"/>
  <c r="P298" i="18"/>
  <c r="J298" i="18"/>
  <c r="BE298" i="18" s="1"/>
  <c r="BK292" i="18"/>
  <c r="BI292" i="18"/>
  <c r="BH292" i="18"/>
  <c r="BG292" i="18"/>
  <c r="BF292" i="18"/>
  <c r="T292" i="18"/>
  <c r="R292" i="18"/>
  <c r="P292" i="18"/>
  <c r="J292" i="18"/>
  <c r="BE292" i="18" s="1"/>
  <c r="BK290" i="18"/>
  <c r="BI290" i="18"/>
  <c r="BH290" i="18"/>
  <c r="BG290" i="18"/>
  <c r="BF290" i="18"/>
  <c r="BK288" i="18"/>
  <c r="BI288" i="18"/>
  <c r="BH288" i="18"/>
  <c r="BG288" i="18"/>
  <c r="BF288" i="18"/>
  <c r="T288" i="18"/>
  <c r="P288" i="18"/>
  <c r="J288" i="18"/>
  <c r="BE288" i="18" s="1"/>
  <c r="BK286" i="18"/>
  <c r="BI286" i="18"/>
  <c r="BH286" i="18"/>
  <c r="BG286" i="18"/>
  <c r="BF286" i="18"/>
  <c r="T286" i="18"/>
  <c r="R286" i="18"/>
  <c r="P286" i="18"/>
  <c r="J286" i="18"/>
  <c r="BE286" i="18" s="1"/>
  <c r="BK285" i="18"/>
  <c r="BI285" i="18"/>
  <c r="BH285" i="18"/>
  <c r="BG285" i="18"/>
  <c r="BF285" i="18"/>
  <c r="T285" i="18"/>
  <c r="R285" i="18"/>
  <c r="P285" i="18"/>
  <c r="J285" i="18"/>
  <c r="BE285" i="18" s="1"/>
  <c r="BK283" i="18"/>
  <c r="BI283" i="18"/>
  <c r="BH283" i="18"/>
  <c r="BG283" i="18"/>
  <c r="BF283" i="18"/>
  <c r="T283" i="18"/>
  <c r="R283" i="18"/>
  <c r="P283" i="18"/>
  <c r="J283" i="18"/>
  <c r="BE283" i="18" s="1"/>
  <c r="BK282" i="18"/>
  <c r="BI282" i="18"/>
  <c r="BH282" i="18"/>
  <c r="BG282" i="18"/>
  <c r="BF282" i="18"/>
  <c r="T282" i="18"/>
  <c r="R282" i="18"/>
  <c r="P282" i="18"/>
  <c r="J282" i="18"/>
  <c r="BE282" i="18" s="1"/>
  <c r="BK281" i="18"/>
  <c r="BI281" i="18"/>
  <c r="BH281" i="18"/>
  <c r="BG281" i="18"/>
  <c r="BF281" i="18"/>
  <c r="T281" i="18"/>
  <c r="R281" i="18"/>
  <c r="P281" i="18"/>
  <c r="J281" i="18"/>
  <c r="BE281" i="18" s="1"/>
  <c r="BK279" i="18"/>
  <c r="BI279" i="18"/>
  <c r="BH279" i="18"/>
  <c r="BG279" i="18"/>
  <c r="BF279" i="18"/>
  <c r="T279" i="18"/>
  <c r="R279" i="18"/>
  <c r="P279" i="18"/>
  <c r="J279" i="18"/>
  <c r="BE279" i="18" s="1"/>
  <c r="BK278" i="18"/>
  <c r="BI278" i="18"/>
  <c r="BH278" i="18"/>
  <c r="BG278" i="18"/>
  <c r="BF278" i="18"/>
  <c r="T278" i="18"/>
  <c r="R278" i="18"/>
  <c r="P278" i="18"/>
  <c r="J278" i="18"/>
  <c r="BE278" i="18" s="1"/>
  <c r="BK277" i="18"/>
  <c r="BI277" i="18"/>
  <c r="BH277" i="18"/>
  <c r="BG277" i="18"/>
  <c r="BF277" i="18"/>
  <c r="T277" i="18"/>
  <c r="R277" i="18"/>
  <c r="P277" i="18"/>
  <c r="J277" i="18"/>
  <c r="BE277" i="18" s="1"/>
  <c r="BK275" i="18"/>
  <c r="BI275" i="18"/>
  <c r="BH275" i="18"/>
  <c r="BG275" i="18"/>
  <c r="BF275" i="18"/>
  <c r="T275" i="18"/>
  <c r="R275" i="18"/>
  <c r="P275" i="18"/>
  <c r="J275" i="18"/>
  <c r="BE275" i="18" s="1"/>
  <c r="BK274" i="18"/>
  <c r="BI274" i="18"/>
  <c r="BH274" i="18"/>
  <c r="BG274" i="18"/>
  <c r="BF274" i="18"/>
  <c r="T274" i="18"/>
  <c r="R274" i="18"/>
  <c r="P274" i="18"/>
  <c r="J274" i="18"/>
  <c r="BE274" i="18" s="1"/>
  <c r="BK273" i="18"/>
  <c r="BI273" i="18"/>
  <c r="BH273" i="18"/>
  <c r="BG273" i="18"/>
  <c r="BF273" i="18"/>
  <c r="T273" i="18"/>
  <c r="R273" i="18"/>
  <c r="P273" i="18"/>
  <c r="J273" i="18"/>
  <c r="BE273" i="18" s="1"/>
  <c r="BK271" i="18"/>
  <c r="BI271" i="18"/>
  <c r="BH271" i="18"/>
  <c r="BG271" i="18"/>
  <c r="BF271" i="18"/>
  <c r="T271" i="18"/>
  <c r="R271" i="18"/>
  <c r="P271" i="18"/>
  <c r="J271" i="18"/>
  <c r="BE271" i="18" s="1"/>
  <c r="BK269" i="18"/>
  <c r="BI269" i="18"/>
  <c r="BH269" i="18"/>
  <c r="BG269" i="18"/>
  <c r="BF269" i="18"/>
  <c r="T269" i="18"/>
  <c r="R269" i="18"/>
  <c r="P269" i="18"/>
  <c r="J269" i="18"/>
  <c r="BE269" i="18" s="1"/>
  <c r="BK267" i="18"/>
  <c r="BI267" i="18"/>
  <c r="BH267" i="18"/>
  <c r="BG267" i="18"/>
  <c r="BF267" i="18"/>
  <c r="T267" i="18"/>
  <c r="R267" i="18"/>
  <c r="P267" i="18"/>
  <c r="J267" i="18"/>
  <c r="BE267" i="18" s="1"/>
  <c r="BK266" i="18"/>
  <c r="BI266" i="18"/>
  <c r="BH266" i="18"/>
  <c r="BG266" i="18"/>
  <c r="BF266" i="18"/>
  <c r="T266" i="18"/>
  <c r="R266" i="18"/>
  <c r="P266" i="18"/>
  <c r="J266" i="18"/>
  <c r="BE266" i="18" s="1"/>
  <c r="BK264" i="18"/>
  <c r="BI264" i="18"/>
  <c r="BH264" i="18"/>
  <c r="BG264" i="18"/>
  <c r="BF264" i="18"/>
  <c r="T264" i="18"/>
  <c r="R264" i="18"/>
  <c r="P264" i="18"/>
  <c r="J264" i="18"/>
  <c r="BE264" i="18" s="1"/>
  <c r="BK263" i="18"/>
  <c r="BI263" i="18"/>
  <c r="BH263" i="18"/>
  <c r="BG263" i="18"/>
  <c r="BF263" i="18"/>
  <c r="T263" i="18"/>
  <c r="R263" i="18"/>
  <c r="P263" i="18"/>
  <c r="J263" i="18"/>
  <c r="BE263" i="18" s="1"/>
  <c r="BK261" i="18"/>
  <c r="BI261" i="18"/>
  <c r="BH261" i="18"/>
  <c r="BG261" i="18"/>
  <c r="BF261" i="18"/>
  <c r="T261" i="18"/>
  <c r="R261" i="18"/>
  <c r="P261" i="18"/>
  <c r="J261" i="18"/>
  <c r="BE261" i="18" s="1"/>
  <c r="BK260" i="18"/>
  <c r="BI260" i="18"/>
  <c r="BH260" i="18"/>
  <c r="BG260" i="18"/>
  <c r="BF260" i="18"/>
  <c r="T260" i="18"/>
  <c r="R260" i="18"/>
  <c r="P260" i="18"/>
  <c r="J260" i="18"/>
  <c r="BE260" i="18" s="1"/>
  <c r="BK258" i="18"/>
  <c r="BI258" i="18"/>
  <c r="BH258" i="18"/>
  <c r="BG258" i="18"/>
  <c r="BF258" i="18"/>
  <c r="T258" i="18"/>
  <c r="R258" i="18"/>
  <c r="P258" i="18"/>
  <c r="J258" i="18"/>
  <c r="BE258" i="18" s="1"/>
  <c r="BK257" i="18"/>
  <c r="BI257" i="18"/>
  <c r="BH257" i="18"/>
  <c r="BG257" i="18"/>
  <c r="BF257" i="18"/>
  <c r="T257" i="18"/>
  <c r="R257" i="18"/>
  <c r="P257" i="18"/>
  <c r="J257" i="18"/>
  <c r="BE257" i="18" s="1"/>
  <c r="BK255" i="18"/>
  <c r="BI255" i="18"/>
  <c r="BH255" i="18"/>
  <c r="BG255" i="18"/>
  <c r="BF255" i="18"/>
  <c r="T255" i="18"/>
  <c r="R255" i="18"/>
  <c r="P255" i="18"/>
  <c r="J255" i="18"/>
  <c r="BE255" i="18" s="1"/>
  <c r="BK253" i="18"/>
  <c r="BI253" i="18"/>
  <c r="BH253" i="18"/>
  <c r="BG253" i="18"/>
  <c r="BF253" i="18"/>
  <c r="T253" i="18"/>
  <c r="R253" i="18"/>
  <c r="P253" i="18"/>
  <c r="J253" i="18"/>
  <c r="BE253" i="18" s="1"/>
  <c r="BK251" i="18"/>
  <c r="BI251" i="18"/>
  <c r="BH251" i="18"/>
  <c r="BG251" i="18"/>
  <c r="BF251" i="18"/>
  <c r="T251" i="18"/>
  <c r="R251" i="18"/>
  <c r="P251" i="18"/>
  <c r="J251" i="18"/>
  <c r="BE251" i="18" s="1"/>
  <c r="BK249" i="18"/>
  <c r="BI249" i="18"/>
  <c r="BH249" i="18"/>
  <c r="BG249" i="18"/>
  <c r="BF249" i="18"/>
  <c r="T249" i="18"/>
  <c r="R249" i="18"/>
  <c r="P249" i="18"/>
  <c r="J249" i="18"/>
  <c r="BE249" i="18" s="1"/>
  <c r="BK247" i="18"/>
  <c r="BI247" i="18"/>
  <c r="BH247" i="18"/>
  <c r="BG247" i="18"/>
  <c r="BF247" i="18"/>
  <c r="T247" i="18"/>
  <c r="R247" i="18"/>
  <c r="P247" i="18"/>
  <c r="J247" i="18"/>
  <c r="BE247" i="18" s="1"/>
  <c r="BK245" i="18"/>
  <c r="BI245" i="18"/>
  <c r="BH245" i="18"/>
  <c r="BG245" i="18"/>
  <c r="BF245" i="18"/>
  <c r="T245" i="18"/>
  <c r="R245" i="18"/>
  <c r="P245" i="18"/>
  <c r="J245" i="18"/>
  <c r="BE245" i="18" s="1"/>
  <c r="BK243" i="18"/>
  <c r="BI243" i="18"/>
  <c r="BH243" i="18"/>
  <c r="BG243" i="18"/>
  <c r="BF243" i="18"/>
  <c r="T243" i="18"/>
  <c r="R243" i="18"/>
  <c r="P243" i="18"/>
  <c r="J243" i="18"/>
  <c r="BE243" i="18" s="1"/>
  <c r="BK241" i="18"/>
  <c r="BI241" i="18"/>
  <c r="BH241" i="18"/>
  <c r="BG241" i="18"/>
  <c r="BF241" i="18"/>
  <c r="T241" i="18"/>
  <c r="R241" i="18"/>
  <c r="P241" i="18"/>
  <c r="J241" i="18"/>
  <c r="BE241" i="18" s="1"/>
  <c r="BI239" i="18"/>
  <c r="BH239" i="18"/>
  <c r="BG239" i="18"/>
  <c r="BF239" i="18"/>
  <c r="T239" i="18"/>
  <c r="P239" i="18"/>
  <c r="BK237" i="18"/>
  <c r="BI237" i="18"/>
  <c r="BH237" i="18"/>
  <c r="BG237" i="18"/>
  <c r="BF237" i="18"/>
  <c r="T237" i="18"/>
  <c r="R237" i="18"/>
  <c r="P237" i="18"/>
  <c r="J237" i="18"/>
  <c r="BE237" i="18" s="1"/>
  <c r="BK235" i="18"/>
  <c r="BI235" i="18"/>
  <c r="BH235" i="18"/>
  <c r="BG235" i="18"/>
  <c r="BF235" i="18"/>
  <c r="T235" i="18"/>
  <c r="R235" i="18"/>
  <c r="P235" i="18"/>
  <c r="J235" i="18"/>
  <c r="BE235" i="18" s="1"/>
  <c r="BK234" i="18"/>
  <c r="BI234" i="18"/>
  <c r="BH234" i="18"/>
  <c r="BG234" i="18"/>
  <c r="BF234" i="18"/>
  <c r="T234" i="18"/>
  <c r="R234" i="18"/>
  <c r="P234" i="18"/>
  <c r="J234" i="18"/>
  <c r="BE234" i="18" s="1"/>
  <c r="BK233" i="18"/>
  <c r="BI233" i="18"/>
  <c r="BH233" i="18"/>
  <c r="BG233" i="18"/>
  <c r="BF233" i="18"/>
  <c r="T233" i="18"/>
  <c r="R233" i="18"/>
  <c r="P233" i="18"/>
  <c r="J233" i="18"/>
  <c r="BE233" i="18" s="1"/>
  <c r="BK232" i="18"/>
  <c r="BI232" i="18"/>
  <c r="BH232" i="18"/>
  <c r="BG232" i="18"/>
  <c r="BF232" i="18"/>
  <c r="T232" i="18"/>
  <c r="R232" i="18"/>
  <c r="P232" i="18"/>
  <c r="J232" i="18"/>
  <c r="BE232" i="18" s="1"/>
  <c r="BK230" i="18"/>
  <c r="BI230" i="18"/>
  <c r="BH230" i="18"/>
  <c r="BG230" i="18"/>
  <c r="BF230" i="18"/>
  <c r="T230" i="18"/>
  <c r="R230" i="18"/>
  <c r="P230" i="18"/>
  <c r="J230" i="18"/>
  <c r="BE230" i="18" s="1"/>
  <c r="BK229" i="18"/>
  <c r="BI229" i="18"/>
  <c r="BH229" i="18"/>
  <c r="BG229" i="18"/>
  <c r="BF229" i="18"/>
  <c r="T229" i="18"/>
  <c r="R229" i="18"/>
  <c r="P229" i="18"/>
  <c r="J229" i="18"/>
  <c r="BE229" i="18" s="1"/>
  <c r="BK228" i="18"/>
  <c r="BI228" i="18"/>
  <c r="BH228" i="18"/>
  <c r="BG228" i="18"/>
  <c r="BF228" i="18"/>
  <c r="T228" i="18"/>
  <c r="R228" i="18"/>
  <c r="P228" i="18"/>
  <c r="J228" i="18"/>
  <c r="BE228" i="18" s="1"/>
  <c r="BK226" i="18"/>
  <c r="BI226" i="18"/>
  <c r="BH226" i="18"/>
  <c r="BG226" i="18"/>
  <c r="BF226" i="18"/>
  <c r="T226" i="18"/>
  <c r="R226" i="18"/>
  <c r="P226" i="18"/>
  <c r="J226" i="18"/>
  <c r="BE226" i="18" s="1"/>
  <c r="BK225" i="18"/>
  <c r="BI225" i="18"/>
  <c r="BH225" i="18"/>
  <c r="BG225" i="18"/>
  <c r="BF225" i="18"/>
  <c r="T225" i="18"/>
  <c r="R225" i="18"/>
  <c r="P225" i="18"/>
  <c r="J225" i="18"/>
  <c r="BE225" i="18" s="1"/>
  <c r="BK224" i="18"/>
  <c r="BI224" i="18"/>
  <c r="BH224" i="18"/>
  <c r="BG224" i="18"/>
  <c r="BF224" i="18"/>
  <c r="T224" i="18"/>
  <c r="R224" i="18"/>
  <c r="P224" i="18"/>
  <c r="J224" i="18"/>
  <c r="BE224" i="18" s="1"/>
  <c r="BK222" i="18"/>
  <c r="BI222" i="18"/>
  <c r="BH222" i="18"/>
  <c r="BG222" i="18"/>
  <c r="BF222" i="18"/>
  <c r="T222" i="18"/>
  <c r="R222" i="18"/>
  <c r="P222" i="18"/>
  <c r="J222" i="18"/>
  <c r="BE222" i="18" s="1"/>
  <c r="BK221" i="18"/>
  <c r="BI221" i="18"/>
  <c r="BH221" i="18"/>
  <c r="BG221" i="18"/>
  <c r="BF221" i="18"/>
  <c r="T221" i="18"/>
  <c r="R221" i="18"/>
  <c r="P221" i="18"/>
  <c r="J221" i="18"/>
  <c r="BE221" i="18" s="1"/>
  <c r="BK220" i="18"/>
  <c r="BI220" i="18"/>
  <c r="BH220" i="18"/>
  <c r="BG220" i="18"/>
  <c r="BF220" i="18"/>
  <c r="T220" i="18"/>
  <c r="R220" i="18"/>
  <c r="P220" i="18"/>
  <c r="J220" i="18"/>
  <c r="BE220" i="18" s="1"/>
  <c r="BK219" i="18"/>
  <c r="BI219" i="18"/>
  <c r="BH219" i="18"/>
  <c r="BG219" i="18"/>
  <c r="BF219" i="18"/>
  <c r="T219" i="18"/>
  <c r="R219" i="18"/>
  <c r="P219" i="18"/>
  <c r="J219" i="18"/>
  <c r="BE219" i="18" s="1"/>
  <c r="BK217" i="18"/>
  <c r="BI217" i="18"/>
  <c r="BH217" i="18"/>
  <c r="BG217" i="18"/>
  <c r="BF217" i="18"/>
  <c r="T217" i="18"/>
  <c r="R217" i="18"/>
  <c r="P217" i="18"/>
  <c r="J217" i="18"/>
  <c r="BE217" i="18" s="1"/>
  <c r="BK208" i="18"/>
  <c r="BI208" i="18"/>
  <c r="BH208" i="18"/>
  <c r="BG208" i="18"/>
  <c r="BF208" i="18"/>
  <c r="T208" i="18"/>
  <c r="R208" i="18"/>
  <c r="P208" i="18"/>
  <c r="J208" i="18"/>
  <c r="BE208" i="18" s="1"/>
  <c r="BK196" i="18"/>
  <c r="BI196" i="18"/>
  <c r="BH196" i="18"/>
  <c r="BG196" i="18"/>
  <c r="BF196" i="18"/>
  <c r="T196" i="18"/>
  <c r="R196" i="18"/>
  <c r="P196" i="18"/>
  <c r="J196" i="18"/>
  <c r="BE196" i="18" s="1"/>
  <c r="BK183" i="18"/>
  <c r="BI183" i="18"/>
  <c r="BH183" i="18"/>
  <c r="BG183" i="18"/>
  <c r="BF183" i="18"/>
  <c r="T183" i="18"/>
  <c r="R183" i="18"/>
  <c r="P183" i="18"/>
  <c r="J183" i="18"/>
  <c r="BE183" i="18" s="1"/>
  <c r="BK181" i="18"/>
  <c r="BI181" i="18"/>
  <c r="BH181" i="18"/>
  <c r="BG181" i="18"/>
  <c r="BF181" i="18"/>
  <c r="P181" i="18"/>
  <c r="BK179" i="18"/>
  <c r="BI179" i="18"/>
  <c r="BH179" i="18"/>
  <c r="BG179" i="18"/>
  <c r="BF179" i="18"/>
  <c r="T179" i="18"/>
  <c r="R179" i="18"/>
  <c r="P179" i="18"/>
  <c r="J179" i="18"/>
  <c r="BE17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J165" i="18"/>
  <c r="BE165" i="18" s="1"/>
  <c r="BK162" i="18"/>
  <c r="BI162" i="18"/>
  <c r="BH162" i="18"/>
  <c r="BG162" i="18"/>
  <c r="BF162" i="18"/>
  <c r="T162" i="18"/>
  <c r="R162" i="18"/>
  <c r="P162" i="18"/>
  <c r="J162" i="18"/>
  <c r="BE162" i="18" s="1"/>
  <c r="BI160" i="18"/>
  <c r="BH160" i="18"/>
  <c r="BG160" i="18"/>
  <c r="BF160" i="18"/>
  <c r="R160" i="18"/>
  <c r="J160" i="18"/>
  <c r="BE160" i="18" s="1"/>
  <c r="BK153" i="18"/>
  <c r="BI153" i="18"/>
  <c r="BH153" i="18"/>
  <c r="BG153" i="18"/>
  <c r="BF153" i="18"/>
  <c r="T153" i="18"/>
  <c r="R153" i="18"/>
  <c r="P153" i="18"/>
  <c r="J153" i="18"/>
  <c r="BE153" i="18" s="1"/>
  <c r="BK150" i="18"/>
  <c r="BI150" i="18"/>
  <c r="BH150" i="18"/>
  <c r="BG150" i="18"/>
  <c r="BF150" i="18"/>
  <c r="T150" i="18"/>
  <c r="R150" i="18"/>
  <c r="P150" i="18"/>
  <c r="J150" i="18"/>
  <c r="BE150" i="18" s="1"/>
  <c r="BK148" i="18"/>
  <c r="BI148" i="18"/>
  <c r="BH148" i="18"/>
  <c r="BG148" i="18"/>
  <c r="BF148" i="18"/>
  <c r="T148" i="18"/>
  <c r="R148" i="18"/>
  <c r="P148" i="18"/>
  <c r="J148" i="18"/>
  <c r="BE148" i="18" s="1"/>
  <c r="BK145" i="18"/>
  <c r="BI145" i="18"/>
  <c r="BH145" i="18"/>
  <c r="BG145" i="18"/>
  <c r="BF145" i="18"/>
  <c r="T145" i="18"/>
  <c r="R145" i="18"/>
  <c r="P145" i="18"/>
  <c r="J145" i="18"/>
  <c r="BE145" i="18" s="1"/>
  <c r="BK143" i="18"/>
  <c r="BI143" i="18"/>
  <c r="BH143" i="18"/>
  <c r="BG143" i="18"/>
  <c r="BF143" i="18"/>
  <c r="T143" i="18"/>
  <c r="R143" i="18"/>
  <c r="P143" i="18"/>
  <c r="J143" i="18"/>
  <c r="BE143" i="18" s="1"/>
  <c r="BK141" i="18"/>
  <c r="BI141" i="18"/>
  <c r="BH141" i="18"/>
  <c r="BG141" i="18"/>
  <c r="BF141" i="18"/>
  <c r="T141" i="18"/>
  <c r="R141" i="18"/>
  <c r="J141" i="18"/>
  <c r="BE141" i="18" s="1"/>
  <c r="BK134" i="18"/>
  <c r="BI134" i="18"/>
  <c r="BH134" i="18"/>
  <c r="BG134" i="18"/>
  <c r="BF134" i="18"/>
  <c r="T134" i="18"/>
  <c r="R134" i="18"/>
  <c r="P134" i="18"/>
  <c r="J134" i="18"/>
  <c r="BE134" i="18" s="1"/>
  <c r="BK132" i="18"/>
  <c r="BI132" i="18"/>
  <c r="BH132" i="18"/>
  <c r="BG132" i="18"/>
  <c r="BF132" i="18"/>
  <c r="T132" i="18"/>
  <c r="R132" i="18"/>
  <c r="P132" i="18"/>
  <c r="J132" i="18"/>
  <c r="BE132" i="18" s="1"/>
  <c r="BK125" i="18"/>
  <c r="BI125" i="18"/>
  <c r="BH125" i="18"/>
  <c r="BG125" i="18"/>
  <c r="BF125" i="18"/>
  <c r="T125" i="18"/>
  <c r="R125" i="18"/>
  <c r="P125" i="18"/>
  <c r="J125" i="18"/>
  <c r="BE125" i="18" s="1"/>
  <c r="BK113" i="18"/>
  <c r="BI113" i="18"/>
  <c r="BH113" i="18"/>
  <c r="BG113" i="18"/>
  <c r="BF113" i="18"/>
  <c r="T113" i="18"/>
  <c r="R113" i="18"/>
  <c r="P113" i="18"/>
  <c r="BK101" i="18"/>
  <c r="BI101" i="18"/>
  <c r="BH101" i="18"/>
  <c r="BG101" i="18"/>
  <c r="BF101" i="18"/>
  <c r="T101" i="18"/>
  <c r="R101" i="18"/>
  <c r="P101" i="18"/>
  <c r="J101" i="18"/>
  <c r="BE101" i="18" s="1"/>
  <c r="BK89" i="18"/>
  <c r="BI89" i="18"/>
  <c r="BH89" i="18"/>
  <c r="BG89" i="18"/>
  <c r="BF89" i="18"/>
  <c r="T89" i="18"/>
  <c r="R89" i="18"/>
  <c r="P89" i="18"/>
  <c r="J89" i="18"/>
  <c r="BE89" i="18" s="1"/>
  <c r="J83" i="18"/>
  <c r="J82" i="18"/>
  <c r="F80" i="18"/>
  <c r="E78" i="18"/>
  <c r="J55" i="18"/>
  <c r="J54" i="18"/>
  <c r="F52" i="18"/>
  <c r="E50" i="18"/>
  <c r="J37" i="18"/>
  <c r="J36" i="18"/>
  <c r="J35" i="18"/>
  <c r="J18" i="18"/>
  <c r="E18" i="18"/>
  <c r="F83" i="18" s="1"/>
  <c r="J17" i="18"/>
  <c r="J15" i="18"/>
  <c r="E15" i="18"/>
  <c r="F82" i="18" s="1"/>
  <c r="J14" i="18"/>
  <c r="J12" i="18"/>
  <c r="J52" i="18" s="1"/>
  <c r="E7" i="18"/>
  <c r="E48" i="18" s="1"/>
  <c r="BI472" i="4"/>
  <c r="BG472" i="4"/>
  <c r="BF472" i="4"/>
  <c r="BE472" i="4"/>
  <c r="BD472" i="4"/>
  <c r="BC472" i="4"/>
  <c r="BI470" i="4"/>
  <c r="BG470" i="4"/>
  <c r="BF470" i="4"/>
  <c r="BE470" i="4"/>
  <c r="BD470" i="4"/>
  <c r="BC470" i="4"/>
  <c r="BI468" i="4"/>
  <c r="BG468" i="4"/>
  <c r="BF468" i="4"/>
  <c r="BE468" i="4"/>
  <c r="BD468" i="4"/>
  <c r="BC468" i="4"/>
  <c r="BI466" i="4"/>
  <c r="BG466" i="4"/>
  <c r="BF466" i="4"/>
  <c r="BE466" i="4"/>
  <c r="BD466" i="4"/>
  <c r="BC466" i="4"/>
  <c r="J472" i="4"/>
  <c r="J470" i="4"/>
  <c r="J468" i="4"/>
  <c r="R239" i="18" l="1"/>
  <c r="P160" i="18"/>
  <c r="J290" i="18"/>
  <c r="BE290" i="18" s="1"/>
  <c r="P290" i="18"/>
  <c r="T160" i="18"/>
  <c r="R290" i="18"/>
  <c r="BK239" i="18"/>
  <c r="J181" i="18"/>
  <c r="BE181" i="18" s="1"/>
  <c r="R317" i="18"/>
  <c r="R181" i="18"/>
  <c r="B103" i="33"/>
  <c r="B107" i="33"/>
  <c r="B111" i="33"/>
  <c r="BI465" i="4"/>
  <c r="J465" i="4" s="1"/>
  <c r="J69" i="4" s="1"/>
  <c r="P310" i="18"/>
  <c r="R310" i="18"/>
  <c r="P165" i="18"/>
  <c r="P88" i="18" s="1"/>
  <c r="R165" i="18"/>
  <c r="R88" i="18" s="1"/>
  <c r="P314" i="18"/>
  <c r="R314" i="18"/>
  <c r="T314" i="18"/>
  <c r="P216" i="18"/>
  <c r="R216" i="18"/>
  <c r="BK216" i="18"/>
  <c r="BK195" i="18"/>
  <c r="J195" i="18" s="1"/>
  <c r="J62" i="18" s="1"/>
  <c r="T195" i="18"/>
  <c r="R195" i="18"/>
  <c r="BK314" i="18"/>
  <c r="J314" i="18" s="1"/>
  <c r="J64" i="18" s="1"/>
  <c r="T216" i="18"/>
  <c r="T88" i="18"/>
  <c r="F37" i="18"/>
  <c r="F54" i="18"/>
  <c r="F55" i="18"/>
  <c r="BK88" i="18"/>
  <c r="F35" i="18"/>
  <c r="F36" i="18"/>
  <c r="J34" i="18"/>
  <c r="P195" i="18"/>
  <c r="F33" i="18"/>
  <c r="J320" i="18"/>
  <c r="J66" i="18" s="1"/>
  <c r="BK319" i="18"/>
  <c r="J319" i="18" s="1"/>
  <c r="J65" i="18" s="1"/>
  <c r="J33" i="18"/>
  <c r="F34" i="18"/>
  <c r="E76" i="18"/>
  <c r="J80" i="18"/>
  <c r="J466" i="4"/>
  <c r="J91" i="3"/>
  <c r="J97" i="3"/>
  <c r="B115" i="33" l="1"/>
  <c r="J216" i="18"/>
  <c r="J63" i="18" s="1"/>
  <c r="BK87" i="18"/>
  <c r="BK86" i="18" s="1"/>
  <c r="J86" i="18" s="1"/>
  <c r="R87" i="18"/>
  <c r="R86" i="18" s="1"/>
  <c r="T87" i="18"/>
  <c r="T86" i="18" s="1"/>
  <c r="J88" i="18"/>
  <c r="J61" i="18" s="1"/>
  <c r="P87" i="18"/>
  <c r="P86" i="18" s="1"/>
  <c r="G8" i="8"/>
  <c r="G9" i="8"/>
  <c r="G13" i="8"/>
  <c r="G14" i="8"/>
  <c r="G18" i="8"/>
  <c r="G19" i="8"/>
  <c r="G23" i="8"/>
  <c r="G24" i="8"/>
  <c r="G25" i="8"/>
  <c r="G26" i="8"/>
  <c r="G27" i="8"/>
  <c r="G28" i="8"/>
  <c r="G32" i="8"/>
  <c r="G33" i="8"/>
  <c r="G37" i="8"/>
  <c r="G38" i="8"/>
  <c r="G39" i="8"/>
  <c r="G43" i="8"/>
  <c r="G44" i="8"/>
  <c r="G45" i="8"/>
  <c r="G46" i="8"/>
  <c r="G47" i="8"/>
  <c r="G48" i="8"/>
  <c r="G49" i="8"/>
  <c r="G53" i="8"/>
  <c r="G54" i="8"/>
  <c r="G55" i="8"/>
  <c r="G56" i="8"/>
  <c r="G57" i="8"/>
  <c r="G58" i="8"/>
  <c r="G10" i="7"/>
  <c r="G11" i="7"/>
  <c r="G15" i="7"/>
  <c r="G16" i="7"/>
  <c r="G20" i="7"/>
  <c r="G21" i="7"/>
  <c r="G25" i="7"/>
  <c r="G26" i="7"/>
  <c r="G27" i="7"/>
  <c r="G28" i="7"/>
  <c r="G32" i="7"/>
  <c r="G33" i="7"/>
  <c r="G37" i="7"/>
  <c r="G38" i="7"/>
  <c r="G39" i="7"/>
  <c r="G43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9" i="7"/>
  <c r="G70" i="7"/>
  <c r="G71" i="7"/>
  <c r="G72" i="7"/>
  <c r="G73" i="7"/>
  <c r="G74" i="7"/>
  <c r="G75" i="7"/>
  <c r="G76" i="7"/>
  <c r="G77" i="7"/>
  <c r="B119" i="33" l="1"/>
  <c r="B123" i="33" s="1"/>
  <c r="J87" i="18"/>
  <c r="J60" i="18" s="1"/>
  <c r="J59" i="18"/>
  <c r="J30" i="18"/>
  <c r="G62" i="8"/>
  <c r="G65" i="8" s="1"/>
  <c r="G80" i="7"/>
  <c r="D19" i="9" s="1"/>
  <c r="J37" i="4"/>
  <c r="J36" i="4"/>
  <c r="J35" i="4"/>
  <c r="BG463" i="4"/>
  <c r="BF463" i="4"/>
  <c r="BE463" i="4"/>
  <c r="BD463" i="4"/>
  <c r="T463" i="4"/>
  <c r="R463" i="4"/>
  <c r="P463" i="4"/>
  <c r="BG461" i="4"/>
  <c r="BF461" i="4"/>
  <c r="BE461" i="4"/>
  <c r="BD461" i="4"/>
  <c r="T461" i="4"/>
  <c r="R461" i="4"/>
  <c r="P461" i="4"/>
  <c r="BG457" i="4"/>
  <c r="BF457" i="4"/>
  <c r="BE457" i="4"/>
  <c r="BD457" i="4"/>
  <c r="T457" i="4"/>
  <c r="R457" i="4"/>
  <c r="P457" i="4"/>
  <c r="BG455" i="4"/>
  <c r="BF455" i="4"/>
  <c r="BE455" i="4"/>
  <c r="BD455" i="4"/>
  <c r="T455" i="4"/>
  <c r="R455" i="4"/>
  <c r="P455" i="4"/>
  <c r="BG452" i="4"/>
  <c r="BF452" i="4"/>
  <c r="BE452" i="4"/>
  <c r="BD452" i="4"/>
  <c r="T452" i="4"/>
  <c r="R452" i="4"/>
  <c r="P452" i="4"/>
  <c r="BG436" i="4"/>
  <c r="BF436" i="4"/>
  <c r="BE436" i="4"/>
  <c r="BD436" i="4"/>
  <c r="T436" i="4"/>
  <c r="R436" i="4"/>
  <c r="P436" i="4"/>
  <c r="BG433" i="4"/>
  <c r="BF433" i="4"/>
  <c r="BE433" i="4"/>
  <c r="BD433" i="4"/>
  <c r="T433" i="4"/>
  <c r="R433" i="4"/>
  <c r="P433" i="4"/>
  <c r="BG432" i="4"/>
  <c r="BF432" i="4"/>
  <c r="BE432" i="4"/>
  <c r="BD432" i="4"/>
  <c r="T432" i="4"/>
  <c r="R432" i="4"/>
  <c r="P432" i="4"/>
  <c r="BG430" i="4"/>
  <c r="BF430" i="4"/>
  <c r="BE430" i="4"/>
  <c r="BD430" i="4"/>
  <c r="T430" i="4"/>
  <c r="R430" i="4"/>
  <c r="P430" i="4"/>
  <c r="BG429" i="4"/>
  <c r="BF429" i="4"/>
  <c r="BE429" i="4"/>
  <c r="BD429" i="4"/>
  <c r="T429" i="4"/>
  <c r="R429" i="4"/>
  <c r="P429" i="4"/>
  <c r="BG427" i="4"/>
  <c r="BF427" i="4"/>
  <c r="BE427" i="4"/>
  <c r="BD427" i="4"/>
  <c r="T427" i="4"/>
  <c r="R427" i="4"/>
  <c r="P427" i="4"/>
  <c r="BG426" i="4"/>
  <c r="BF426" i="4"/>
  <c r="BE426" i="4"/>
  <c r="BD426" i="4"/>
  <c r="T426" i="4"/>
  <c r="R426" i="4"/>
  <c r="P426" i="4"/>
  <c r="BG425" i="4"/>
  <c r="BF425" i="4"/>
  <c r="BE425" i="4"/>
  <c r="BD425" i="4"/>
  <c r="T425" i="4"/>
  <c r="R425" i="4"/>
  <c r="P425" i="4"/>
  <c r="BG423" i="4"/>
  <c r="BF423" i="4"/>
  <c r="BE423" i="4"/>
  <c r="BD423" i="4"/>
  <c r="T423" i="4"/>
  <c r="R423" i="4"/>
  <c r="P423" i="4"/>
  <c r="BG422" i="4"/>
  <c r="BF422" i="4"/>
  <c r="BE422" i="4"/>
  <c r="BD422" i="4"/>
  <c r="T422" i="4"/>
  <c r="R422" i="4"/>
  <c r="P422" i="4"/>
  <c r="BG421" i="4"/>
  <c r="BF421" i="4"/>
  <c r="BE421" i="4"/>
  <c r="BD421" i="4"/>
  <c r="T421" i="4"/>
  <c r="R421" i="4"/>
  <c r="P421" i="4"/>
  <c r="BG420" i="4"/>
  <c r="BF420" i="4"/>
  <c r="BE420" i="4"/>
  <c r="BD420" i="4"/>
  <c r="T420" i="4"/>
  <c r="R420" i="4"/>
  <c r="P420" i="4"/>
  <c r="BG419" i="4"/>
  <c r="BF419" i="4"/>
  <c r="BE419" i="4"/>
  <c r="BD419" i="4"/>
  <c r="T419" i="4"/>
  <c r="R419" i="4"/>
  <c r="P419" i="4"/>
  <c r="BG417" i="4"/>
  <c r="BF417" i="4"/>
  <c r="BE417" i="4"/>
  <c r="BD417" i="4"/>
  <c r="T417" i="4"/>
  <c r="R417" i="4"/>
  <c r="P417" i="4"/>
  <c r="BG415" i="4"/>
  <c r="BF415" i="4"/>
  <c r="BE415" i="4"/>
  <c r="BD415" i="4"/>
  <c r="T415" i="4"/>
  <c r="R415" i="4"/>
  <c r="P415" i="4"/>
  <c r="BG414" i="4"/>
  <c r="BF414" i="4"/>
  <c r="BE414" i="4"/>
  <c r="BD414" i="4"/>
  <c r="T414" i="4"/>
  <c r="R414" i="4"/>
  <c r="P414" i="4"/>
  <c r="BG412" i="4"/>
  <c r="BF412" i="4"/>
  <c r="BE412" i="4"/>
  <c r="BD412" i="4"/>
  <c r="T412" i="4"/>
  <c r="R412" i="4"/>
  <c r="P412" i="4"/>
  <c r="BG410" i="4"/>
  <c r="BF410" i="4"/>
  <c r="BE410" i="4"/>
  <c r="BD410" i="4"/>
  <c r="T410" i="4"/>
  <c r="R410" i="4"/>
  <c r="P410" i="4"/>
  <c r="BG408" i="4"/>
  <c r="BF408" i="4"/>
  <c r="BE408" i="4"/>
  <c r="BD408" i="4"/>
  <c r="T408" i="4"/>
  <c r="R408" i="4"/>
  <c r="P408" i="4"/>
  <c r="BG406" i="4"/>
  <c r="BF406" i="4"/>
  <c r="BE406" i="4"/>
  <c r="BD406" i="4"/>
  <c r="T406" i="4"/>
  <c r="R406" i="4"/>
  <c r="P406" i="4"/>
  <c r="BG404" i="4"/>
  <c r="BF404" i="4"/>
  <c r="BE404" i="4"/>
  <c r="BD404" i="4"/>
  <c r="T404" i="4"/>
  <c r="R404" i="4"/>
  <c r="P404" i="4"/>
  <c r="BG403" i="4"/>
  <c r="BF403" i="4"/>
  <c r="BE403" i="4"/>
  <c r="BD403" i="4"/>
  <c r="T403" i="4"/>
  <c r="R403" i="4"/>
  <c r="P403" i="4"/>
  <c r="BG402" i="4"/>
  <c r="BF402" i="4"/>
  <c r="BE402" i="4"/>
  <c r="BD402" i="4"/>
  <c r="T402" i="4"/>
  <c r="R402" i="4"/>
  <c r="P402" i="4"/>
  <c r="BG400" i="4"/>
  <c r="BF400" i="4"/>
  <c r="BE400" i="4"/>
  <c r="BD400" i="4"/>
  <c r="T400" i="4"/>
  <c r="R400" i="4"/>
  <c r="P400" i="4"/>
  <c r="BG399" i="4"/>
  <c r="BF399" i="4"/>
  <c r="BE399" i="4"/>
  <c r="BD399" i="4"/>
  <c r="T399" i="4"/>
  <c r="R399" i="4"/>
  <c r="P399" i="4"/>
  <c r="BG397" i="4"/>
  <c r="BF397" i="4"/>
  <c r="BE397" i="4"/>
  <c r="BD397" i="4"/>
  <c r="T397" i="4"/>
  <c r="R397" i="4"/>
  <c r="P397" i="4"/>
  <c r="BG392" i="4"/>
  <c r="BF392" i="4"/>
  <c r="BE392" i="4"/>
  <c r="BD392" i="4"/>
  <c r="T392" i="4"/>
  <c r="R392" i="4"/>
  <c r="P392" i="4"/>
  <c r="BG388" i="4"/>
  <c r="BF388" i="4"/>
  <c r="BE388" i="4"/>
  <c r="BD388" i="4"/>
  <c r="T388" i="4"/>
  <c r="R388" i="4"/>
  <c r="P388" i="4"/>
  <c r="BG384" i="4"/>
  <c r="BF384" i="4"/>
  <c r="BE384" i="4"/>
  <c r="BD384" i="4"/>
  <c r="T384" i="4"/>
  <c r="R384" i="4"/>
  <c r="P384" i="4"/>
  <c r="BG380" i="4"/>
  <c r="BF380" i="4"/>
  <c r="BE380" i="4"/>
  <c r="BD380" i="4"/>
  <c r="T380" i="4"/>
  <c r="R380" i="4"/>
  <c r="P380" i="4"/>
  <c r="BG375" i="4"/>
  <c r="BF375" i="4"/>
  <c r="BE375" i="4"/>
  <c r="BD375" i="4"/>
  <c r="T375" i="4"/>
  <c r="R375" i="4"/>
  <c r="P375" i="4"/>
  <c r="BG372" i="4"/>
  <c r="BF372" i="4"/>
  <c r="BE372" i="4"/>
  <c r="BD372" i="4"/>
  <c r="T372" i="4"/>
  <c r="T371" i="4" s="1"/>
  <c r="R372" i="4"/>
  <c r="R371" i="4" s="1"/>
  <c r="P372" i="4"/>
  <c r="P371" i="4" s="1"/>
  <c r="BG356" i="4"/>
  <c r="BF356" i="4"/>
  <c r="BE356" i="4"/>
  <c r="BD356" i="4"/>
  <c r="T356" i="4"/>
  <c r="R356" i="4"/>
  <c r="P356" i="4"/>
  <c r="BG353" i="4"/>
  <c r="BF353" i="4"/>
  <c r="BE353" i="4"/>
  <c r="BD353" i="4"/>
  <c r="T353" i="4"/>
  <c r="R353" i="4"/>
  <c r="P353" i="4"/>
  <c r="BG348" i="4"/>
  <c r="BF348" i="4"/>
  <c r="BE348" i="4"/>
  <c r="BD348" i="4"/>
  <c r="T348" i="4"/>
  <c r="R348" i="4"/>
  <c r="P348" i="4"/>
  <c r="BG333" i="4"/>
  <c r="BF333" i="4"/>
  <c r="BE333" i="4"/>
  <c r="BD333" i="4"/>
  <c r="T333" i="4"/>
  <c r="R333" i="4"/>
  <c r="P333" i="4"/>
  <c r="BG327" i="4"/>
  <c r="BF327" i="4"/>
  <c r="BE327" i="4"/>
  <c r="BD327" i="4"/>
  <c r="T327" i="4"/>
  <c r="R327" i="4"/>
  <c r="P327" i="4"/>
  <c r="BG295" i="4"/>
  <c r="BF295" i="4"/>
  <c r="BE295" i="4"/>
  <c r="BD295" i="4"/>
  <c r="T295" i="4"/>
  <c r="R295" i="4"/>
  <c r="P295" i="4"/>
  <c r="BG293" i="4"/>
  <c r="BF293" i="4"/>
  <c r="BE293" i="4"/>
  <c r="BD293" i="4"/>
  <c r="T293" i="4"/>
  <c r="R293" i="4"/>
  <c r="P293" i="4"/>
  <c r="BG290" i="4"/>
  <c r="BF290" i="4"/>
  <c r="BE290" i="4"/>
  <c r="BD290" i="4"/>
  <c r="T290" i="4"/>
  <c r="R290" i="4"/>
  <c r="P290" i="4"/>
  <c r="BG275" i="4"/>
  <c r="BF275" i="4"/>
  <c r="BE275" i="4"/>
  <c r="BD275" i="4"/>
  <c r="T275" i="4"/>
  <c r="R275" i="4"/>
  <c r="P275" i="4"/>
  <c r="BG273" i="4"/>
  <c r="BF273" i="4"/>
  <c r="BE273" i="4"/>
  <c r="BD273" i="4"/>
  <c r="T273" i="4"/>
  <c r="R273" i="4"/>
  <c r="P273" i="4"/>
  <c r="BG263" i="4"/>
  <c r="BF263" i="4"/>
  <c r="BE263" i="4"/>
  <c r="BD263" i="4"/>
  <c r="T263" i="4"/>
  <c r="R263" i="4"/>
  <c r="P263" i="4"/>
  <c r="BG260" i="4"/>
  <c r="BF260" i="4"/>
  <c r="BE260" i="4"/>
  <c r="BD260" i="4"/>
  <c r="T260" i="4"/>
  <c r="R260" i="4"/>
  <c r="P260" i="4"/>
  <c r="BG258" i="4"/>
  <c r="BF258" i="4"/>
  <c r="BE258" i="4"/>
  <c r="BD258" i="4"/>
  <c r="T258" i="4"/>
  <c r="R258" i="4"/>
  <c r="P258" i="4"/>
  <c r="BG255" i="4"/>
  <c r="BF255" i="4"/>
  <c r="BE255" i="4"/>
  <c r="BD255" i="4"/>
  <c r="T255" i="4"/>
  <c r="R255" i="4"/>
  <c r="P255" i="4"/>
  <c r="BG252" i="4"/>
  <c r="BF252" i="4"/>
  <c r="BE252" i="4"/>
  <c r="BD252" i="4"/>
  <c r="T252" i="4"/>
  <c r="R252" i="4"/>
  <c r="P252" i="4"/>
  <c r="BG250" i="4"/>
  <c r="BF250" i="4"/>
  <c r="BE250" i="4"/>
  <c r="BD250" i="4"/>
  <c r="T250" i="4"/>
  <c r="R250" i="4"/>
  <c r="P250" i="4"/>
  <c r="BG238" i="4"/>
  <c r="BF238" i="4"/>
  <c r="BE238" i="4"/>
  <c r="BD238" i="4"/>
  <c r="T238" i="4"/>
  <c r="R238" i="4"/>
  <c r="P238" i="4"/>
  <c r="BG236" i="4"/>
  <c r="BF236" i="4"/>
  <c r="BE236" i="4"/>
  <c r="BD236" i="4"/>
  <c r="T236" i="4"/>
  <c r="R236" i="4"/>
  <c r="P236" i="4"/>
  <c r="BG228" i="4"/>
  <c r="BF228" i="4"/>
  <c r="BE228" i="4"/>
  <c r="BD228" i="4"/>
  <c r="T228" i="4"/>
  <c r="R228" i="4"/>
  <c r="P228" i="4"/>
  <c r="BG224" i="4"/>
  <c r="BF224" i="4"/>
  <c r="BE224" i="4"/>
  <c r="BD224" i="4"/>
  <c r="T224" i="4"/>
  <c r="R224" i="4"/>
  <c r="P224" i="4"/>
  <c r="BG214" i="4"/>
  <c r="BF214" i="4"/>
  <c r="BE214" i="4"/>
  <c r="BD214" i="4"/>
  <c r="T214" i="4"/>
  <c r="R214" i="4"/>
  <c r="P214" i="4"/>
  <c r="BG204" i="4"/>
  <c r="BF204" i="4"/>
  <c r="BE204" i="4"/>
  <c r="BD204" i="4"/>
  <c r="T204" i="4"/>
  <c r="R204" i="4"/>
  <c r="P204" i="4"/>
  <c r="BG194" i="4"/>
  <c r="BF194" i="4"/>
  <c r="BE194" i="4"/>
  <c r="BD194" i="4"/>
  <c r="T194" i="4"/>
  <c r="R194" i="4"/>
  <c r="P194" i="4"/>
  <c r="BG187" i="4"/>
  <c r="BF187" i="4"/>
  <c r="BE187" i="4"/>
  <c r="BD187" i="4"/>
  <c r="T187" i="4"/>
  <c r="R187" i="4"/>
  <c r="P187" i="4"/>
  <c r="BG175" i="4"/>
  <c r="BF175" i="4"/>
  <c r="BE175" i="4"/>
  <c r="BD175" i="4"/>
  <c r="T175" i="4"/>
  <c r="R175" i="4"/>
  <c r="P175" i="4"/>
  <c r="BG168" i="4"/>
  <c r="BF168" i="4"/>
  <c r="BE168" i="4"/>
  <c r="BD168" i="4"/>
  <c r="T168" i="4"/>
  <c r="R168" i="4"/>
  <c r="P168" i="4"/>
  <c r="BG156" i="4"/>
  <c r="BF156" i="4"/>
  <c r="BE156" i="4"/>
  <c r="BD156" i="4"/>
  <c r="T156" i="4"/>
  <c r="R156" i="4"/>
  <c r="P156" i="4"/>
  <c r="BG149" i="4"/>
  <c r="BF149" i="4"/>
  <c r="BE149" i="4"/>
  <c r="BD149" i="4"/>
  <c r="T149" i="4"/>
  <c r="R149" i="4"/>
  <c r="P149" i="4"/>
  <c r="BG137" i="4"/>
  <c r="BF137" i="4"/>
  <c r="BE137" i="4"/>
  <c r="BD137" i="4"/>
  <c r="T137" i="4"/>
  <c r="R137" i="4"/>
  <c r="P137" i="4"/>
  <c r="BG133" i="4"/>
  <c r="BF133" i="4"/>
  <c r="BE133" i="4"/>
  <c r="BD133" i="4"/>
  <c r="T133" i="4"/>
  <c r="R133" i="4"/>
  <c r="P133" i="4"/>
  <c r="BG125" i="4"/>
  <c r="BF125" i="4"/>
  <c r="BE125" i="4"/>
  <c r="BD125" i="4"/>
  <c r="T125" i="4"/>
  <c r="R125" i="4"/>
  <c r="P125" i="4"/>
  <c r="BG119" i="4"/>
  <c r="BF119" i="4"/>
  <c r="BE119" i="4"/>
  <c r="BD119" i="4"/>
  <c r="T119" i="4"/>
  <c r="R119" i="4"/>
  <c r="P119" i="4"/>
  <c r="BG91" i="4"/>
  <c r="BF91" i="4"/>
  <c r="BE91" i="4"/>
  <c r="BD91" i="4"/>
  <c r="T91" i="4"/>
  <c r="R91" i="4"/>
  <c r="P91" i="4"/>
  <c r="J85" i="4"/>
  <c r="J84" i="4"/>
  <c r="F82" i="4"/>
  <c r="E80" i="4"/>
  <c r="J55" i="4"/>
  <c r="J54" i="4"/>
  <c r="F52" i="4"/>
  <c r="E50" i="4"/>
  <c r="J18" i="4"/>
  <c r="E18" i="4"/>
  <c r="F85" i="4" s="1"/>
  <c r="J17" i="4"/>
  <c r="J15" i="4"/>
  <c r="E15" i="4"/>
  <c r="F54" i="4" s="1"/>
  <c r="J14" i="4"/>
  <c r="J12" i="4"/>
  <c r="J52" i="4" s="1"/>
  <c r="E7" i="4"/>
  <c r="E78" i="4" s="1"/>
  <c r="J37" i="3"/>
  <c r="J36" i="3"/>
  <c r="J35" i="3"/>
  <c r="BH453" i="3"/>
  <c r="BG453" i="3"/>
  <c r="BF453" i="3"/>
  <c r="BE453" i="3"/>
  <c r="BH451" i="3"/>
  <c r="BG451" i="3"/>
  <c r="BF451" i="3"/>
  <c r="BE451" i="3"/>
  <c r="BH449" i="3"/>
  <c r="BG449" i="3"/>
  <c r="BF449" i="3"/>
  <c r="BE449" i="3"/>
  <c r="BH448" i="3"/>
  <c r="BG448" i="3"/>
  <c r="BF448" i="3"/>
  <c r="BE448" i="3"/>
  <c r="BH446" i="3"/>
  <c r="BG446" i="3"/>
  <c r="BF446" i="3"/>
  <c r="BE446" i="3"/>
  <c r="BH444" i="3"/>
  <c r="BG444" i="3"/>
  <c r="BF444" i="3"/>
  <c r="BE444" i="3"/>
  <c r="BH442" i="3"/>
  <c r="BG442" i="3"/>
  <c r="BF442" i="3"/>
  <c r="BE442" i="3"/>
  <c r="BH438" i="3"/>
  <c r="BG438" i="3"/>
  <c r="BF438" i="3"/>
  <c r="BE438" i="3"/>
  <c r="BH436" i="3"/>
  <c r="BG436" i="3"/>
  <c r="BF436" i="3"/>
  <c r="BE436" i="3"/>
  <c r="BH433" i="3"/>
  <c r="BG433" i="3"/>
  <c r="BF433" i="3"/>
  <c r="BE433" i="3"/>
  <c r="BH431" i="3"/>
  <c r="BG431" i="3"/>
  <c r="BF431" i="3"/>
  <c r="BE431" i="3"/>
  <c r="BH429" i="3"/>
  <c r="BG429" i="3"/>
  <c r="BF429" i="3"/>
  <c r="BE429" i="3"/>
  <c r="BH427" i="3"/>
  <c r="BG427" i="3"/>
  <c r="BF427" i="3"/>
  <c r="BE427" i="3"/>
  <c r="BH425" i="3"/>
  <c r="BG425" i="3"/>
  <c r="BF425" i="3"/>
  <c r="BE425" i="3"/>
  <c r="BH424" i="3"/>
  <c r="BG424" i="3"/>
  <c r="BF424" i="3"/>
  <c r="BE424" i="3"/>
  <c r="BH422" i="3"/>
  <c r="BG422" i="3"/>
  <c r="BF422" i="3"/>
  <c r="BE422" i="3"/>
  <c r="BH420" i="3"/>
  <c r="BG420" i="3"/>
  <c r="BF420" i="3"/>
  <c r="BE420" i="3"/>
  <c r="BH419" i="3"/>
  <c r="BG419" i="3"/>
  <c r="BF419" i="3"/>
  <c r="BE419" i="3"/>
  <c r="BH418" i="3"/>
  <c r="BG418" i="3"/>
  <c r="BF418" i="3"/>
  <c r="BE418" i="3"/>
  <c r="BH416" i="3"/>
  <c r="BG416" i="3"/>
  <c r="BF416" i="3"/>
  <c r="BE416" i="3"/>
  <c r="BH415" i="3"/>
  <c r="BG415" i="3"/>
  <c r="BF415" i="3"/>
  <c r="BE415" i="3"/>
  <c r="BH413" i="3"/>
  <c r="BG413" i="3"/>
  <c r="BF413" i="3"/>
  <c r="BE413" i="3"/>
  <c r="BH412" i="3"/>
  <c r="BG412" i="3"/>
  <c r="BF412" i="3"/>
  <c r="BE412" i="3"/>
  <c r="BH411" i="3"/>
  <c r="BG411" i="3"/>
  <c r="BF411" i="3"/>
  <c r="BE411" i="3"/>
  <c r="BH409" i="3"/>
  <c r="BG409" i="3"/>
  <c r="BF409" i="3"/>
  <c r="BE409" i="3"/>
  <c r="BH408" i="3"/>
  <c r="BG408" i="3"/>
  <c r="BF408" i="3"/>
  <c r="BE408" i="3"/>
  <c r="BH407" i="3"/>
  <c r="BG407" i="3"/>
  <c r="BF407" i="3"/>
  <c r="BE407" i="3"/>
  <c r="BH406" i="3"/>
  <c r="BG406" i="3"/>
  <c r="BF406" i="3"/>
  <c r="BE406" i="3"/>
  <c r="BH405" i="3"/>
  <c r="BG405" i="3"/>
  <c r="BF405" i="3"/>
  <c r="BE405" i="3"/>
  <c r="BH403" i="3"/>
  <c r="BG403" i="3"/>
  <c r="BF403" i="3"/>
  <c r="BE403" i="3"/>
  <c r="BH401" i="3"/>
  <c r="BG401" i="3"/>
  <c r="BF401" i="3"/>
  <c r="BE401" i="3"/>
  <c r="BH395" i="3"/>
  <c r="BG395" i="3"/>
  <c r="BF395" i="3"/>
  <c r="BE395" i="3"/>
  <c r="BH394" i="3"/>
  <c r="BG394" i="3"/>
  <c r="BF394" i="3"/>
  <c r="BE394" i="3"/>
  <c r="BH393" i="3"/>
  <c r="BG393" i="3"/>
  <c r="BF393" i="3"/>
  <c r="BE393" i="3"/>
  <c r="BH391" i="3"/>
  <c r="BG391" i="3"/>
  <c r="BF391" i="3"/>
  <c r="BE391" i="3"/>
  <c r="BH389" i="3"/>
  <c r="BG389" i="3"/>
  <c r="BF389" i="3"/>
  <c r="BE389" i="3"/>
  <c r="BH387" i="3"/>
  <c r="BG387" i="3"/>
  <c r="BF387" i="3"/>
  <c r="BE387" i="3"/>
  <c r="BH386" i="3"/>
  <c r="BG386" i="3"/>
  <c r="BF386" i="3"/>
  <c r="BE386" i="3"/>
  <c r="BH385" i="3"/>
  <c r="BG385" i="3"/>
  <c r="BF385" i="3"/>
  <c r="BE385" i="3"/>
  <c r="BH383" i="3"/>
  <c r="BG383" i="3"/>
  <c r="BF383" i="3"/>
  <c r="BE383" i="3"/>
  <c r="BH382" i="3"/>
  <c r="BG382" i="3"/>
  <c r="BF382" i="3"/>
  <c r="BE382" i="3"/>
  <c r="BH381" i="3"/>
  <c r="BG381" i="3"/>
  <c r="BF381" i="3"/>
  <c r="BE381" i="3"/>
  <c r="BH379" i="3"/>
  <c r="BG379" i="3"/>
  <c r="BF379" i="3"/>
  <c r="BE379" i="3"/>
  <c r="BH378" i="3"/>
  <c r="BG378" i="3"/>
  <c r="BF378" i="3"/>
  <c r="BE378" i="3"/>
  <c r="BH376" i="3"/>
  <c r="BG376" i="3"/>
  <c r="BF376" i="3"/>
  <c r="BE376" i="3"/>
  <c r="BH375" i="3"/>
  <c r="BG375" i="3"/>
  <c r="BF375" i="3"/>
  <c r="BE375" i="3"/>
  <c r="BH373" i="3"/>
  <c r="BG373" i="3"/>
  <c r="BF373" i="3"/>
  <c r="BE373" i="3"/>
  <c r="BH372" i="3"/>
  <c r="BG372" i="3"/>
  <c r="BF372" i="3"/>
  <c r="BE372" i="3"/>
  <c r="BH370" i="3"/>
  <c r="BG370" i="3"/>
  <c r="BF370" i="3"/>
  <c r="BE370" i="3"/>
  <c r="BH369" i="3"/>
  <c r="BG369" i="3"/>
  <c r="BF369" i="3"/>
  <c r="BE369" i="3"/>
  <c r="BH367" i="3"/>
  <c r="BG367" i="3"/>
  <c r="BF367" i="3"/>
  <c r="BE367" i="3"/>
  <c r="BH366" i="3"/>
  <c r="BG366" i="3"/>
  <c r="BF366" i="3"/>
  <c r="BE366" i="3"/>
  <c r="BH364" i="3"/>
  <c r="BG364" i="3"/>
  <c r="BF364" i="3"/>
  <c r="BE364" i="3"/>
  <c r="BH363" i="3"/>
  <c r="BG363" i="3"/>
  <c r="BF363" i="3"/>
  <c r="BE363" i="3"/>
  <c r="BH362" i="3"/>
  <c r="BG362" i="3"/>
  <c r="BF362" i="3"/>
  <c r="BE362" i="3"/>
  <c r="BH361" i="3"/>
  <c r="BG361" i="3"/>
  <c r="BF361" i="3"/>
  <c r="BE361" i="3"/>
  <c r="BH360" i="3"/>
  <c r="BG360" i="3"/>
  <c r="BF360" i="3"/>
  <c r="BE360" i="3"/>
  <c r="BH359" i="3"/>
  <c r="BG359" i="3"/>
  <c r="BF359" i="3"/>
  <c r="BE359" i="3"/>
  <c r="BH357" i="3"/>
  <c r="BG357" i="3"/>
  <c r="BF357" i="3"/>
  <c r="BE357" i="3"/>
  <c r="BH356" i="3"/>
  <c r="BG356" i="3"/>
  <c r="BF356" i="3"/>
  <c r="BE356" i="3"/>
  <c r="BH354" i="3"/>
  <c r="BG354" i="3"/>
  <c r="BF354" i="3"/>
  <c r="BE354" i="3"/>
  <c r="BH353" i="3"/>
  <c r="BG353" i="3"/>
  <c r="BF353" i="3"/>
  <c r="BE353" i="3"/>
  <c r="BH351" i="3"/>
  <c r="BG351" i="3"/>
  <c r="BF351" i="3"/>
  <c r="BE351" i="3"/>
  <c r="BH350" i="3"/>
  <c r="BG350" i="3"/>
  <c r="BF350" i="3"/>
  <c r="BE350" i="3"/>
  <c r="BH348" i="3"/>
  <c r="BG348" i="3"/>
  <c r="BF348" i="3"/>
  <c r="BE348" i="3"/>
  <c r="BH346" i="3"/>
  <c r="BG346" i="3"/>
  <c r="BF346" i="3"/>
  <c r="BE346" i="3"/>
  <c r="BH344" i="3"/>
  <c r="BG344" i="3"/>
  <c r="BF344" i="3"/>
  <c r="BE344" i="3"/>
  <c r="BH342" i="3"/>
  <c r="BG342" i="3"/>
  <c r="BF342" i="3"/>
  <c r="BE342" i="3"/>
  <c r="BH340" i="3"/>
  <c r="BG340" i="3"/>
  <c r="BF340" i="3"/>
  <c r="BE340" i="3"/>
  <c r="BH338" i="3"/>
  <c r="BG338" i="3"/>
  <c r="BF338" i="3"/>
  <c r="BE338" i="3"/>
  <c r="BH336" i="3"/>
  <c r="BG336" i="3"/>
  <c r="BF336" i="3"/>
  <c r="BE336" i="3"/>
  <c r="BH334" i="3"/>
  <c r="BG334" i="3"/>
  <c r="BF334" i="3"/>
  <c r="BE334" i="3"/>
  <c r="BH332" i="3"/>
  <c r="BG332" i="3"/>
  <c r="BF332" i="3"/>
  <c r="BE332" i="3"/>
  <c r="BH331" i="3"/>
  <c r="BG331" i="3"/>
  <c r="BF331" i="3"/>
  <c r="BE331" i="3"/>
  <c r="BH330" i="3"/>
  <c r="BG330" i="3"/>
  <c r="BF330" i="3"/>
  <c r="BE330" i="3"/>
  <c r="BH329" i="3"/>
  <c r="BG329" i="3"/>
  <c r="BF329" i="3"/>
  <c r="BE329" i="3"/>
  <c r="BH327" i="3"/>
  <c r="BG327" i="3"/>
  <c r="BF327" i="3"/>
  <c r="BE327" i="3"/>
  <c r="BH326" i="3"/>
  <c r="BG326" i="3"/>
  <c r="BF326" i="3"/>
  <c r="BE326" i="3"/>
  <c r="BH324" i="3"/>
  <c r="BG324" i="3"/>
  <c r="BF324" i="3"/>
  <c r="BE324" i="3"/>
  <c r="BH323" i="3"/>
  <c r="BG323" i="3"/>
  <c r="BF323" i="3"/>
  <c r="BE323" i="3"/>
  <c r="BH322" i="3"/>
  <c r="BG322" i="3"/>
  <c r="BF322" i="3"/>
  <c r="BE322" i="3"/>
  <c r="BH320" i="3"/>
  <c r="BG320" i="3"/>
  <c r="BF320" i="3"/>
  <c r="BE320" i="3"/>
  <c r="BH319" i="3"/>
  <c r="BG319" i="3"/>
  <c r="BF319" i="3"/>
  <c r="BE319" i="3"/>
  <c r="BH318" i="3"/>
  <c r="BG318" i="3"/>
  <c r="BF318" i="3"/>
  <c r="BE318" i="3"/>
  <c r="BH317" i="3"/>
  <c r="BG317" i="3"/>
  <c r="BF317" i="3"/>
  <c r="BE317" i="3"/>
  <c r="BH315" i="3"/>
  <c r="BG315" i="3"/>
  <c r="BF315" i="3"/>
  <c r="BE315" i="3"/>
  <c r="BH314" i="3"/>
  <c r="BG314" i="3"/>
  <c r="BF314" i="3"/>
  <c r="BE314" i="3"/>
  <c r="BH312" i="3"/>
  <c r="BG312" i="3"/>
  <c r="BF312" i="3"/>
  <c r="BE312" i="3"/>
  <c r="BH310" i="3"/>
  <c r="BG310" i="3"/>
  <c r="BF310" i="3"/>
  <c r="BE310" i="3"/>
  <c r="BH309" i="3"/>
  <c r="BG309" i="3"/>
  <c r="BF309" i="3"/>
  <c r="BE309" i="3"/>
  <c r="BH308" i="3"/>
  <c r="BG308" i="3"/>
  <c r="BF308" i="3"/>
  <c r="BE308" i="3"/>
  <c r="BH307" i="3"/>
  <c r="BG307" i="3"/>
  <c r="BF307" i="3"/>
  <c r="BE307" i="3"/>
  <c r="BH305" i="3"/>
  <c r="BG305" i="3"/>
  <c r="BF305" i="3"/>
  <c r="BE305" i="3"/>
  <c r="BH300" i="3"/>
  <c r="BG300" i="3"/>
  <c r="BF300" i="3"/>
  <c r="BE300" i="3"/>
  <c r="BH293" i="3"/>
  <c r="BG293" i="3"/>
  <c r="BF293" i="3"/>
  <c r="BE293" i="3"/>
  <c r="BH284" i="3"/>
  <c r="BG284" i="3"/>
  <c r="BF284" i="3"/>
  <c r="BE284" i="3"/>
  <c r="BH277" i="3"/>
  <c r="BG277" i="3"/>
  <c r="BF277" i="3"/>
  <c r="BE277" i="3"/>
  <c r="BH271" i="3"/>
  <c r="BG271" i="3"/>
  <c r="BF271" i="3"/>
  <c r="BE271" i="3"/>
  <c r="BH264" i="3"/>
  <c r="BG264" i="3"/>
  <c r="BF264" i="3"/>
  <c r="BE264" i="3"/>
  <c r="BH254" i="3"/>
  <c r="BG254" i="3"/>
  <c r="BF254" i="3"/>
  <c r="BE254" i="3"/>
  <c r="BH246" i="3"/>
  <c r="BG246" i="3"/>
  <c r="BF246" i="3"/>
  <c r="BE246" i="3"/>
  <c r="BH243" i="3"/>
  <c r="BG243" i="3"/>
  <c r="BF243" i="3"/>
  <c r="BE243" i="3"/>
  <c r="BH230" i="3"/>
  <c r="BG230" i="3"/>
  <c r="BF230" i="3"/>
  <c r="BE230" i="3"/>
  <c r="BH228" i="3"/>
  <c r="BG228" i="3"/>
  <c r="BF228" i="3"/>
  <c r="BE228" i="3"/>
  <c r="BH216" i="3"/>
  <c r="BG216" i="3"/>
  <c r="BF216" i="3"/>
  <c r="BE216" i="3"/>
  <c r="BH214" i="3"/>
  <c r="BG214" i="3"/>
  <c r="BF214" i="3"/>
  <c r="BE214" i="3"/>
  <c r="BH212" i="3"/>
  <c r="BG212" i="3"/>
  <c r="BF212" i="3"/>
  <c r="BE212" i="3"/>
  <c r="BH209" i="3"/>
  <c r="BG209" i="3"/>
  <c r="BF209" i="3"/>
  <c r="BE209" i="3"/>
  <c r="BH207" i="3"/>
  <c r="BG207" i="3"/>
  <c r="BF207" i="3"/>
  <c r="BE207" i="3"/>
  <c r="BH200" i="3"/>
  <c r="BG200" i="3"/>
  <c r="BF200" i="3"/>
  <c r="BE200" i="3"/>
  <c r="BH197" i="3"/>
  <c r="BG197" i="3"/>
  <c r="BF197" i="3"/>
  <c r="BE197" i="3"/>
  <c r="BH195" i="3"/>
  <c r="BG195" i="3"/>
  <c r="BF195" i="3"/>
  <c r="BE195" i="3"/>
  <c r="BH192" i="3"/>
  <c r="BG192" i="3"/>
  <c r="BF192" i="3"/>
  <c r="BE192" i="3"/>
  <c r="BH190" i="3"/>
  <c r="BG190" i="3"/>
  <c r="BF190" i="3"/>
  <c r="BE190" i="3"/>
  <c r="BH188" i="3"/>
  <c r="BG188" i="3"/>
  <c r="BF188" i="3"/>
  <c r="BE188" i="3"/>
  <c r="BH181" i="3"/>
  <c r="BG181" i="3"/>
  <c r="BF181" i="3"/>
  <c r="BE181" i="3"/>
  <c r="BH179" i="3"/>
  <c r="BG179" i="3"/>
  <c r="BF179" i="3"/>
  <c r="BE179" i="3"/>
  <c r="BH168" i="3"/>
  <c r="BG168" i="3"/>
  <c r="BF168" i="3"/>
  <c r="BE168" i="3"/>
  <c r="BH164" i="3"/>
  <c r="BG164" i="3"/>
  <c r="BF164" i="3"/>
  <c r="BE164" i="3"/>
  <c r="BH143" i="3"/>
  <c r="BG143" i="3"/>
  <c r="BF143" i="3"/>
  <c r="BE143" i="3"/>
  <c r="BH122" i="3"/>
  <c r="BG122" i="3"/>
  <c r="BF122" i="3"/>
  <c r="BE122" i="3"/>
  <c r="BH101" i="3"/>
  <c r="BG101" i="3"/>
  <c r="BF101" i="3"/>
  <c r="BE101" i="3"/>
  <c r="BH97" i="3"/>
  <c r="BG97" i="3"/>
  <c r="BF97" i="3"/>
  <c r="BE97" i="3"/>
  <c r="BH91" i="3"/>
  <c r="BG91" i="3"/>
  <c r="BF91" i="3"/>
  <c r="BE91" i="3"/>
  <c r="J85" i="3"/>
  <c r="J84" i="3"/>
  <c r="F82" i="3"/>
  <c r="E80" i="3"/>
  <c r="J55" i="3"/>
  <c r="J54" i="3"/>
  <c r="F52" i="3"/>
  <c r="E50" i="3"/>
  <c r="J18" i="3"/>
  <c r="E18" i="3"/>
  <c r="F85" i="3" s="1"/>
  <c r="J17" i="3"/>
  <c r="J15" i="3"/>
  <c r="E15" i="3"/>
  <c r="F84" i="3" s="1"/>
  <c r="J14" i="3"/>
  <c r="J12" i="3"/>
  <c r="J82" i="3" s="1"/>
  <c r="E7" i="3"/>
  <c r="E78" i="3" s="1"/>
  <c r="J37" i="2"/>
  <c r="J36" i="2"/>
  <c r="J35" i="2"/>
  <c r="BI361" i="2"/>
  <c r="BH361" i="2"/>
  <c r="BG361" i="2"/>
  <c r="BF361" i="2"/>
  <c r="T361" i="2"/>
  <c r="T360" i="2" s="1"/>
  <c r="T359" i="2" s="1"/>
  <c r="R361" i="2"/>
  <c r="R360" i="2" s="1"/>
  <c r="R359" i="2" s="1"/>
  <c r="P361" i="2"/>
  <c r="P360" i="2" s="1"/>
  <c r="P359" i="2" s="1"/>
  <c r="BI357" i="2"/>
  <c r="BH357" i="2"/>
  <c r="BG357" i="2"/>
  <c r="BF357" i="2"/>
  <c r="T357" i="2"/>
  <c r="R357" i="2"/>
  <c r="P357" i="2"/>
  <c r="BA355" i="2"/>
  <c r="AZ355" i="2"/>
  <c r="AY355" i="2"/>
  <c r="AX355" i="2"/>
  <c r="T355" i="2"/>
  <c r="R355" i="2"/>
  <c r="P355" i="2"/>
  <c r="BA352" i="2"/>
  <c r="AZ352" i="2"/>
  <c r="AY352" i="2"/>
  <c r="AX352" i="2"/>
  <c r="T352" i="2"/>
  <c r="R352" i="2"/>
  <c r="P352" i="2"/>
  <c r="BA350" i="2"/>
  <c r="AZ350" i="2"/>
  <c r="AY350" i="2"/>
  <c r="AX350" i="2"/>
  <c r="T350" i="2"/>
  <c r="R350" i="2"/>
  <c r="P350" i="2"/>
  <c r="BA348" i="2"/>
  <c r="AZ348" i="2"/>
  <c r="AY348" i="2"/>
  <c r="AX348" i="2"/>
  <c r="T348" i="2"/>
  <c r="R348" i="2"/>
  <c r="P348" i="2"/>
  <c r="BA347" i="2"/>
  <c r="AZ347" i="2"/>
  <c r="AY347" i="2"/>
  <c r="AX347" i="2"/>
  <c r="T347" i="2"/>
  <c r="R347" i="2"/>
  <c r="P347" i="2"/>
  <c r="BA346" i="2"/>
  <c r="AZ346" i="2"/>
  <c r="AY346" i="2"/>
  <c r="AX346" i="2"/>
  <c r="T346" i="2"/>
  <c r="R346" i="2"/>
  <c r="P346" i="2"/>
  <c r="BA344" i="2"/>
  <c r="AZ344" i="2"/>
  <c r="AY344" i="2"/>
  <c r="AX344" i="2"/>
  <c r="T344" i="2"/>
  <c r="R344" i="2"/>
  <c r="P344" i="2"/>
  <c r="BA343" i="2"/>
  <c r="AZ343" i="2"/>
  <c r="AY343" i="2"/>
  <c r="AX343" i="2"/>
  <c r="T343" i="2"/>
  <c r="R343" i="2"/>
  <c r="P343" i="2"/>
  <c r="BA342" i="2"/>
  <c r="AZ342" i="2"/>
  <c r="AY342" i="2"/>
  <c r="AX342" i="2"/>
  <c r="T342" i="2"/>
  <c r="R342" i="2"/>
  <c r="P342" i="2"/>
  <c r="BA340" i="2"/>
  <c r="AZ340" i="2"/>
  <c r="AY340" i="2"/>
  <c r="AX340" i="2"/>
  <c r="T340" i="2"/>
  <c r="R340" i="2"/>
  <c r="P340" i="2"/>
  <c r="BA338" i="2"/>
  <c r="AZ338" i="2"/>
  <c r="AY338" i="2"/>
  <c r="AX338" i="2"/>
  <c r="T338" i="2"/>
  <c r="R338" i="2"/>
  <c r="P338" i="2"/>
  <c r="BA332" i="2"/>
  <c r="AZ332" i="2"/>
  <c r="AY332" i="2"/>
  <c r="AX332" i="2"/>
  <c r="T332" i="2"/>
  <c r="R332" i="2"/>
  <c r="P332" i="2"/>
  <c r="BA330" i="2"/>
  <c r="AZ330" i="2"/>
  <c r="AY330" i="2"/>
  <c r="AX330" i="2"/>
  <c r="T330" i="2"/>
  <c r="R330" i="2"/>
  <c r="P330" i="2"/>
  <c r="BA328" i="2"/>
  <c r="AZ328" i="2"/>
  <c r="AY328" i="2"/>
  <c r="AX328" i="2"/>
  <c r="T328" i="2"/>
  <c r="R328" i="2"/>
  <c r="P328" i="2"/>
  <c r="BA326" i="2"/>
  <c r="AZ326" i="2"/>
  <c r="AY326" i="2"/>
  <c r="AX326" i="2"/>
  <c r="T326" i="2"/>
  <c r="R326" i="2"/>
  <c r="P326" i="2"/>
  <c r="BA325" i="2"/>
  <c r="AZ325" i="2"/>
  <c r="AY325" i="2"/>
  <c r="AX325" i="2"/>
  <c r="T325" i="2"/>
  <c r="R325" i="2"/>
  <c r="P325" i="2"/>
  <c r="BA324" i="2"/>
  <c r="AZ324" i="2"/>
  <c r="AY324" i="2"/>
  <c r="AX324" i="2"/>
  <c r="T324" i="2"/>
  <c r="R324" i="2"/>
  <c r="P324" i="2"/>
  <c r="BA323" i="2"/>
  <c r="AZ323" i="2"/>
  <c r="AY323" i="2"/>
  <c r="AX323" i="2"/>
  <c r="T323" i="2"/>
  <c r="R323" i="2"/>
  <c r="P323" i="2"/>
  <c r="BA321" i="2"/>
  <c r="AZ321" i="2"/>
  <c r="AY321" i="2"/>
  <c r="AX321" i="2"/>
  <c r="T321" i="2"/>
  <c r="R321" i="2"/>
  <c r="P321" i="2"/>
  <c r="BA320" i="2"/>
  <c r="AZ320" i="2"/>
  <c r="AY320" i="2"/>
  <c r="AX320" i="2"/>
  <c r="T320" i="2"/>
  <c r="R320" i="2"/>
  <c r="P320" i="2"/>
  <c r="BA319" i="2"/>
  <c r="AZ319" i="2"/>
  <c r="AY319" i="2"/>
  <c r="AX319" i="2"/>
  <c r="T319" i="2"/>
  <c r="R319" i="2"/>
  <c r="P319" i="2"/>
  <c r="BA317" i="2"/>
  <c r="AZ317" i="2"/>
  <c r="AY317" i="2"/>
  <c r="AX317" i="2"/>
  <c r="T317" i="2"/>
  <c r="R317" i="2"/>
  <c r="P317" i="2"/>
  <c r="BA316" i="2"/>
  <c r="AZ316" i="2"/>
  <c r="AY316" i="2"/>
  <c r="AX316" i="2"/>
  <c r="T316" i="2"/>
  <c r="R316" i="2"/>
  <c r="P316" i="2"/>
  <c r="BA315" i="2"/>
  <c r="AZ315" i="2"/>
  <c r="AY315" i="2"/>
  <c r="AX315" i="2"/>
  <c r="T315" i="2"/>
  <c r="R315" i="2"/>
  <c r="P315" i="2"/>
  <c r="BA313" i="2"/>
  <c r="AZ313" i="2"/>
  <c r="AY313" i="2"/>
  <c r="AX313" i="2"/>
  <c r="T313" i="2"/>
  <c r="R313" i="2"/>
  <c r="P313" i="2"/>
  <c r="BA312" i="2"/>
  <c r="AZ312" i="2"/>
  <c r="AY312" i="2"/>
  <c r="AX312" i="2"/>
  <c r="T312" i="2"/>
  <c r="R312" i="2"/>
  <c r="P312" i="2"/>
  <c r="BA311" i="2"/>
  <c r="AZ311" i="2"/>
  <c r="AY311" i="2"/>
  <c r="AX311" i="2"/>
  <c r="T311" i="2"/>
  <c r="R311" i="2"/>
  <c r="P311" i="2"/>
  <c r="BA309" i="2"/>
  <c r="AZ309" i="2"/>
  <c r="AY309" i="2"/>
  <c r="AX309" i="2"/>
  <c r="T309" i="2"/>
  <c r="R309" i="2"/>
  <c r="P309" i="2"/>
  <c r="BA308" i="2"/>
  <c r="AZ308" i="2"/>
  <c r="AY308" i="2"/>
  <c r="AX308" i="2"/>
  <c r="T308" i="2"/>
  <c r="R308" i="2"/>
  <c r="P308" i="2"/>
  <c r="BA306" i="2"/>
  <c r="AZ306" i="2"/>
  <c r="AY306" i="2"/>
  <c r="AX306" i="2"/>
  <c r="T306" i="2"/>
  <c r="R306" i="2"/>
  <c r="P306" i="2"/>
  <c r="BA305" i="2"/>
  <c r="AZ305" i="2"/>
  <c r="AY305" i="2"/>
  <c r="AX305" i="2"/>
  <c r="T305" i="2"/>
  <c r="R305" i="2"/>
  <c r="P305" i="2"/>
  <c r="BA303" i="2"/>
  <c r="AZ303" i="2"/>
  <c r="AY303" i="2"/>
  <c r="AX303" i="2"/>
  <c r="T303" i="2"/>
  <c r="R303" i="2"/>
  <c r="P303" i="2"/>
  <c r="BA302" i="2"/>
  <c r="AZ302" i="2"/>
  <c r="AY302" i="2"/>
  <c r="AX302" i="2"/>
  <c r="T302" i="2"/>
  <c r="R302" i="2"/>
  <c r="P302" i="2"/>
  <c r="BA300" i="2"/>
  <c r="AZ300" i="2"/>
  <c r="AY300" i="2"/>
  <c r="AX300" i="2"/>
  <c r="T300" i="2"/>
  <c r="R300" i="2"/>
  <c r="P300" i="2"/>
  <c r="BA299" i="2"/>
  <c r="AZ299" i="2"/>
  <c r="AY299" i="2"/>
  <c r="AX299" i="2"/>
  <c r="T299" i="2"/>
  <c r="R299" i="2"/>
  <c r="P299" i="2"/>
  <c r="BA297" i="2"/>
  <c r="AZ297" i="2"/>
  <c r="AY297" i="2"/>
  <c r="AX297" i="2"/>
  <c r="T297" i="2"/>
  <c r="R297" i="2"/>
  <c r="P297" i="2"/>
  <c r="BA296" i="2"/>
  <c r="AZ296" i="2"/>
  <c r="AY296" i="2"/>
  <c r="AX296" i="2"/>
  <c r="T296" i="2"/>
  <c r="R296" i="2"/>
  <c r="P296" i="2"/>
  <c r="BA294" i="2"/>
  <c r="AZ294" i="2"/>
  <c r="AY294" i="2"/>
  <c r="AX294" i="2"/>
  <c r="T294" i="2"/>
  <c r="R294" i="2"/>
  <c r="P294" i="2"/>
  <c r="BA293" i="2"/>
  <c r="AZ293" i="2"/>
  <c r="AY293" i="2"/>
  <c r="AX293" i="2"/>
  <c r="T293" i="2"/>
  <c r="R293" i="2"/>
  <c r="P293" i="2"/>
  <c r="BA291" i="2"/>
  <c r="AZ291" i="2"/>
  <c r="AY291" i="2"/>
  <c r="AX291" i="2"/>
  <c r="T291" i="2"/>
  <c r="R291" i="2"/>
  <c r="P291" i="2"/>
  <c r="BA290" i="2"/>
  <c r="AZ290" i="2"/>
  <c r="AY290" i="2"/>
  <c r="AX290" i="2"/>
  <c r="T290" i="2"/>
  <c r="R290" i="2"/>
  <c r="P290" i="2"/>
  <c r="BA288" i="2"/>
  <c r="AZ288" i="2"/>
  <c r="AY288" i="2"/>
  <c r="AX288" i="2"/>
  <c r="T288" i="2"/>
  <c r="R288" i="2"/>
  <c r="P288" i="2"/>
  <c r="BA286" i="2"/>
  <c r="AZ286" i="2"/>
  <c r="AY286" i="2"/>
  <c r="AX286" i="2"/>
  <c r="T286" i="2"/>
  <c r="R286" i="2"/>
  <c r="P286" i="2"/>
  <c r="BA284" i="2"/>
  <c r="AZ284" i="2"/>
  <c r="AY284" i="2"/>
  <c r="AX284" i="2"/>
  <c r="T284" i="2"/>
  <c r="R284" i="2"/>
  <c r="P284" i="2"/>
  <c r="BA282" i="2"/>
  <c r="AZ282" i="2"/>
  <c r="AY282" i="2"/>
  <c r="AX282" i="2"/>
  <c r="T282" i="2"/>
  <c r="R282" i="2"/>
  <c r="P282" i="2"/>
  <c r="BA280" i="2"/>
  <c r="AZ280" i="2"/>
  <c r="AY280" i="2"/>
  <c r="AX280" i="2"/>
  <c r="T280" i="2"/>
  <c r="R280" i="2"/>
  <c r="P280" i="2"/>
  <c r="BA277" i="2"/>
  <c r="AZ277" i="2"/>
  <c r="AY277" i="2"/>
  <c r="AX277" i="2"/>
  <c r="T277" i="2"/>
  <c r="R277" i="2"/>
  <c r="P277" i="2"/>
  <c r="BA275" i="2"/>
  <c r="AZ275" i="2"/>
  <c r="AY275" i="2"/>
  <c r="AX275" i="2"/>
  <c r="T275" i="2"/>
  <c r="R275" i="2"/>
  <c r="P275" i="2"/>
  <c r="BA273" i="2"/>
  <c r="AZ273" i="2"/>
  <c r="AY273" i="2"/>
  <c r="AX273" i="2"/>
  <c r="T273" i="2"/>
  <c r="R273" i="2"/>
  <c r="P273" i="2"/>
  <c r="BA272" i="2"/>
  <c r="AZ272" i="2"/>
  <c r="AY272" i="2"/>
  <c r="AX272" i="2"/>
  <c r="T272" i="2"/>
  <c r="R272" i="2"/>
  <c r="P272" i="2"/>
  <c r="BA270" i="2"/>
  <c r="AZ270" i="2"/>
  <c r="AY270" i="2"/>
  <c r="AX270" i="2"/>
  <c r="T270" i="2"/>
  <c r="R270" i="2"/>
  <c r="P270" i="2"/>
  <c r="BA268" i="2"/>
  <c r="AZ268" i="2"/>
  <c r="AY268" i="2"/>
  <c r="AX268" i="2"/>
  <c r="T268" i="2"/>
  <c r="R268" i="2"/>
  <c r="P268" i="2"/>
  <c r="BA266" i="2"/>
  <c r="AZ266" i="2"/>
  <c r="AY266" i="2"/>
  <c r="AX266" i="2"/>
  <c r="T266" i="2"/>
  <c r="R266" i="2"/>
  <c r="P266" i="2"/>
  <c r="BA264" i="2"/>
  <c r="AZ264" i="2"/>
  <c r="AY264" i="2"/>
  <c r="AX264" i="2"/>
  <c r="T264" i="2"/>
  <c r="R264" i="2"/>
  <c r="P264" i="2"/>
  <c r="BA263" i="2"/>
  <c r="AZ263" i="2"/>
  <c r="AY263" i="2"/>
  <c r="AX263" i="2"/>
  <c r="T263" i="2"/>
  <c r="R263" i="2"/>
  <c r="P263" i="2"/>
  <c r="BA262" i="2"/>
  <c r="AZ262" i="2"/>
  <c r="AY262" i="2"/>
  <c r="AX262" i="2"/>
  <c r="T262" i="2"/>
  <c r="R262" i="2"/>
  <c r="P262" i="2"/>
  <c r="BA261" i="2"/>
  <c r="AZ261" i="2"/>
  <c r="AY261" i="2"/>
  <c r="AX261" i="2"/>
  <c r="T261" i="2"/>
  <c r="R261" i="2"/>
  <c r="P261" i="2"/>
  <c r="BA259" i="2"/>
  <c r="AZ259" i="2"/>
  <c r="AY259" i="2"/>
  <c r="AX259" i="2"/>
  <c r="T259" i="2"/>
  <c r="R259" i="2"/>
  <c r="P259" i="2"/>
  <c r="BA258" i="2"/>
  <c r="AZ258" i="2"/>
  <c r="AY258" i="2"/>
  <c r="AX258" i="2"/>
  <c r="T258" i="2"/>
  <c r="R258" i="2"/>
  <c r="P258" i="2"/>
  <c r="BA257" i="2"/>
  <c r="AZ257" i="2"/>
  <c r="AY257" i="2"/>
  <c r="AX257" i="2"/>
  <c r="T257" i="2"/>
  <c r="R257" i="2"/>
  <c r="P257" i="2"/>
  <c r="BA256" i="2"/>
  <c r="AZ256" i="2"/>
  <c r="AY256" i="2"/>
  <c r="AX256" i="2"/>
  <c r="T256" i="2"/>
  <c r="R256" i="2"/>
  <c r="P256" i="2"/>
  <c r="BA254" i="2"/>
  <c r="AZ254" i="2"/>
  <c r="AY254" i="2"/>
  <c r="AX254" i="2"/>
  <c r="T254" i="2"/>
  <c r="R254" i="2"/>
  <c r="P254" i="2"/>
  <c r="BA253" i="2"/>
  <c r="AZ253" i="2"/>
  <c r="AY253" i="2"/>
  <c r="AX253" i="2"/>
  <c r="T253" i="2"/>
  <c r="R253" i="2"/>
  <c r="P253" i="2"/>
  <c r="BA252" i="2"/>
  <c r="AZ252" i="2"/>
  <c r="AY252" i="2"/>
  <c r="AX252" i="2"/>
  <c r="T252" i="2"/>
  <c r="R252" i="2"/>
  <c r="P252" i="2"/>
  <c r="BA251" i="2"/>
  <c r="AZ251" i="2"/>
  <c r="AY251" i="2"/>
  <c r="AX251" i="2"/>
  <c r="T251" i="2"/>
  <c r="R251" i="2"/>
  <c r="P251" i="2"/>
  <c r="BA249" i="2"/>
  <c r="AZ249" i="2"/>
  <c r="AY249" i="2"/>
  <c r="AX249" i="2"/>
  <c r="T249" i="2"/>
  <c r="R249" i="2"/>
  <c r="P249" i="2"/>
  <c r="BA248" i="2"/>
  <c r="AZ248" i="2"/>
  <c r="AY248" i="2"/>
  <c r="AX248" i="2"/>
  <c r="T248" i="2"/>
  <c r="R248" i="2"/>
  <c r="P248" i="2"/>
  <c r="BA247" i="2"/>
  <c r="AZ247" i="2"/>
  <c r="AY247" i="2"/>
  <c r="AX247" i="2"/>
  <c r="T247" i="2"/>
  <c r="R247" i="2"/>
  <c r="P247" i="2"/>
  <c r="BA246" i="2"/>
  <c r="AZ246" i="2"/>
  <c r="AY246" i="2"/>
  <c r="AX246" i="2"/>
  <c r="T246" i="2"/>
  <c r="R246" i="2"/>
  <c r="P246" i="2"/>
  <c r="BA244" i="2"/>
  <c r="AZ244" i="2"/>
  <c r="AY244" i="2"/>
  <c r="AX244" i="2"/>
  <c r="T244" i="2"/>
  <c r="R244" i="2"/>
  <c r="P244" i="2"/>
  <c r="BA243" i="2"/>
  <c r="AZ243" i="2"/>
  <c r="AY243" i="2"/>
  <c r="AX243" i="2"/>
  <c r="T243" i="2"/>
  <c r="R243" i="2"/>
  <c r="P243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15" i="2"/>
  <c r="BH215" i="2"/>
  <c r="BG215" i="2"/>
  <c r="BF215" i="2"/>
  <c r="T215" i="2"/>
  <c r="R215" i="2"/>
  <c r="P21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28" i="2"/>
  <c r="BH128" i="2"/>
  <c r="BG128" i="2"/>
  <c r="BF128" i="2"/>
  <c r="T128" i="2"/>
  <c r="R128" i="2"/>
  <c r="P128" i="2"/>
  <c r="BI116" i="2"/>
  <c r="BH116" i="2"/>
  <c r="BG116" i="2"/>
  <c r="BF116" i="2"/>
  <c r="T116" i="2"/>
  <c r="R116" i="2"/>
  <c r="P116" i="2"/>
  <c r="BI104" i="2"/>
  <c r="BH104" i="2"/>
  <c r="BG104" i="2"/>
  <c r="BF104" i="2"/>
  <c r="T104" i="2"/>
  <c r="R104" i="2"/>
  <c r="P104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J83" i="2"/>
  <c r="J82" i="2"/>
  <c r="F80" i="2"/>
  <c r="E78" i="2"/>
  <c r="J55" i="2"/>
  <c r="J54" i="2"/>
  <c r="F52" i="2"/>
  <c r="E50" i="2"/>
  <c r="J18" i="2"/>
  <c r="E18" i="2"/>
  <c r="F55" i="2" s="1"/>
  <c r="J17" i="2"/>
  <c r="J15" i="2"/>
  <c r="E15" i="2"/>
  <c r="F54" i="2" s="1"/>
  <c r="J14" i="2"/>
  <c r="J12" i="2"/>
  <c r="J52" i="2" s="1"/>
  <c r="E7" i="2"/>
  <c r="E76" i="2" s="1"/>
  <c r="L58" i="1"/>
  <c r="L57" i="1"/>
  <c r="AM55" i="1"/>
  <c r="L55" i="1"/>
  <c r="L53" i="1"/>
  <c r="L52" i="1"/>
  <c r="BJ330" i="3"/>
  <c r="J357" i="3"/>
  <c r="J416" i="3"/>
  <c r="BJ168" i="3"/>
  <c r="J326" i="3"/>
  <c r="BJ370" i="3"/>
  <c r="J348" i="4"/>
  <c r="J457" i="4"/>
  <c r="BI408" i="4"/>
  <c r="BC273" i="2"/>
  <c r="J140" i="2"/>
  <c r="BC323" i="2"/>
  <c r="BC350" i="2"/>
  <c r="BC257" i="2"/>
  <c r="J328" i="2"/>
  <c r="J258" i="2"/>
  <c r="J215" i="2"/>
  <c r="BK140" i="2"/>
  <c r="BJ346" i="3"/>
  <c r="J319" i="3"/>
  <c r="BJ448" i="3"/>
  <c r="J370" i="3"/>
  <c r="BJ412" i="3"/>
  <c r="J413" i="3"/>
  <c r="J369" i="3"/>
  <c r="BJ214" i="3"/>
  <c r="J432" i="4"/>
  <c r="BI392" i="4"/>
  <c r="J452" i="4"/>
  <c r="J266" i="2"/>
  <c r="BC328" i="2"/>
  <c r="BC251" i="2"/>
  <c r="J438" i="3"/>
  <c r="J362" i="3"/>
  <c r="BJ408" i="3"/>
  <c r="J444" i="3"/>
  <c r="J209" i="3"/>
  <c r="BJ405" i="3"/>
  <c r="BJ372" i="3"/>
  <c r="J164" i="3"/>
  <c r="BJ318" i="3"/>
  <c r="BI333" i="4"/>
  <c r="BI402" i="4"/>
  <c r="J403" i="4"/>
  <c r="J327" i="4"/>
  <c r="J228" i="4"/>
  <c r="BC321" i="2"/>
  <c r="BK151" i="2"/>
  <c r="J357" i="2"/>
  <c r="J254" i="2"/>
  <c r="BC315" i="2"/>
  <c r="J381" i="3"/>
  <c r="BI417" i="4"/>
  <c r="BJ403" i="3"/>
  <c r="J179" i="3"/>
  <c r="BJ312" i="3"/>
  <c r="BI422" i="4"/>
  <c r="BI400" i="4"/>
  <c r="BI430" i="4"/>
  <c r="J348" i="3"/>
  <c r="J271" i="3"/>
  <c r="BJ451" i="3"/>
  <c r="J372" i="3"/>
  <c r="BJ209" i="3"/>
  <c r="BJ427" i="3"/>
  <c r="J342" i="3"/>
  <c r="BJ195" i="3"/>
  <c r="BJ442" i="3"/>
  <c r="J246" i="3"/>
  <c r="BJ364" i="3"/>
  <c r="BJ243" i="3"/>
  <c r="BI427" i="4"/>
  <c r="BI414" i="4"/>
  <c r="J275" i="4"/>
  <c r="BI380" i="4"/>
  <c r="J410" i="4"/>
  <c r="J214" i="4"/>
  <c r="BI125" i="4"/>
  <c r="BC286" i="2"/>
  <c r="J249" i="2"/>
  <c r="BK104" i="2"/>
  <c r="J338" i="2"/>
  <c r="BC317" i="2"/>
  <c r="BC355" i="2"/>
  <c r="J290" i="2"/>
  <c r="BK215" i="2"/>
  <c r="J313" i="2"/>
  <c r="BC290" i="2"/>
  <c r="J270" i="2"/>
  <c r="J261" i="2"/>
  <c r="BC253" i="2"/>
  <c r="J234" i="2"/>
  <c r="J200" i="2"/>
  <c r="J153" i="2"/>
  <c r="BJ383" i="3"/>
  <c r="BJ350" i="3"/>
  <c r="J448" i="3"/>
  <c r="J422" i="3"/>
  <c r="BJ344" i="3"/>
  <c r="BJ246" i="3"/>
  <c r="BJ438" i="3"/>
  <c r="BJ300" i="3"/>
  <c r="J143" i="3"/>
  <c r="BJ332" i="3"/>
  <c r="J307" i="3"/>
  <c r="J399" i="4"/>
  <c r="J417" i="4"/>
  <c r="BI432" i="4"/>
  <c r="BI224" i="4"/>
  <c r="BI353" i="4"/>
  <c r="J168" i="4"/>
  <c r="J149" i="4"/>
  <c r="J309" i="2"/>
  <c r="BC261" i="2"/>
  <c r="BK153" i="2"/>
  <c r="BK93" i="2"/>
  <c r="BC347" i="2"/>
  <c r="J347" i="2"/>
  <c r="BC284" i="2"/>
  <c r="J227" i="2"/>
  <c r="BJ449" i="3"/>
  <c r="BJ429" i="3"/>
  <c r="BJ369" i="3"/>
  <c r="J327" i="3"/>
  <c r="J243" i="3"/>
  <c r="J351" i="3"/>
  <c r="BJ122" i="3"/>
  <c r="J346" i="3"/>
  <c r="J284" i="3"/>
  <c r="BJ413" i="3"/>
  <c r="J408" i="3"/>
  <c r="BJ386" i="3"/>
  <c r="BJ433" i="3"/>
  <c r="J317" i="3"/>
  <c r="J383" i="3"/>
  <c r="BJ324" i="3"/>
  <c r="J430" i="4"/>
  <c r="J420" i="4"/>
  <c r="J375" i="4"/>
  <c r="BI384" i="4"/>
  <c r="BI252" i="4"/>
  <c r="BI91" i="4"/>
  <c r="BI290" i="4"/>
  <c r="BI255" i="4"/>
  <c r="BI133" i="4"/>
  <c r="J308" i="2"/>
  <c r="J252" i="2"/>
  <c r="J164" i="2"/>
  <c r="BC332" i="2"/>
  <c r="J346" i="2"/>
  <c r="J325" i="2"/>
  <c r="J299" i="2"/>
  <c r="BK200" i="2"/>
  <c r="J305" i="2"/>
  <c r="BC263" i="2"/>
  <c r="J167" i="2"/>
  <c r="BK97" i="2"/>
  <c r="J355" i="2"/>
  <c r="J319" i="2"/>
  <c r="BC338" i="2"/>
  <c r="BC293" i="2"/>
  <c r="J248" i="2"/>
  <c r="BK144" i="2"/>
  <c r="J97" i="2"/>
  <c r="BC305" i="2"/>
  <c r="BC291" i="2"/>
  <c r="BC280" i="2"/>
  <c r="J259" i="2"/>
  <c r="BC249" i="2"/>
  <c r="BK202" i="2"/>
  <c r="J169" i="2"/>
  <c r="J93" i="2"/>
  <c r="BJ436" i="3"/>
  <c r="BJ395" i="3"/>
  <c r="J376" i="3"/>
  <c r="J323" i="3"/>
  <c r="BJ207" i="3"/>
  <c r="J412" i="3"/>
  <c r="BJ305" i="3"/>
  <c r="BJ446" i="3"/>
  <c r="BJ356" i="3"/>
  <c r="BJ319" i="3"/>
  <c r="BJ181" i="3"/>
  <c r="J449" i="3"/>
  <c r="J344" i="3"/>
  <c r="J181" i="3"/>
  <c r="J367" i="3"/>
  <c r="BJ228" i="3"/>
  <c r="J356" i="4"/>
  <c r="J388" i="4"/>
  <c r="J402" i="4"/>
  <c r="BI425" i="4"/>
  <c r="J204" i="4"/>
  <c r="BJ431" i="3"/>
  <c r="J418" i="3"/>
  <c r="J329" i="3"/>
  <c r="BJ376" i="3"/>
  <c r="BJ322" i="3"/>
  <c r="J101" i="3"/>
  <c r="BI214" i="4"/>
  <c r="J380" i="4"/>
  <c r="J333" i="4"/>
  <c r="J429" i="4"/>
  <c r="J133" i="4"/>
  <c r="BI260" i="4"/>
  <c r="J414" i="4"/>
  <c r="BI356" i="4"/>
  <c r="J336" i="3"/>
  <c r="BJ179" i="3"/>
  <c r="BJ91" i="3"/>
  <c r="BJ329" i="3"/>
  <c r="J419" i="3"/>
  <c r="J340" i="3"/>
  <c r="J392" i="4"/>
  <c r="J353" i="4"/>
  <c r="BI426" i="4"/>
  <c r="BI250" i="4"/>
  <c r="J296" i="2"/>
  <c r="BK169" i="2"/>
  <c r="J350" i="2"/>
  <c r="BC324" i="2"/>
  <c r="BK160" i="2"/>
  <c r="BC296" i="2"/>
  <c r="BC266" i="2"/>
  <c r="BC248" i="2"/>
  <c r="BK172" i="2"/>
  <c r="BJ391" i="3"/>
  <c r="BJ363" i="3"/>
  <c r="BJ326" i="3"/>
  <c r="BJ164" i="3"/>
  <c r="J395" i="3"/>
  <c r="BJ293" i="3"/>
  <c r="BJ424" i="3"/>
  <c r="J393" i="3"/>
  <c r="BJ351" i="3"/>
  <c r="BJ97" i="3"/>
  <c r="BI410" i="4"/>
  <c r="J406" i="4"/>
  <c r="BI419" i="4"/>
  <c r="BI412" i="4"/>
  <c r="BC325" i="2"/>
  <c r="J243" i="2"/>
  <c r="BC311" i="2"/>
  <c r="BC297" i="2"/>
  <c r="J186" i="2"/>
  <c r="J405" i="3"/>
  <c r="BJ342" i="3"/>
  <c r="J192" i="3"/>
  <c r="J363" i="3"/>
  <c r="BJ415" i="3"/>
  <c r="BJ416" i="3"/>
  <c r="J389" i="3"/>
  <c r="J308" i="3"/>
  <c r="J375" i="3"/>
  <c r="J190" i="3"/>
  <c r="J260" i="4"/>
  <c r="J433" i="4"/>
  <c r="J293" i="4"/>
  <c r="J258" i="4"/>
  <c r="BK186" i="2"/>
  <c r="BC319" i="2"/>
  <c r="BK357" i="2"/>
  <c r="BC264" i="2"/>
  <c r="BK167" i="2"/>
  <c r="J251" i="2"/>
  <c r="J324" i="2"/>
  <c r="BC344" i="2"/>
  <c r="J282" i="2"/>
  <c r="J128" i="2"/>
  <c r="BC299" i="2"/>
  <c r="BC262" i="2"/>
  <c r="BC243" i="2"/>
  <c r="J446" i="3"/>
  <c r="BJ409" i="3"/>
  <c r="J360" i="3"/>
  <c r="BJ254" i="3"/>
  <c r="BJ393" i="3"/>
  <c r="BJ192" i="3"/>
  <c r="J420" i="3"/>
  <c r="BJ284" i="3"/>
  <c r="BJ323" i="3"/>
  <c r="BI204" i="4"/>
  <c r="J125" i="4"/>
  <c r="BI228" i="4"/>
  <c r="J406" i="3"/>
  <c r="BI415" i="4"/>
  <c r="BI119" i="4"/>
  <c r="BI175" i="4"/>
  <c r="BJ357" i="3"/>
  <c r="J318" i="3"/>
  <c r="BJ394" i="3"/>
  <c r="BJ340" i="3"/>
  <c r="J401" i="3"/>
  <c r="J277" i="3"/>
  <c r="BJ387" i="3"/>
  <c r="J293" i="3"/>
  <c r="J386" i="3"/>
  <c r="J330" i="3"/>
  <c r="BJ143" i="3"/>
  <c r="BI421" i="4"/>
  <c r="BI397" i="4"/>
  <c r="BI388" i="4"/>
  <c r="J263" i="4"/>
  <c r="BI156" i="4"/>
  <c r="J194" i="4"/>
  <c r="BK361" i="2"/>
  <c r="BC303" i="2"/>
  <c r="BC256" i="2"/>
  <c r="J162" i="2"/>
  <c r="BC343" i="2"/>
  <c r="BC342" i="2"/>
  <c r="BC330" i="2"/>
  <c r="BC320" i="2"/>
  <c r="BC270" i="2"/>
  <c r="J116" i="2"/>
  <c r="J303" i="2"/>
  <c r="J293" i="2"/>
  <c r="J284" i="2"/>
  <c r="J263" i="2"/>
  <c r="BC254" i="2"/>
  <c r="BC244" i="2"/>
  <c r="J184" i="2"/>
  <c r="BK164" i="2"/>
  <c r="BJ379" i="3"/>
  <c r="BJ366" i="3"/>
  <c r="J334" i="3"/>
  <c r="BJ264" i="3"/>
  <c r="J200" i="3"/>
  <c r="J429" i="3"/>
  <c r="BJ331" i="3"/>
  <c r="J425" i="3"/>
  <c r="BJ407" i="3"/>
  <c r="J300" i="3"/>
  <c r="BJ419" i="3"/>
  <c r="J314" i="3"/>
  <c r="J216" i="3"/>
  <c r="BJ362" i="3"/>
  <c r="J315" i="3"/>
  <c r="J421" i="4"/>
  <c r="BI463" i="4"/>
  <c r="BI187" i="4"/>
  <c r="BI436" i="4"/>
  <c r="BI429" i="4"/>
  <c r="J224" i="4"/>
  <c r="J344" i="2"/>
  <c r="J288" i="2"/>
  <c r="BC246" i="2"/>
  <c r="BK128" i="2"/>
  <c r="J361" i="2"/>
  <c r="BC306" i="2"/>
  <c r="J277" i="2"/>
  <c r="BK179" i="2"/>
  <c r="J415" i="3"/>
  <c r="J331" i="3"/>
  <c r="J309" i="3"/>
  <c r="J442" i="3"/>
  <c r="J387" i="3"/>
  <c r="BJ271" i="3"/>
  <c r="J354" i="3"/>
  <c r="BJ315" i="3"/>
  <c r="BJ418" i="3"/>
  <c r="BJ411" i="3"/>
  <c r="J391" i="3"/>
  <c r="J378" i="3"/>
  <c r="BJ389" i="3"/>
  <c r="J264" i="3"/>
  <c r="J359" i="3"/>
  <c r="J310" i="3"/>
  <c r="J400" i="4"/>
  <c r="BI433" i="4"/>
  <c r="BI457" i="4"/>
  <c r="J137" i="4"/>
  <c r="BI194" i="4"/>
  <c r="J423" i="4"/>
  <c r="BI275" i="4"/>
  <c r="J238" i="4"/>
  <c r="J156" i="4"/>
  <c r="BC340" i="2"/>
  <c r="BC277" i="2"/>
  <c r="BC258" i="2"/>
  <c r="BK116" i="2"/>
  <c r="BC312" i="2"/>
  <c r="J326" i="2"/>
  <c r="J332" i="2"/>
  <c r="J280" i="2"/>
  <c r="J246" i="2"/>
  <c r="J330" i="2"/>
  <c r="BC275" i="2"/>
  <c r="J202" i="2"/>
  <c r="J144" i="2"/>
  <c r="J315" i="2"/>
  <c r="J321" i="2"/>
  <c r="J348" i="2"/>
  <c r="J306" i="2"/>
  <c r="BC300" i="2"/>
  <c r="BC268" i="2"/>
  <c r="J198" i="2"/>
  <c r="J104" i="2"/>
  <c r="J316" i="2"/>
  <c r="BC302" i="2"/>
  <c r="BC288" i="2"/>
  <c r="J268" i="2"/>
  <c r="J256" i="2"/>
  <c r="BC247" i="2"/>
  <c r="J181" i="2"/>
  <c r="J151" i="2"/>
  <c r="J451" i="3"/>
  <c r="J431" i="3"/>
  <c r="J394" i="3"/>
  <c r="J364" i="3"/>
  <c r="J332" i="3"/>
  <c r="BJ190" i="3"/>
  <c r="J436" i="3"/>
  <c r="BJ336" i="3"/>
  <c r="J197" i="3"/>
  <c r="BJ406" i="3"/>
  <c r="J305" i="3"/>
  <c r="BJ373" i="3"/>
  <c r="BJ378" i="3"/>
  <c r="J322" i="3"/>
  <c r="BJ101" i="3"/>
  <c r="BJ314" i="3"/>
  <c r="BJ188" i="3"/>
  <c r="BI452" i="4"/>
  <c r="BI293" i="4"/>
  <c r="J436" i="4"/>
  <c r="J187" i="4"/>
  <c r="BI258" i="4"/>
  <c r="J426" i="4"/>
  <c r="J230" i="3"/>
  <c r="J453" i="3"/>
  <c r="J373" i="3"/>
  <c r="J228" i="3"/>
  <c r="J366" i="3"/>
  <c r="J254" i="3"/>
  <c r="J372" i="4"/>
  <c r="J427" i="4"/>
  <c r="J385" i="3"/>
  <c r="J212" i="3"/>
  <c r="BJ425" i="3"/>
  <c r="J324" i="3"/>
  <c r="J409" i="3"/>
  <c r="J312" i="3"/>
  <c r="BJ375" i="3"/>
  <c r="BJ361" i="3"/>
  <c r="BJ197" i="3"/>
  <c r="BJ320" i="3"/>
  <c r="J207" i="3"/>
  <c r="BI461" i="4"/>
  <c r="J461" i="4"/>
  <c r="BC461" i="4" s="1"/>
  <c r="J422" i="4"/>
  <c r="BI348" i="4"/>
  <c r="J419" i="4"/>
  <c r="BI168" i="4"/>
  <c r="BC313" i="2"/>
  <c r="J262" i="2"/>
  <c r="BK227" i="2"/>
  <c r="J352" i="2"/>
  <c r="J311" i="2"/>
  <c r="J340" i="2"/>
  <c r="J312" i="2"/>
  <c r="J302" i="2"/>
  <c r="J275" i="2"/>
  <c r="J247" i="2"/>
  <c r="BK89" i="2"/>
  <c r="J300" i="2"/>
  <c r="J286" i="2"/>
  <c r="BJ317" i="3"/>
  <c r="BJ348" i="3"/>
  <c r="BJ277" i="3"/>
  <c r="J379" i="3"/>
  <c r="J168" i="3"/>
  <c r="BI238" i="4"/>
  <c r="BI372" i="4"/>
  <c r="J290" i="4"/>
  <c r="J119" i="4"/>
  <c r="J255" i="4"/>
  <c r="J404" i="4"/>
  <c r="J297" i="2"/>
  <c r="J253" i="2"/>
  <c r="BK181" i="2"/>
  <c r="J320" i="2"/>
  <c r="J317" i="2"/>
  <c r="J323" i="2"/>
  <c r="BC259" i="2"/>
  <c r="J172" i="2"/>
  <c r="J433" i="3"/>
  <c r="BJ382" i="3"/>
  <c r="J356" i="3"/>
  <c r="J320" i="3"/>
  <c r="J122" i="3"/>
  <c r="BJ338" i="3"/>
  <c r="J214" i="3"/>
  <c r="J411" i="3"/>
  <c r="BJ334" i="3"/>
  <c r="BJ444" i="3"/>
  <c r="J407" i="3"/>
  <c r="BJ401" i="3"/>
  <c r="J382" i="3"/>
  <c r="BJ360" i="3"/>
  <c r="J195" i="3"/>
  <c r="J350" i="3"/>
  <c r="BJ230" i="3"/>
  <c r="BI137" i="4"/>
  <c r="J295" i="4"/>
  <c r="BI420" i="4"/>
  <c r="BI399" i="4"/>
  <c r="BI295" i="4"/>
  <c r="BI263" i="4"/>
  <c r="J252" i="4"/>
  <c r="J175" i="4"/>
  <c r="BC294" i="2"/>
  <c r="BC272" i="2"/>
  <c r="J244" i="2"/>
  <c r="J89" i="2"/>
  <c r="BC352" i="2"/>
  <c r="BC346" i="2"/>
  <c r="BC309" i="2"/>
  <c r="J272" i="2"/>
  <c r="J179" i="2"/>
  <c r="J291" i="2"/>
  <c r="J257" i="2"/>
  <c r="J160" i="2"/>
  <c r="J342" i="2"/>
  <c r="BC348" i="2"/>
  <c r="BC308" i="2"/>
  <c r="BC326" i="2"/>
  <c r="BC316" i="2"/>
  <c r="J273" i="2"/>
  <c r="BK234" i="2"/>
  <c r="BK184" i="2"/>
  <c r="J343" i="2"/>
  <c r="J294" i="2"/>
  <c r="BC282" i="2"/>
  <c r="J264" i="2"/>
  <c r="BC252" i="2"/>
  <c r="BK198" i="2"/>
  <c r="BK162" i="2"/>
  <c r="BJ453" i="3"/>
  <c r="BJ422" i="3"/>
  <c r="BJ381" i="3"/>
  <c r="BJ353" i="3"/>
  <c r="BJ310" i="3"/>
  <c r="J361" i="3"/>
  <c r="BJ216" i="3"/>
  <c r="J424" i="3"/>
  <c r="J338" i="3"/>
  <c r="J427" i="3"/>
  <c r="J403" i="3"/>
  <c r="BJ367" i="3"/>
  <c r="BJ200" i="3"/>
  <c r="J353" i="3"/>
  <c r="BJ308" i="3"/>
  <c r="BI403" i="4"/>
  <c r="BI423" i="4"/>
  <c r="J250" i="4"/>
  <c r="J425" i="4"/>
  <c r="BI375" i="4"/>
  <c r="J463" i="4"/>
  <c r="J384" i="4"/>
  <c r="J188" i="3"/>
  <c r="BJ359" i="3"/>
  <c r="BJ385" i="3"/>
  <c r="BJ354" i="3"/>
  <c r="BJ212" i="3"/>
  <c r="BI406" i="4"/>
  <c r="BI455" i="4"/>
  <c r="J273" i="4"/>
  <c r="J236" i="4"/>
  <c r="J415" i="4"/>
  <c r="BI236" i="4"/>
  <c r="J397" i="4"/>
  <c r="J91" i="4"/>
  <c r="BJ309" i="3"/>
  <c r="J412" i="4"/>
  <c r="J408" i="4"/>
  <c r="J455" i="4"/>
  <c r="BI327" i="4"/>
  <c r="BJ420" i="3"/>
  <c r="BJ307" i="3"/>
  <c r="BJ327" i="3"/>
  <c r="BI404" i="4"/>
  <c r="BI149" i="4"/>
  <c r="BI273" i="4"/>
  <c r="E34" i="34" l="1"/>
  <c r="C20" i="9"/>
  <c r="D21" i="9" s="1"/>
  <c r="J39" i="18"/>
  <c r="E21" i="34"/>
  <c r="B127" i="33"/>
  <c r="D22" i="9"/>
  <c r="E22" i="9" s="1"/>
  <c r="E19" i="9"/>
  <c r="BJ441" i="3"/>
  <c r="J441" i="3" s="1"/>
  <c r="J67" i="3" s="1"/>
  <c r="R90" i="4"/>
  <c r="R396" i="4"/>
  <c r="T435" i="4"/>
  <c r="BI460" i="4"/>
  <c r="J460" i="4" s="1"/>
  <c r="J68" i="4" s="1"/>
  <c r="BJ435" i="3"/>
  <c r="J435" i="3" s="1"/>
  <c r="J65" i="3" s="1"/>
  <c r="P374" i="4"/>
  <c r="R88" i="2"/>
  <c r="BK214" i="2"/>
  <c r="J214" i="2" s="1"/>
  <c r="J62" i="2" s="1"/>
  <c r="R214" i="2"/>
  <c r="T242" i="2"/>
  <c r="P354" i="2"/>
  <c r="BJ304" i="3"/>
  <c r="J304" i="3" s="1"/>
  <c r="J64" i="3" s="1"/>
  <c r="T90" i="4"/>
  <c r="BI396" i="4"/>
  <c r="J396" i="4" s="1"/>
  <c r="J64" i="4" s="1"/>
  <c r="P435" i="4"/>
  <c r="P454" i="4"/>
  <c r="R460" i="4"/>
  <c r="R459" i="4" s="1"/>
  <c r="P88" i="2"/>
  <c r="BC242" i="2"/>
  <c r="J242" i="2" s="1"/>
  <c r="J63" i="2" s="1"/>
  <c r="BC354" i="2"/>
  <c r="J354" i="2" s="1"/>
  <c r="J64" i="2" s="1"/>
  <c r="BJ245" i="3"/>
  <c r="J245" i="3" s="1"/>
  <c r="J63" i="3" s="1"/>
  <c r="R374" i="4"/>
  <c r="T374" i="4"/>
  <c r="R435" i="4"/>
  <c r="T454" i="4"/>
  <c r="T460" i="4"/>
  <c r="T459" i="4" s="1"/>
  <c r="P242" i="2"/>
  <c r="R354" i="2"/>
  <c r="BJ90" i="3"/>
  <c r="J90" i="3" s="1"/>
  <c r="J61" i="3" s="1"/>
  <c r="P88" i="3"/>
  <c r="BI90" i="4"/>
  <c r="J90" i="4" s="1"/>
  <c r="J61" i="4" s="1"/>
  <c r="BI374" i="4"/>
  <c r="J374" i="4" s="1"/>
  <c r="J63" i="4" s="1"/>
  <c r="T396" i="4"/>
  <c r="BI454" i="4"/>
  <c r="J454" i="4" s="1"/>
  <c r="J66" i="4" s="1"/>
  <c r="P460" i="4"/>
  <c r="P459" i="4" s="1"/>
  <c r="BK88" i="2"/>
  <c r="T88" i="2"/>
  <c r="P214" i="2"/>
  <c r="T214" i="2"/>
  <c r="R242" i="2"/>
  <c r="T354" i="2"/>
  <c r="BJ445" i="3"/>
  <c r="J445" i="3" s="1"/>
  <c r="J68" i="3" s="1"/>
  <c r="P90" i="4"/>
  <c r="P396" i="4"/>
  <c r="BI435" i="4"/>
  <c r="J435" i="4" s="1"/>
  <c r="J65" i="4" s="1"/>
  <c r="R454" i="4"/>
  <c r="BK360" i="2"/>
  <c r="J360" i="2" s="1"/>
  <c r="J66" i="2" s="1"/>
  <c r="BJ242" i="3"/>
  <c r="J242" i="3" s="1"/>
  <c r="J62" i="3" s="1"/>
  <c r="BI371" i="4"/>
  <c r="J371" i="4" s="1"/>
  <c r="J62" i="4" s="1"/>
  <c r="F55" i="4"/>
  <c r="J82" i="4"/>
  <c r="BC119" i="4"/>
  <c r="BC137" i="4"/>
  <c r="BC149" i="4"/>
  <c r="BC168" i="4"/>
  <c r="BC204" i="4"/>
  <c r="BC228" i="4"/>
  <c r="BC250" i="4"/>
  <c r="BC252" i="4"/>
  <c r="BC255" i="4"/>
  <c r="BC260" i="4"/>
  <c r="BC295" i="4"/>
  <c r="BC327" i="4"/>
  <c r="BC333" i="4"/>
  <c r="BC375" i="4"/>
  <c r="BC397" i="4"/>
  <c r="BC399" i="4"/>
  <c r="BC403" i="4"/>
  <c r="BC425" i="4"/>
  <c r="BC432" i="4"/>
  <c r="BC457" i="4"/>
  <c r="BC463" i="4"/>
  <c r="BC175" i="4"/>
  <c r="BC194" i="4"/>
  <c r="BC214" i="4"/>
  <c r="BC224" i="4"/>
  <c r="BC238" i="4"/>
  <c r="BC293" i="4"/>
  <c r="BC392" i="4"/>
  <c r="BC408" i="4"/>
  <c r="BC423" i="4"/>
  <c r="BC426" i="4"/>
  <c r="BC436" i="4"/>
  <c r="F84" i="4"/>
  <c r="BC125" i="4"/>
  <c r="BC187" i="4"/>
  <c r="BC414" i="4"/>
  <c r="BC421" i="4"/>
  <c r="BC427" i="4"/>
  <c r="BC430" i="4"/>
  <c r="E48" i="4"/>
  <c r="BC91" i="4"/>
  <c r="BC133" i="4"/>
  <c r="BC353" i="4"/>
  <c r="BC356" i="4"/>
  <c r="BC372" i="4"/>
  <c r="BC388" i="4"/>
  <c r="BC404" i="4"/>
  <c r="BC417" i="4"/>
  <c r="BC433" i="4"/>
  <c r="BC452" i="4"/>
  <c r="BC156" i="4"/>
  <c r="BC258" i="4"/>
  <c r="BC263" i="4"/>
  <c r="BC273" i="4"/>
  <c r="BC275" i="4"/>
  <c r="BC290" i="4"/>
  <c r="BC348" i="4"/>
  <c r="BC384" i="4"/>
  <c r="BC400" i="4"/>
  <c r="BC406" i="4"/>
  <c r="BC412" i="4"/>
  <c r="BC419" i="4"/>
  <c r="BC422" i="4"/>
  <c r="BC455" i="4"/>
  <c r="BC236" i="4"/>
  <c r="BC380" i="4"/>
  <c r="BC402" i="4"/>
  <c r="BC410" i="4"/>
  <c r="BC415" i="4"/>
  <c r="BC420" i="4"/>
  <c r="BC429" i="4"/>
  <c r="F55" i="3"/>
  <c r="BD91" i="3"/>
  <c r="BD188" i="3"/>
  <c r="BD195" i="3"/>
  <c r="BD246" i="3"/>
  <c r="BD264" i="3"/>
  <c r="BD293" i="3"/>
  <c r="BD300" i="3"/>
  <c r="BD315" i="3"/>
  <c r="BD329" i="3"/>
  <c r="BD331" i="3"/>
  <c r="BD361" i="3"/>
  <c r="BD375" i="3"/>
  <c r="BD382" i="3"/>
  <c r="BD436" i="3"/>
  <c r="BD438" i="3"/>
  <c r="E48" i="3"/>
  <c r="J52" i="3"/>
  <c r="BD122" i="3"/>
  <c r="BD143" i="3"/>
  <c r="BD168" i="3"/>
  <c r="BD179" i="3"/>
  <c r="BD192" i="3"/>
  <c r="BD243" i="3"/>
  <c r="BD318" i="3"/>
  <c r="BD319" i="3"/>
  <c r="BD323" i="3"/>
  <c r="BD324" i="3"/>
  <c r="BD327" i="3"/>
  <c r="BD332" i="3"/>
  <c r="BD351" i="3"/>
  <c r="BD356" i="3"/>
  <c r="BD359" i="3"/>
  <c r="BD366" i="3"/>
  <c r="BD370" i="3"/>
  <c r="BD372" i="3"/>
  <c r="BD383" i="3"/>
  <c r="BD387" i="3"/>
  <c r="BD389" i="3"/>
  <c r="BD393" i="3"/>
  <c r="BD401" i="3"/>
  <c r="BD408" i="3"/>
  <c r="BD411" i="3"/>
  <c r="BD416" i="3"/>
  <c r="BD418" i="3"/>
  <c r="BD427" i="3"/>
  <c r="BD431" i="3"/>
  <c r="BD444" i="3"/>
  <c r="BD448" i="3"/>
  <c r="BD453" i="3"/>
  <c r="BD369" i="3"/>
  <c r="BD376" i="3"/>
  <c r="BD378" i="3"/>
  <c r="BD381" i="3"/>
  <c r="BD403" i="3"/>
  <c r="BD406" i="3"/>
  <c r="BD412" i="3"/>
  <c r="BD425" i="3"/>
  <c r="F54" i="3"/>
  <c r="BD97" i="3"/>
  <c r="BD164" i="3"/>
  <c r="BD190" i="3"/>
  <c r="BD207" i="3"/>
  <c r="BD228" i="3"/>
  <c r="BD271" i="3"/>
  <c r="BD277" i="3"/>
  <c r="BD284" i="3"/>
  <c r="BD307" i="3"/>
  <c r="BD309" i="3"/>
  <c r="BD320" i="3"/>
  <c r="BD326" i="3"/>
  <c r="BD330" i="3"/>
  <c r="BD340" i="3"/>
  <c r="BD344" i="3"/>
  <c r="BD348" i="3"/>
  <c r="BD353" i="3"/>
  <c r="BD354" i="3"/>
  <c r="BD357" i="3"/>
  <c r="BD394" i="3"/>
  <c r="BD395" i="3"/>
  <c r="BD419" i="3"/>
  <c r="BD429" i="3"/>
  <c r="BD442" i="3"/>
  <c r="BD449" i="3"/>
  <c r="BD200" i="3"/>
  <c r="BD212" i="3"/>
  <c r="BD214" i="3"/>
  <c r="BD230" i="3"/>
  <c r="BD254" i="3"/>
  <c r="BD310" i="3"/>
  <c r="BD322" i="3"/>
  <c r="BD362" i="3"/>
  <c r="BD379" i="3"/>
  <c r="BD385" i="3"/>
  <c r="BD386" i="3"/>
  <c r="BD409" i="3"/>
  <c r="BD451" i="3"/>
  <c r="BD101" i="3"/>
  <c r="BD181" i="3"/>
  <c r="BD197" i="3"/>
  <c r="BD209" i="3"/>
  <c r="BD216" i="3"/>
  <c r="BD305" i="3"/>
  <c r="BD308" i="3"/>
  <c r="BD312" i="3"/>
  <c r="BD314" i="3"/>
  <c r="BD317" i="3"/>
  <c r="BD334" i="3"/>
  <c r="BD336" i="3"/>
  <c r="BD338" i="3"/>
  <c r="BD342" i="3"/>
  <c r="BD346" i="3"/>
  <c r="BD350" i="3"/>
  <c r="BD360" i="3"/>
  <c r="BD363" i="3"/>
  <c r="BD364" i="3"/>
  <c r="BD367" i="3"/>
  <c r="BD373" i="3"/>
  <c r="BD391" i="3"/>
  <c r="BD405" i="3"/>
  <c r="BD407" i="3"/>
  <c r="BD413" i="3"/>
  <c r="BD415" i="3"/>
  <c r="BD420" i="3"/>
  <c r="BD422" i="3"/>
  <c r="BD424" i="3"/>
  <c r="BD433" i="3"/>
  <c r="BD446" i="3"/>
  <c r="E48" i="2"/>
  <c r="F82" i="2"/>
  <c r="F83" i="2"/>
  <c r="BE160" i="2"/>
  <c r="BE169" i="2"/>
  <c r="BE172" i="2"/>
  <c r="BE181" i="2"/>
  <c r="BE186" i="2"/>
  <c r="BE198" i="2"/>
  <c r="AW246" i="2"/>
  <c r="AW247" i="2"/>
  <c r="AW248" i="2"/>
  <c r="AW249" i="2"/>
  <c r="AW254" i="2"/>
  <c r="AW259" i="2"/>
  <c r="AW261" i="2"/>
  <c r="AW262" i="2"/>
  <c r="AW264" i="2"/>
  <c r="AW266" i="2"/>
  <c r="AW268" i="2"/>
  <c r="AW272" i="2"/>
  <c r="AW277" i="2"/>
  <c r="AW280" i="2"/>
  <c r="AW282" i="2"/>
  <c r="AW284" i="2"/>
  <c r="AW288" i="2"/>
  <c r="AW297" i="2"/>
  <c r="AW299" i="2"/>
  <c r="AW302" i="2"/>
  <c r="AW311" i="2"/>
  <c r="J80" i="2"/>
  <c r="BE164" i="2"/>
  <c r="AW244" i="2"/>
  <c r="AW253" i="2"/>
  <c r="AW258" i="2"/>
  <c r="AW263" i="2"/>
  <c r="AW286" i="2"/>
  <c r="AW291" i="2"/>
  <c r="AW294" i="2"/>
  <c r="AW296" i="2"/>
  <c r="AW300" i="2"/>
  <c r="AW303" i="2"/>
  <c r="AW320" i="2"/>
  <c r="AW321" i="2"/>
  <c r="AW325" i="2"/>
  <c r="AW330" i="2"/>
  <c r="AW340" i="2"/>
  <c r="AW347" i="2"/>
  <c r="AW348" i="2"/>
  <c r="AW350" i="2"/>
  <c r="AW319" i="2"/>
  <c r="AW343" i="2"/>
  <c r="AW344" i="2"/>
  <c r="AW352" i="2"/>
  <c r="BE361" i="2"/>
  <c r="AW306" i="2"/>
  <c r="AW309" i="2"/>
  <c r="AW312" i="2"/>
  <c r="AW313" i="2"/>
  <c r="AW315" i="2"/>
  <c r="AW316" i="2"/>
  <c r="AW324" i="2"/>
  <c r="AW332" i="2"/>
  <c r="AW355" i="2"/>
  <c r="AW323" i="2"/>
  <c r="AW328" i="2"/>
  <c r="AW346" i="2"/>
  <c r="BE357" i="2"/>
  <c r="BE89" i="2"/>
  <c r="BE93" i="2"/>
  <c r="BE97" i="2"/>
  <c r="BE104" i="2"/>
  <c r="BE116" i="2"/>
  <c r="BE128" i="2"/>
  <c r="BE140" i="2"/>
  <c r="BE144" i="2"/>
  <c r="BE151" i="2"/>
  <c r="BE153" i="2"/>
  <c r="BE162" i="2"/>
  <c r="BE167" i="2"/>
  <c r="BE179" i="2"/>
  <c r="BE184" i="2"/>
  <c r="BE200" i="2"/>
  <c r="BE202" i="2"/>
  <c r="BE215" i="2"/>
  <c r="BE227" i="2"/>
  <c r="BE234" i="2"/>
  <c r="AW243" i="2"/>
  <c r="AW251" i="2"/>
  <c r="AW252" i="2"/>
  <c r="AW256" i="2"/>
  <c r="AW257" i="2"/>
  <c r="AW270" i="2"/>
  <c r="AW273" i="2"/>
  <c r="AW275" i="2"/>
  <c r="AW290" i="2"/>
  <c r="AW293" i="2"/>
  <c r="AW305" i="2"/>
  <c r="AW308" i="2"/>
  <c r="AW317" i="2"/>
  <c r="AW326" i="2"/>
  <c r="AW338" i="2"/>
  <c r="AW342" i="2"/>
  <c r="F35" i="3"/>
  <c r="F37" i="4"/>
  <c r="J34" i="2"/>
  <c r="J34" i="3"/>
  <c r="F34" i="3"/>
  <c r="F36" i="4"/>
  <c r="J34" i="4"/>
  <c r="F36" i="3"/>
  <c r="F37" i="3"/>
  <c r="F34" i="4"/>
  <c r="F35" i="2"/>
  <c r="F36" i="2"/>
  <c r="F37" i="2"/>
  <c r="F34" i="2"/>
  <c r="F35" i="4"/>
  <c r="B131" i="33" l="1"/>
  <c r="B135" i="33" s="1"/>
  <c r="B139" i="33" s="1"/>
  <c r="F21" i="34"/>
  <c r="G21" i="34" s="1"/>
  <c r="F34" i="34"/>
  <c r="G34" i="34" s="1"/>
  <c r="E36" i="34"/>
  <c r="T87" i="2"/>
  <c r="T86" i="2" s="1"/>
  <c r="C24" i="9"/>
  <c r="E21" i="9"/>
  <c r="E24" i="9" s="1"/>
  <c r="P89" i="4"/>
  <c r="P88" i="4" s="1"/>
  <c r="BK87" i="2"/>
  <c r="J87" i="2" s="1"/>
  <c r="J60" i="2" s="1"/>
  <c r="J88" i="2"/>
  <c r="J61" i="2" s="1"/>
  <c r="BI459" i="4"/>
  <c r="J459" i="4" s="1"/>
  <c r="J67" i="4" s="1"/>
  <c r="R87" i="2"/>
  <c r="R86" i="2" s="1"/>
  <c r="BI89" i="4"/>
  <c r="R88" i="3"/>
  <c r="T89" i="4"/>
  <c r="T88" i="4" s="1"/>
  <c r="T88" i="3"/>
  <c r="R89" i="4"/>
  <c r="R88" i="4" s="1"/>
  <c r="BJ89" i="3"/>
  <c r="P87" i="2"/>
  <c r="P86" i="2" s="1"/>
  <c r="BK359" i="2"/>
  <c r="J359" i="2" s="1"/>
  <c r="BJ440" i="3"/>
  <c r="J440" i="3" s="1"/>
  <c r="J66" i="3" s="1"/>
  <c r="F33" i="2"/>
  <c r="W41" i="1"/>
  <c r="W40" i="1"/>
  <c r="J33" i="2"/>
  <c r="AG66" i="1" l="1"/>
  <c r="F36" i="34"/>
  <c r="J65" i="2"/>
  <c r="C25" i="9"/>
  <c r="C26" i="9" s="1"/>
  <c r="J89" i="4"/>
  <c r="J60" i="4" s="1"/>
  <c r="BI88" i="4"/>
  <c r="J88" i="4" s="1"/>
  <c r="J30" i="4" s="1"/>
  <c r="E28" i="34" s="1"/>
  <c r="D24" i="9"/>
  <c r="D25" i="9" s="1"/>
  <c r="D26" i="9" s="1"/>
  <c r="BJ88" i="3"/>
  <c r="J88" i="3" s="1"/>
  <c r="J59" i="3" s="1"/>
  <c r="BK86" i="2"/>
  <c r="J86" i="2" s="1"/>
  <c r="J30" i="2" s="1"/>
  <c r="E20" i="34" s="1"/>
  <c r="J89" i="3"/>
  <c r="J60" i="3" s="1"/>
  <c r="W39" i="1"/>
  <c r="F28" i="34" l="1"/>
  <c r="G28" i="34" s="1"/>
  <c r="E30" i="34"/>
  <c r="F20" i="34"/>
  <c r="G20" i="34" s="1"/>
  <c r="E22" i="34"/>
  <c r="G36" i="34"/>
  <c r="F33" i="4"/>
  <c r="J33" i="4" s="1"/>
  <c r="J39" i="4" s="1"/>
  <c r="E25" i="9"/>
  <c r="E26" i="9" s="1"/>
  <c r="J39" i="2"/>
  <c r="J59" i="2"/>
  <c r="J59" i="4"/>
  <c r="J30" i="3"/>
  <c r="W18" i="19" l="1"/>
  <c r="W20" i="19" s="1"/>
  <c r="E24" i="34"/>
  <c r="AG63" i="1"/>
  <c r="F22" i="34"/>
  <c r="G22" i="34" s="1"/>
  <c r="AN63" i="1" s="1"/>
  <c r="F30" i="34"/>
  <c r="G30" i="34" s="1"/>
  <c r="AN65" i="1" s="1"/>
  <c r="AG65" i="1"/>
  <c r="AN66" i="1"/>
  <c r="F33" i="3"/>
  <c r="J33" i="3" s="1"/>
  <c r="J39" i="3" s="1"/>
  <c r="F24" i="34" l="1"/>
  <c r="G24" i="34" s="1"/>
  <c r="E26" i="34"/>
  <c r="F26" i="34" l="1"/>
  <c r="AG64" i="1"/>
  <c r="AK34" i="1" s="1"/>
  <c r="W37" i="1" s="1"/>
  <c r="AK37" i="1" s="1"/>
  <c r="AK43" i="1" s="1"/>
  <c r="G26" i="34" l="1"/>
  <c r="AN64" i="1" s="1"/>
</calcChain>
</file>

<file path=xl/sharedStrings.xml><?xml version="1.0" encoding="utf-8"?>
<sst xmlns="http://schemas.openxmlformats.org/spreadsheetml/2006/main" count="22366" uniqueCount="2109">
  <si>
    <t>Export Komplet</t>
  </si>
  <si>
    <t/>
  </si>
  <si>
    <t>False</t>
  </si>
  <si>
    <t>{12ba8a39-d892-490c-a351-28e0cad40073}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</si>
  <si>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</si>
  <si>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</si>
  <si>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</si>
  <si>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</si>
  <si>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</si>
  <si>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</si>
  <si>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</si>
  <si>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</si>
  <si>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2023-024</t>
  </si>
  <si>
    <t>Stavba:</t>
  </si>
  <si>
    <t>Propojení Okružní x Na hroudách</t>
  </si>
  <si>
    <t>KSO:</t>
  </si>
  <si>
    <t>CC-CZ:</t>
  </si>
  <si>
    <t>Místo:</t>
  </si>
  <si>
    <t>Nymburk</t>
  </si>
  <si>
    <t>Datum:</t>
  </si>
  <si>
    <t>29. 11. 2023</t>
  </si>
  <si>
    <t>Zadavatel:</t>
  </si>
  <si>
    <t>IČ:</t>
  </si>
  <si>
    <t xml:space="preserve"> </t>
  </si>
  <si>
    <t>DIČ:</t>
  </si>
  <si>
    <t>Zhotovitel:</t>
  </si>
  <si>
    <t>Projektant:</t>
  </si>
  <si>
    <t>02232651</t>
  </si>
  <si>
    <t>SOLICITE s.r.o.</t>
  </si>
  <si>
    <t>CZ02232651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</si>
  <si>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</si>
  <si>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</si>
  <si>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</si>
  <si>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</si>
  <si>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</si>
  <si>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</si>
  <si>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</si>
  <si>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</si>
  <si>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</si>
  <si>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</si>
  <si>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</si>
  <si>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</si>
  <si>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</si>
  <si>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</si>
  <si>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</si>
  <si>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</si>
  <si>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</si>
  <si>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</si>
  <si>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</si>
  <si>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</si>
  <si>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</si>
  <si>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</si>
  <si>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</si>
  <si>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</si>
  <si>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</si>
  <si>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</si>
  <si>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</si>
  <si>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</si>
  <si>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</si>
  <si>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</si>
  <si>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310</t>
  </si>
  <si>
    <t>Vodovod</t>
  </si>
  <si>
    <t>STA</t>
  </si>
  <si>
    <t>1</t>
  </si>
  <si>
    <t>{1c717c0d-98ad-4542-9507-4a0032dea878}</t>
  </si>
  <si>
    <t>2</t>
  </si>
  <si>
    <t>SO 320</t>
  </si>
  <si>
    <t>Splašková kanalizace</t>
  </si>
  <si>
    <t>{41e64e85-68bd-4001-8149-1c4303e40403}</t>
  </si>
  <si>
    <t>SO 330</t>
  </si>
  <si>
    <t>Odvodnění</t>
  </si>
  <si>
    <t>{ea7112fb-e99d-4f57-888b-0dec58e35702}</t>
  </si>
  <si>
    <t>KRYCÍ LIST SOUPISU PRACÍ</t>
  </si>
  <si>
    <t>Objekt:</t>
  </si>
  <si>
    <t>SO 310 - Vodovod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</si>
  <si>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</si>
  <si>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</si>
  <si>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</si>
  <si>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</si>
  <si>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</si>
  <si>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</si>
  <si>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</si>
  <si>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 Trubní vedení</t>
  </si>
  <si>
    <t xml:space="preserve">    998 - Přesun hmot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</si>
  <si>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</si>
  <si>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</si>
  <si>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</si>
  <si>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</si>
  <si>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</si>
  <si>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</si>
  <si>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</si>
  <si>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</si>
  <si>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</si>
  <si>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</si>
  <si>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</si>
  <si>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</si>
  <si>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</si>
  <si>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</si>
  <si>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</si>
  <si>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</si>
  <si>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</si>
  <si>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</si>
  <si>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</si>
  <si>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</si>
  <si>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</si>
  <si>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</si>
  <si>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m</t>
  </si>
  <si>
    <t>CS ÚRS 2023 02</t>
  </si>
  <si>
    <t>4</t>
  </si>
  <si>
    <t>-614310057</t>
  </si>
  <si>
    <t>Online PSC</t>
  </si>
  <si>
    <t>https://podminky.urs.cz/item/CS_URS_2023_02/119001401</t>
  </si>
  <si>
    <t>VV</t>
  </si>
  <si>
    <t>"šířka výkopu * počet křížení"</t>
  </si>
  <si>
    <t>"GASNET" 0.8*1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</si>
  <si>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</si>
  <si>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</si>
  <si>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1222948300</t>
  </si>
  <si>
    <t>https://podminky.urs.cz/item/CS_URS_2023_02/119001405</t>
  </si>
  <si>
    <t>3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</si>
  <si>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</si>
  <si>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</si>
  <si>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1329535457</t>
  </si>
  <si>
    <t>https://podminky.urs.cz/item/CS_URS_2023_02/119001421</t>
  </si>
  <si>
    <t>"NN ČEZ" 0.8*3</t>
  </si>
  <si>
    <t>"SV CETIN" 0.8*1</t>
  </si>
  <si>
    <t>"VO" 0.8*1</t>
  </si>
  <si>
    <t>Součet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</si>
  <si>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</si>
  <si>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</si>
  <si>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m3</t>
  </si>
  <si>
    <t>1021198624</t>
  </si>
  <si>
    <t>https://podminky.urs.cz/item/CS_URS_2023_02/132154206</t>
  </si>
  <si>
    <t>"(průměrná hloubka výkopu * délka řadu * šířka výkopu) * zastoupení třídy těžitelnosti"</t>
  </si>
  <si>
    <t>"P" (1.41*538.26*0.85)*0.2</t>
  </si>
  <si>
    <t>"P-1" (1.79*3.1*0.8)*0.2</t>
  </si>
  <si>
    <t>"P-2" (1.36*19.1*0.8)*0.2</t>
  </si>
  <si>
    <t>"P-3" (1.42*1.94*0.9)*0.2</t>
  </si>
  <si>
    <t>"P-4" (1.34*22.11*0.8)*0.2</t>
  </si>
  <si>
    <t>"P-5" (1.4*2.5*0.8)*0.2</t>
  </si>
  <si>
    <t>"P-6" (1.36*7.3*0.8)*0.2</t>
  </si>
  <si>
    <t>5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</si>
  <si>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</si>
  <si>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</si>
  <si>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1741231149</t>
  </si>
  <si>
    <t>https://podminky.urs.cz/item/CS_URS_2023_02/132254206</t>
  </si>
  <si>
    <t>"P" (1.41*538.26*0.85)*0.43</t>
  </si>
  <si>
    <t>"P-1" (1.79*3.1*0.8)*0.43</t>
  </si>
  <si>
    <t>"P-2" (1.36*19.1*0.8)*0.43</t>
  </si>
  <si>
    <t>"P-3" (1.42*1.94*0.9)*0.43</t>
  </si>
  <si>
    <t>"P-4" (1.34*22.11*0.8)*0.43</t>
  </si>
  <si>
    <t>"P-5" (1.4*2.5*0.8)*0.43</t>
  </si>
  <si>
    <t>"P-6" (1.36*7.3*0.8)*0.43</t>
  </si>
  <si>
    <t>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</si>
  <si>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</si>
  <si>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</si>
  <si>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1917412020</t>
  </si>
  <si>
    <t>https://podminky.urs.cz/item/CS_URS_2023_02/132354206</t>
  </si>
  <si>
    <t>"P" (1.41*538.26*0.85)*0.37</t>
  </si>
  <si>
    <t>"P-1" (1.79*3.1*0.8)*0.37</t>
  </si>
  <si>
    <t>"P-2" (1.36*19.1*0.8)*0.37</t>
  </si>
  <si>
    <t>"P-3" (1.42*1.94*0.9)*0.37</t>
  </si>
  <si>
    <t>"P-4" (1.34*22.11*0.8)*0.37</t>
  </si>
  <si>
    <t>"P-5" (1.4*2.5*0.8)*0.37</t>
  </si>
  <si>
    <t>"P-6" (1.36*7.3*0.8)*0.37</t>
  </si>
  <si>
    <t>7</t>
  </si>
  <si>
    <t>139001101</t>
  </si>
  <si>
    <t>Příplatek k cenám hloubených vykopávek za ztížení vykopávky v blízkosti podzemního vedení nebo výbušnin pro jakoukoliv třídu horniny</t>
  </si>
  <si>
    <t>-1403775322</t>
  </si>
  <si>
    <t>https://podminky.urs.cz/item/CS_URS_2023_02/139001101</t>
  </si>
  <si>
    <t>"průměrný objem ručně prováděných zemních prací v místě křížení * počet křížení"</t>
  </si>
  <si>
    <t>8</t>
  </si>
  <si>
    <t>151101101</t>
  </si>
  <si>
    <t>Zřízení pažení a rozepření stěn rýh pro podzemní vedení příložné pro jakoukoliv mezerovitost, hloubky do 2 m</t>
  </si>
  <si>
    <t>m2</t>
  </si>
  <si>
    <t>-1887010274</t>
  </si>
  <si>
    <t>https://podminky.urs.cz/item/CS_URS_2023_02/151101101</t>
  </si>
  <si>
    <t>"(průměrná hloubka výkopu * délka pažených úseků) * 2</t>
  </si>
  <si>
    <t>"P" (1.41*79.1)*2</t>
  </si>
  <si>
    <t>"P-3" (1.42*1.94)*2</t>
  </si>
  <si>
    <t>9</t>
  </si>
  <si>
    <t>151101111</t>
  </si>
  <si>
    <t>Odstranění pažení a rozepření stěn rýh pro podzemní vedení s uložením materiálu na vzdálenost do 3 m od kraje výkopu příložné, hloubky do 2 m</t>
  </si>
  <si>
    <t>307410310</t>
  </si>
  <si>
    <t>https://podminky.urs.cz/item/CS_URS_2023_02/151101111</t>
  </si>
  <si>
    <t>10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</si>
  <si>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</si>
  <si>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</si>
  <si>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647991245</t>
  </si>
  <si>
    <t>https://podminky.urs.cz/item/CS_URS_2023_02/162351104</t>
  </si>
  <si>
    <t>445,566 "výkopek 1-3</t>
  </si>
  <si>
    <t>882,56/1,8 "zásyp štěrkodrť</t>
  </si>
  <si>
    <t>391,473/1,8 "obsyp štěrkopísek</t>
  </si>
  <si>
    <t>11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</si>
  <si>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</si>
  <si>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</si>
  <si>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1965890023</t>
  </si>
  <si>
    <t>https://podminky.urs.cz/item/CS_URS_2023_02/162351124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</si>
  <si>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</si>
  <si>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</si>
  <si>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</si>
  <si>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1416582468</t>
  </si>
  <si>
    <t>https://podminky.urs.cz/item/CS_URS_2023_02/162751117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</si>
  <si>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</si>
  <si>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</si>
  <si>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</si>
  <si>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-1714087672</t>
  </si>
  <si>
    <t>https://podminky.urs.cz/item/CS_URS_2023_02/162751119</t>
  </si>
  <si>
    <t>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</si>
  <si>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</si>
  <si>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</si>
  <si>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-454024029</t>
  </si>
  <si>
    <t>https://podminky.urs.cz/item/CS_URS_2023_02/162751137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</si>
  <si>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</si>
  <si>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</si>
  <si>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-721620747</t>
  </si>
  <si>
    <t>https://podminky.urs.cz/item/CS_URS_2023_02/162751139</t>
  </si>
  <si>
    <t>3*261,683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</si>
  <si>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</si>
  <si>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</si>
  <si>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</si>
  <si>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-2023412182</t>
  </si>
  <si>
    <t>https://podminky.urs.cz/item/CS_URS_2023_02/167151111</t>
  </si>
  <si>
    <t>17</t>
  </si>
  <si>
    <t>167151112</t>
  </si>
  <si>
    <t>Nakládání, skládání a překládání neulehlého výkopku nebo sypaniny strojně nakládání, množství přes 100 m3, z hornin třídy těžitelnosti II, skupiny 4 a 5</t>
  </si>
  <si>
    <t>583250474</t>
  </si>
  <si>
    <t>https://podminky.urs.cz/item/CS_URS_2023_02/167151112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</si>
  <si>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</si>
  <si>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</si>
  <si>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</si>
  <si>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</si>
  <si>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-1098683726</t>
  </si>
  <si>
    <t>https://podminky.urs.cz/item/CS_URS_2023_02/171201231</t>
  </si>
  <si>
    <t>19</t>
  </si>
  <si>
    <t>171251201</t>
  </si>
  <si>
    <t>Uložení sypaniny na skládky nebo meziskládky bez hutnění s upravením uložené sypaniny do předepsaného tvaru</t>
  </si>
  <si>
    <t>-2052837252</t>
  </si>
  <si>
    <t>https://podminky.urs.cz/item/CS_URS_2023_02/171251201</t>
  </si>
  <si>
    <t>20</t>
  </si>
  <si>
    <t>174151101</t>
  </si>
  <si>
    <t>Zásyp sypaninou z jakékoliv horniny strojně s uložením výkopku ve vrstvách se zhutněním jam, šachet, rýh nebo kolem objektů v těchto vykopávkách</t>
  </si>
  <si>
    <t>-1362887012</t>
  </si>
  <si>
    <t>https://podminky.urs.cz/item/CS_URS_2023_02/174151101</t>
  </si>
  <si>
    <t>"objem výkopku - délka potrubí * výška podsypu a obsypu * šířka výkopu"</t>
  </si>
  <si>
    <t>"P" 707.25 - 538.26*0.56*0.85</t>
  </si>
  <si>
    <t>"P-1" 4.44-3.1*0.49*0.8</t>
  </si>
  <si>
    <t>"P-2" 20.78-19.1*0.51*0.8</t>
  </si>
  <si>
    <t>"P-3" 2.48-1.94*0.49*0.9</t>
  </si>
  <si>
    <t>"P-4" 23.7-22.11*0.51*0.8</t>
  </si>
  <si>
    <t>"P-5" 2.8-2.5*0.56*0.8</t>
  </si>
  <si>
    <t>"P-6" 7.94-7.3*0.49*0.8</t>
  </si>
  <si>
    <t>M</t>
  </si>
  <si>
    <t>58344197</t>
  </si>
  <si>
    <t>štěrkodrť frakce 0/63</t>
  </si>
  <si>
    <t>-503979285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</si>
  <si>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</si>
  <si>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</si>
  <si>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</si>
  <si>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99649850</t>
  </si>
  <si>
    <t>https://podminky.urs.cz/item/CS_URS_2023_02/175151101</t>
  </si>
  <si>
    <t>23</t>
  </si>
  <si>
    <t>58337344</t>
  </si>
  <si>
    <t>štěrkopísek frakce 0/32</t>
  </si>
  <si>
    <t>703713271</t>
  </si>
  <si>
    <t>"(délka potrubí * výška obsypu * šířka výkopu) - (objem potrubí) "</t>
  </si>
  <si>
    <t>"P" (538.26*0.46*0.85)-((3,14*0.16^2)/4)*538.26</t>
  </si>
  <si>
    <t>"P-1" (3.1*0.39*0.8)-((3,14*0.09^2)/4)*3.1</t>
  </si>
  <si>
    <t>"P-2" (19.1*0.41*0.8)-((3,14*0.11^2)/4)*19.1</t>
  </si>
  <si>
    <t>"P-3" (1.94*0.39*0.9)-((3,14*0.09^2)/4)*1.94</t>
  </si>
  <si>
    <t>"P-4" (22.11*0.41*0.8)-((3,14*0.11^2)/4)*22.11</t>
  </si>
  <si>
    <t>"P-5" (2.5*0.46*0.8)-((3,14*0.16^2)/4)*2.5</t>
  </si>
  <si>
    <t>"P-6" (7.3*0.39*0.8)-((3,14*0.09^2)/4)*7.3</t>
  </si>
  <si>
    <t>217,485*1,8 'Přepočtené koeficientem množství</t>
  </si>
  <si>
    <t>Vodorovné konstrukce</t>
  </si>
  <si>
    <t>24</t>
  </si>
  <si>
    <t>451572111</t>
  </si>
  <si>
    <t>Lože pod potrubí, stoky a drobné objekty v otevřeném výkopu z kameniva drobného těženého 0 až 4 mm</t>
  </si>
  <si>
    <t>2134586889</t>
  </si>
  <si>
    <t>https://podminky.urs.cz/item/CS_URS_2023_02/451572111</t>
  </si>
  <si>
    <t>"(délka potrubí * výška podsypu * šířka výkopu)"</t>
  </si>
  <si>
    <t>"P" (538.26*0.1*0.85)</t>
  </si>
  <si>
    <t>"P-1" (3.1*0.1*0.8)</t>
  </si>
  <si>
    <t>"P-2" (19.1*0.1*0.8)</t>
  </si>
  <si>
    <t>"P-3" (1.94*0.1*0.9)</t>
  </si>
  <si>
    <t>"P-4" (22.11*0.1*0.8)</t>
  </si>
  <si>
    <t>"P-5" (2.5*0.1*0.8)</t>
  </si>
  <si>
    <t>"P-6" (7.3*0.1*0.8)</t>
  </si>
  <si>
    <t>25</t>
  </si>
  <si>
    <t>452313141</t>
  </si>
  <si>
    <t>Podkladní a zajišťovací konstrukce z betonu prostého v otevřeném výkopu bez zvýšených nároků na prostředí bloky pro potrubí z betonu tř. C 16/20</t>
  </si>
  <si>
    <t>1606920211</t>
  </si>
  <si>
    <t>https://podminky.urs.cz/item/CS_URS_2023_02/452313141</t>
  </si>
  <si>
    <t>"objem opěrného bloku * počet bloků"</t>
  </si>
  <si>
    <t>"patkové koleno" 0.0195*2</t>
  </si>
  <si>
    <t>"oblouk" 0.0546*3</t>
  </si>
  <si>
    <t>"odbočný T-kus" 0.0546*10</t>
  </si>
  <si>
    <t>26</t>
  </si>
  <si>
    <t>452353101</t>
  </si>
  <si>
    <t>Bednění podkladních a zajišťovacích konstrukcí v otevřeném výkopu bloků pro potrubí</t>
  </si>
  <si>
    <t>-1184505508</t>
  </si>
  <si>
    <t>https://podminky.urs.cz/item/CS_URS_2023_02/452353101</t>
  </si>
  <si>
    <t>"plocha bednění * počet bloků"</t>
  </si>
  <si>
    <t>"patkové koleno" 0.231*2</t>
  </si>
  <si>
    <t>"oblouk" 0.64*3</t>
  </si>
  <si>
    <t>"odbočný T-kus" 0.64*10</t>
  </si>
  <si>
    <t xml:space="preserve"> Trubní vedení</t>
  </si>
  <si>
    <t>27</t>
  </si>
  <si>
    <t>850311811S</t>
  </si>
  <si>
    <t>Bourání stávajícího potrubí z trub litinových hrdlových nebo přírubových v otevřeném výkopu DN do 150, včetně likvidace</t>
  </si>
  <si>
    <t>1602050729</t>
  </si>
  <si>
    <t>28</t>
  </si>
  <si>
    <t>857242122</t>
  </si>
  <si>
    <t>Montáž litinových tvarovek na potrubí litinovém tlakovém jednoosých na potrubí z trub přírubových v otevřeném výkopu, kanálu nebo v šachtě DN 80</t>
  </si>
  <si>
    <t>kus</t>
  </si>
  <si>
    <t>1633727255</t>
  </si>
  <si>
    <t>https://podminky.urs.cz/item/CS_URS_2023_02/857242122</t>
  </si>
  <si>
    <t>29</t>
  </si>
  <si>
    <t>55254026</t>
  </si>
  <si>
    <t>koleno přírubové z tvárné litiny,práškový epoxid tl 250µm Q-kus DN 80-90°</t>
  </si>
  <si>
    <t>340044447</t>
  </si>
  <si>
    <t>30</t>
  </si>
  <si>
    <t>28653135S</t>
  </si>
  <si>
    <t>nákružek lemový PE 100 SDR11 90mm + PP otočná příruba DN80</t>
  </si>
  <si>
    <t>-2143309819</t>
  </si>
  <si>
    <t>31</t>
  </si>
  <si>
    <t>DKT.FF80E200P16</t>
  </si>
  <si>
    <t>Duktus FF přírubová tvarovka DN 80 dl. 200mm, PN 10/16</t>
  </si>
  <si>
    <t>-1158442115</t>
  </si>
  <si>
    <t>32</t>
  </si>
  <si>
    <t>857264122</t>
  </si>
  <si>
    <t>Montáž litinových tvarovek na potrubí litinovém tlakovém odbočných na potrubí z trub přírubových v otevřeném výkopu, kanálu nebo v šachtě DN 100</t>
  </si>
  <si>
    <t>-989072427</t>
  </si>
  <si>
    <t>https://podminky.urs.cz/item/CS_URS_2023_02/857264122</t>
  </si>
  <si>
    <t>33</t>
  </si>
  <si>
    <t>55253516</t>
  </si>
  <si>
    <t>tvarovka přírubová litinová vodovodní s přírubovou odbočkou PN10/16 T-kus DN 100/100</t>
  </si>
  <si>
    <t>786298518</t>
  </si>
  <si>
    <t>34</t>
  </si>
  <si>
    <t>55253515</t>
  </si>
  <si>
    <t>tvarovka přírubová litinová s přírubovou odbočkou,práškový epoxid tl 250µm T-kus DN 100/80</t>
  </si>
  <si>
    <t>914002282</t>
  </si>
  <si>
    <t>35</t>
  </si>
  <si>
    <t>28653136S</t>
  </si>
  <si>
    <t>nákružek lemový PE 100 SDR11 110mm + PP otočná příruba DN100</t>
  </si>
  <si>
    <t>157310147</t>
  </si>
  <si>
    <t>36</t>
  </si>
  <si>
    <t>857312122</t>
  </si>
  <si>
    <t>Montáž litinových tvarovek na potrubí litinovém tlakovém jednoosých na potrubí z trub přírubových v otevřeném výkopu, kanálu nebo v šachtě DN 150</t>
  </si>
  <si>
    <t>590751210</t>
  </si>
  <si>
    <t>https://podminky.urs.cz/item/CS_URS_2023_02/857312122</t>
  </si>
  <si>
    <t>37</t>
  </si>
  <si>
    <t>55253617</t>
  </si>
  <si>
    <t>přechod přírubový litinový PN10/16 FFR-kus dl 200mm DN 150/100</t>
  </si>
  <si>
    <t>1433453920</t>
  </si>
  <si>
    <t>38</t>
  </si>
  <si>
    <t>28653139S</t>
  </si>
  <si>
    <t>nákružek lemový PE 100 SDR11 160mm + OTOČNÁ PŘRUBA DN150 PP</t>
  </si>
  <si>
    <t>1534549981</t>
  </si>
  <si>
    <t>39</t>
  </si>
  <si>
    <t>797410000S16</t>
  </si>
  <si>
    <t>MULTITOLERANČNÍ SPOJKA DN150 PN10 (hrdlo-příruba)</t>
  </si>
  <si>
    <t>828568654</t>
  </si>
  <si>
    <t>40</t>
  </si>
  <si>
    <t>857314122</t>
  </si>
  <si>
    <t>Montáž litinových tvarovek na potrubí litinovém tlakovém odbočných na potrubí z trub přírubových v otevřeném výkopu, kanálu nebo v šachtě DN 150</t>
  </si>
  <si>
    <t>1094333452</t>
  </si>
  <si>
    <t>https://podminky.urs.cz/item/CS_URS_2023_02/857314122</t>
  </si>
  <si>
    <t>41</t>
  </si>
  <si>
    <t>55253530</t>
  </si>
  <si>
    <t>tvarovka přírubová litinová vodovodní s přírubovou odbočkou PN10/16 T-kus DN 150/150</t>
  </si>
  <si>
    <t>1812017775</t>
  </si>
  <si>
    <t>42</t>
  </si>
  <si>
    <t>55253528</t>
  </si>
  <si>
    <t>tvarovka přírubová litinová s přírubovou odbočkou,práškový epoxid tl 250µm T-kus DN 150/100</t>
  </si>
  <si>
    <t>962444766</t>
  </si>
  <si>
    <t>43</t>
  </si>
  <si>
    <t>55253527</t>
  </si>
  <si>
    <t>tvarovka přírubová litinová s přírubovou odbočkou,práškový epoxid tl 250µm T-kus DN 150/80</t>
  </si>
  <si>
    <t>-72091211</t>
  </si>
  <si>
    <t>44</t>
  </si>
  <si>
    <t>871241151</t>
  </si>
  <si>
    <t>Montáž vodovodního potrubí z plastů v otevřeném výkopu z polyetylenu PE 100 svařovaných na tupo SDR 17/PN10 D 90 x 5,4 mm</t>
  </si>
  <si>
    <t>899664169</t>
  </si>
  <si>
    <t>https://podminky.urs.cz/item/CS_URS_2023_02/871241151</t>
  </si>
  <si>
    <t>45</t>
  </si>
  <si>
    <t>28613575</t>
  </si>
  <si>
    <t>potrubí dvouvrstvé PE100 RC SDR17 90x5,4 dl 12m</t>
  </si>
  <si>
    <t>1067101535</t>
  </si>
  <si>
    <t>12,3*1,015 'Přepočtené koeficientem množství</t>
  </si>
  <si>
    <t>46</t>
  </si>
  <si>
    <t>871251151</t>
  </si>
  <si>
    <t>Montáž vodovodního potrubí z plastů v otevřeném výkopu z polyetylenu PE 100 svařovaných na tupo SDR 17/PN10 D 110 x 6,6 mm</t>
  </si>
  <si>
    <t>-1126814756</t>
  </si>
  <si>
    <t>https://podminky.urs.cz/item/CS_URS_2023_02/871251151</t>
  </si>
  <si>
    <t>47</t>
  </si>
  <si>
    <t>28613576</t>
  </si>
  <si>
    <t>potrubí dvouvrstvé PE100 RC SDR17 110x6,6 dl 12m</t>
  </si>
  <si>
    <t>-177518611</t>
  </si>
  <si>
    <t>189,9*1,015 'Přepočtené koeficientem množství</t>
  </si>
  <si>
    <t>48</t>
  </si>
  <si>
    <t>871291811S</t>
  </si>
  <si>
    <t>Bourání stávajícího potrubí z polyetylenu v otevřeném výkopu D přes 90 do 140 mm, včetně likvidace</t>
  </si>
  <si>
    <t>-387155161</t>
  </si>
  <si>
    <t>49</t>
  </si>
  <si>
    <t>871321151</t>
  </si>
  <si>
    <t>Montáž vodovodního potrubí z plastů v otevřeném výkopu z polyetylenu PE 100 svařovaných na tupo SDR 17/PN10 D 160 x 9,5 mm</t>
  </si>
  <si>
    <t>1147163889</t>
  </si>
  <si>
    <t>https://podminky.urs.cz/item/CS_URS_2023_02/871321151</t>
  </si>
  <si>
    <t>50</t>
  </si>
  <si>
    <t>28613579</t>
  </si>
  <si>
    <t>potrubí dvouvrstvé PE100 RC SDR17 160x9,5 dl 12m</t>
  </si>
  <si>
    <t>-654324700</t>
  </si>
  <si>
    <t>392,1*1,015 'Přepočtené koeficientem množství</t>
  </si>
  <si>
    <t>51</t>
  </si>
  <si>
    <t>871351152</t>
  </si>
  <si>
    <t>Montáž vodovodního potrubí z plastů v otevřeném výkopu z polyetylenu PE 100 svařovaných na tupo SDR 17/PN10 D 225 x 13,4 mm</t>
  </si>
  <si>
    <t>-300242668</t>
  </si>
  <si>
    <t>https://podminky.urs.cz/item/CS_URS_2023_02/871351152</t>
  </si>
  <si>
    <t>6 "trubka vodovodní PE100RC SDR17 PN10 225 mm (CHRÁNIČKA)</t>
  </si>
  <si>
    <t>52</t>
  </si>
  <si>
    <t>28613582</t>
  </si>
  <si>
    <t>potrubí dvouvrstvé PE100 RC SDR17 225x13,4 dl 12m</t>
  </si>
  <si>
    <t>461778740</t>
  </si>
  <si>
    <t>6*1,015 'Přepočtené koeficientem množství</t>
  </si>
  <si>
    <t>53</t>
  </si>
  <si>
    <t>8912418111</t>
  </si>
  <si>
    <t>Demontáž vodovodních armatur na potrubí šoupátek nebo klapek uzavíracích v otevřeném výkopu nebo v šachtách DN 80, včetně likvidace</t>
  </si>
  <si>
    <t>-2143645169</t>
  </si>
  <si>
    <t>1 "Demontáž stávající hydrantové sestavy</t>
  </si>
  <si>
    <t>54</t>
  </si>
  <si>
    <t>899911231</t>
  </si>
  <si>
    <t>Kluzné objímky (pojízdná sedla) pro zasunutí potrubí do chráničky výšky 25 mm vnějšího průměru potrubí přes 110 mm</t>
  </si>
  <si>
    <t>-692169601</t>
  </si>
  <si>
    <t>https://podminky.urs.cz/item/CS_URS_2023_02/899911231</t>
  </si>
  <si>
    <t>55</t>
  </si>
  <si>
    <t>899913142</t>
  </si>
  <si>
    <t>Koncové uzavírací manžety chrániček DN potrubí x DN chráničky DN 100 x 200</t>
  </si>
  <si>
    <t>1006026255</t>
  </si>
  <si>
    <t>https://podminky.urs.cz/item/CS_URS_2023_02/899913142</t>
  </si>
  <si>
    <t>56</t>
  </si>
  <si>
    <t>877241101</t>
  </si>
  <si>
    <t>Montáž tvarovek na vodovodním plastovém potrubí z polyetylenu PE 100 elektrotvarovek SDR 11/PN16 spojek, oblouků nebo redukcí d 90</t>
  </si>
  <si>
    <t>475501624</t>
  </si>
  <si>
    <t>https://podminky.urs.cz/item/CS_URS_2023_02/877241101</t>
  </si>
  <si>
    <t>57</t>
  </si>
  <si>
    <t>28615974</t>
  </si>
  <si>
    <t>elektrospojka SDR11 PE 100 PN16 D 90mm</t>
  </si>
  <si>
    <t>1607414194</t>
  </si>
  <si>
    <t>58</t>
  </si>
  <si>
    <t>877241118</t>
  </si>
  <si>
    <t>Montáž tvarovek na vodovodním plastovém potrubí z polyetylenu PE 100 elektrotvarovek SDR 11/PN16 záslepek d 90</t>
  </si>
  <si>
    <t>1727442597</t>
  </si>
  <si>
    <t>https://podminky.urs.cz/item/CS_URS_2023_02/877241118</t>
  </si>
  <si>
    <t>59</t>
  </si>
  <si>
    <t>28615025</t>
  </si>
  <si>
    <t>elektrozáslepka SDR11 PE 100 PN16 D 90mm KIT</t>
  </si>
  <si>
    <t>1131223211</t>
  </si>
  <si>
    <t>60</t>
  </si>
  <si>
    <t>877251101</t>
  </si>
  <si>
    <t>Montáž tvarovek na vodovodním plastovém potrubí z polyetylenu PE 100 elektrotvarovek SDR 11/PN16 spojek, oblouků nebo redukcí d 110</t>
  </si>
  <si>
    <t>-465218638</t>
  </si>
  <si>
    <t>https://podminky.urs.cz/item/CS_URS_2023_02/877251101</t>
  </si>
  <si>
    <t>61</t>
  </si>
  <si>
    <t>28615975</t>
  </si>
  <si>
    <t>elektrospojka SDR11 PE 100 PN16 D 110mm</t>
  </si>
  <si>
    <t>-585634476</t>
  </si>
  <si>
    <t>62</t>
  </si>
  <si>
    <t>877251110</t>
  </si>
  <si>
    <t>Montáž tvarovek na vodovodním plastovém potrubí z polyetylenu PE 100 elektrotvarovek SDR 11/PN16 kolen 45° d 110</t>
  </si>
  <si>
    <t>451749513</t>
  </si>
  <si>
    <t>https://podminky.urs.cz/item/CS_URS_2023_02/877251110</t>
  </si>
  <si>
    <t>63</t>
  </si>
  <si>
    <t>28614949</t>
  </si>
  <si>
    <t>elektrokoleno 45° PE 100 PN16 D 110mm</t>
  </si>
  <si>
    <t>-2087742432</t>
  </si>
  <si>
    <t>64</t>
  </si>
  <si>
    <t>877251118</t>
  </si>
  <si>
    <t>Montáž tvarovek na vodovodním plastovém potrubí z polyetylenu PE 100 elektrotvarovek SDR 11/PN16 záslepek d 110</t>
  </si>
  <si>
    <t>-1796622029</t>
  </si>
  <si>
    <t>https://podminky.urs.cz/item/CS_URS_2023_02/877251118</t>
  </si>
  <si>
    <t>65</t>
  </si>
  <si>
    <t>28614588</t>
  </si>
  <si>
    <t>elektrozáslepka SDR11 PE 100 PN16 D 110mm KIT</t>
  </si>
  <si>
    <t>1094876531</t>
  </si>
  <si>
    <t>66</t>
  </si>
  <si>
    <t>877321101</t>
  </si>
  <si>
    <t>Montáž tvarovek na vodovodním plastovém potrubí z polyetylenu PE 100 elektrotvarovek SDR 11/PN16 spojek, oblouků nebo redukcí d 160</t>
  </si>
  <si>
    <t>-1809344269</t>
  </si>
  <si>
    <t>https://podminky.urs.cz/item/CS_URS_2023_02/877321101</t>
  </si>
  <si>
    <t>67</t>
  </si>
  <si>
    <t>28615978</t>
  </si>
  <si>
    <t>elektrospojka SDR11 PE 100 PN16 D 160mm</t>
  </si>
  <si>
    <t>-896896978</t>
  </si>
  <si>
    <t>68</t>
  </si>
  <si>
    <t>877321118</t>
  </si>
  <si>
    <t>Montáž tvarovek na vodovodním plastovém potrubí z polyetylenu PE 100 elektrotvarovek SDR 11/PN16 záslepek d 160</t>
  </si>
  <si>
    <t>1791233865</t>
  </si>
  <si>
    <t>https://podminky.urs.cz/item/CS_URS_2023_02/877321118</t>
  </si>
  <si>
    <t>69</t>
  </si>
  <si>
    <t>28614591</t>
  </si>
  <si>
    <t>elektrozáslepka SDR11 PE 100 PN16 D 160mm</t>
  </si>
  <si>
    <t>-582928750</t>
  </si>
  <si>
    <t>70</t>
  </si>
  <si>
    <t>891241112</t>
  </si>
  <si>
    <t>Montáž vodovodních armatur na potrubí šoupátek nebo klapek uzavíracích v otevřeném výkopu nebo v šachtách s osazením zemní soupravy (bez poklopů) DN 80</t>
  </si>
  <si>
    <t>-527473688</t>
  </si>
  <si>
    <t>https://podminky.urs.cz/item/CS_URS_2023_02/891241112</t>
  </si>
  <si>
    <t>71</t>
  </si>
  <si>
    <t>42221303</t>
  </si>
  <si>
    <t>šoupátko pitná voda litina GGG 50 krátká stavební dl PN10/16 DN 80x180mm</t>
  </si>
  <si>
    <t>1299336473</t>
  </si>
  <si>
    <t>72</t>
  </si>
  <si>
    <t>42291079</t>
  </si>
  <si>
    <t>souprava zemní pro šoupátka DN 65-80mm Rd 2,0m</t>
  </si>
  <si>
    <t>910762805</t>
  </si>
  <si>
    <t>73</t>
  </si>
  <si>
    <t>891247112</t>
  </si>
  <si>
    <t>Montáž vodovodních armatur na potrubí hydrantů podzemních (bez osazení poklopů) DN 80</t>
  </si>
  <si>
    <t>-837917900</t>
  </si>
  <si>
    <t>https://podminky.urs.cz/item/CS_URS_2023_02/891247112</t>
  </si>
  <si>
    <t>74</t>
  </si>
  <si>
    <t>42273589</t>
  </si>
  <si>
    <t>hydrant podzemní DN 80 PN 16 jednoduchý uzávěr krycí v 1000mm</t>
  </si>
  <si>
    <t>4095971</t>
  </si>
  <si>
    <t>75</t>
  </si>
  <si>
    <t>HWL.999900000000</t>
  </si>
  <si>
    <t>DRENÁŽNÍ OBAL K HYDRANTŮM</t>
  </si>
  <si>
    <t>1165678025</t>
  </si>
  <si>
    <t>76</t>
  </si>
  <si>
    <t>891261112</t>
  </si>
  <si>
    <t>Montáž vodovodních armatur na potrubí šoupátek nebo klapek uzavíracích v otevřeném výkopu nebo v šachtách s osazením zemní soupravy (bez poklopů) DN 100</t>
  </si>
  <si>
    <t>-684853694</t>
  </si>
  <si>
    <t>https://podminky.urs.cz/item/CS_URS_2023_02/891261112</t>
  </si>
  <si>
    <t>77</t>
  </si>
  <si>
    <t>42221304</t>
  </si>
  <si>
    <t>šoupátko pitná voda litina GGG 50 krátká stavební dl PN10/16 DN 100x190mm</t>
  </si>
  <si>
    <t>-1509961285</t>
  </si>
  <si>
    <t>78</t>
  </si>
  <si>
    <t>42291080</t>
  </si>
  <si>
    <t>souprava zemní pro šoupátka DN 100-150m Rd 2,0m</t>
  </si>
  <si>
    <t>660460871</t>
  </si>
  <si>
    <t>79</t>
  </si>
  <si>
    <t>891311112</t>
  </si>
  <si>
    <t>Montáž vodovodních armatur na potrubí šoupátek nebo klapek uzavíracích v otevřeném výkopu nebo v šachtách s osazením zemní soupravy (bez poklopů) DN 150</t>
  </si>
  <si>
    <t>-265058388</t>
  </si>
  <si>
    <t>https://podminky.urs.cz/item/CS_URS_2023_02/891311112</t>
  </si>
  <si>
    <t>80</t>
  </si>
  <si>
    <t>42221306</t>
  </si>
  <si>
    <t>šoupátko pitná voda litina GGG 50 krátká stavební dl PN10/16 DN 150x210mm</t>
  </si>
  <si>
    <t>44734156</t>
  </si>
  <si>
    <t>81</t>
  </si>
  <si>
    <t>42221306S</t>
  </si>
  <si>
    <t>šoupátko pitná voda litina GGG krátká stavební dl PN10 DN 150 s nástrčnými hrdly (S2000)</t>
  </si>
  <si>
    <t>-1970740453</t>
  </si>
  <si>
    <t>82</t>
  </si>
  <si>
    <t>-1026131667</t>
  </si>
  <si>
    <t>83</t>
  </si>
  <si>
    <t>892241111</t>
  </si>
  <si>
    <t>Tlakové zkoušky vodou na potrubí DN do 80</t>
  </si>
  <si>
    <t>1945251556</t>
  </si>
  <si>
    <t>https://podminky.urs.cz/item/CS_URS_2023_02/892241111</t>
  </si>
  <si>
    <t>84</t>
  </si>
  <si>
    <t>892271111</t>
  </si>
  <si>
    <t>Tlakové zkoušky vodou na potrubí DN 100 nebo 125</t>
  </si>
  <si>
    <t>-486550171</t>
  </si>
  <si>
    <t>https://podminky.urs.cz/item/CS_URS_2023_02/892271111</t>
  </si>
  <si>
    <t>85</t>
  </si>
  <si>
    <t>892351111</t>
  </si>
  <si>
    <t>Tlakové zkoušky vodou na potrubí DN 150 nebo 200</t>
  </si>
  <si>
    <t>-793683201</t>
  </si>
  <si>
    <t>https://podminky.urs.cz/item/CS_URS_2023_02/892351111</t>
  </si>
  <si>
    <t>86</t>
  </si>
  <si>
    <t>892273122</t>
  </si>
  <si>
    <t>Proplach a dezinfekce vodovodního potrubí DN od 80 do 125</t>
  </si>
  <si>
    <t>1792093767</t>
  </si>
  <si>
    <t>https://podminky.urs.cz/item/CS_URS_2023_02/892273122</t>
  </si>
  <si>
    <t>189,9 "Tlaková zkouška vodou potrubí d110</t>
  </si>
  <si>
    <t>12,3 "Tlaková zkouška vodou potrubí d90</t>
  </si>
  <si>
    <t>87</t>
  </si>
  <si>
    <t>892353122</t>
  </si>
  <si>
    <t>Proplach a dezinfekce vodovodního potrubí DN 150 nebo 200</t>
  </si>
  <si>
    <t>139243109</t>
  </si>
  <si>
    <t>https://podminky.urs.cz/item/CS_URS_2023_02/892353122</t>
  </si>
  <si>
    <t>88</t>
  </si>
  <si>
    <t>899401112</t>
  </si>
  <si>
    <t>Osazení poklopů litinových šoupátkových</t>
  </si>
  <si>
    <t>-2116939823</t>
  </si>
  <si>
    <t>https://podminky.urs.cz/item/CS_URS_2023_02/899401112</t>
  </si>
  <si>
    <t>89</t>
  </si>
  <si>
    <t>42291352</t>
  </si>
  <si>
    <t>poklop litinový šoupátkový pro zemní soupravy osazení do terénu a do vozovky</t>
  </si>
  <si>
    <t>367319081</t>
  </si>
  <si>
    <t>90</t>
  </si>
  <si>
    <t>42210050</t>
  </si>
  <si>
    <t>deska podkladová uličního poklopu litinového šoupatového</t>
  </si>
  <si>
    <t>337272245</t>
  </si>
  <si>
    <t>91</t>
  </si>
  <si>
    <t>899401113</t>
  </si>
  <si>
    <t>Osazení poklopů litinových hydrantových</t>
  </si>
  <si>
    <t>-1558643695</t>
  </si>
  <si>
    <t>https://podminky.urs.cz/item/CS_URS_2023_02/899401113</t>
  </si>
  <si>
    <t>92</t>
  </si>
  <si>
    <t>42291452</t>
  </si>
  <si>
    <t>poklop litinový hydrantový DN 80</t>
  </si>
  <si>
    <t>1042326280</t>
  </si>
  <si>
    <t>93</t>
  </si>
  <si>
    <t>42210052</t>
  </si>
  <si>
    <t>deska podkladová uličního poklopu litinového hydrantového</t>
  </si>
  <si>
    <t>-331548592</t>
  </si>
  <si>
    <t>94</t>
  </si>
  <si>
    <t>899713111</t>
  </si>
  <si>
    <t>Orientační tabulky na vodovodních a kanalizačních řadech na sloupku ocelovém nebo betonovém</t>
  </si>
  <si>
    <t>94680801</t>
  </si>
  <si>
    <t>https://podminky.urs.cz/item/CS_URS_2023_02/899713111</t>
  </si>
  <si>
    <t>95</t>
  </si>
  <si>
    <t>899721111</t>
  </si>
  <si>
    <t>Signalizační vodič na potrubí DN do 150 mm</t>
  </si>
  <si>
    <t>1043691578</t>
  </si>
  <si>
    <t>https://podminky.urs.cz/item/CS_URS_2023_02/899721111</t>
  </si>
  <si>
    <t>96</t>
  </si>
  <si>
    <t>899722112</t>
  </si>
  <si>
    <t>Krytí potrubí z plastů výstražnou fólií z PVC šířky 25 cm</t>
  </si>
  <si>
    <t>-1293234663</t>
  </si>
  <si>
    <t>https://podminky.urs.cz/item/CS_URS_2023_02/899722112</t>
  </si>
  <si>
    <t>998</t>
  </si>
  <si>
    <t>Přesun hmot</t>
  </si>
  <si>
    <t>97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</si>
  <si>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</si>
  <si>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</si>
  <si>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1972669000</t>
  </si>
  <si>
    <t>https://podminky.urs.cz/item/CS_URS_2023_02/998276101</t>
  </si>
  <si>
    <t>98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</si>
  <si>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</si>
  <si>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</si>
  <si>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76015440</t>
  </si>
  <si>
    <t>https://podminky.urs.cz/item/CS_URS_2023_02/998276124</t>
  </si>
  <si>
    <t>VRN</t>
  </si>
  <si>
    <t>Vedlejší rozpočtové náklady</t>
  </si>
  <si>
    <t>VRN9</t>
  </si>
  <si>
    <t>Ostatní náklady</t>
  </si>
  <si>
    <t>99</t>
  </si>
  <si>
    <t>091604000S</t>
  </si>
  <si>
    <t>Zajištění náhradního zásobování vodou po dobu odstávky</t>
  </si>
  <si>
    <t>soubor</t>
  </si>
  <si>
    <t>1024</t>
  </si>
  <si>
    <t>720130926</t>
  </si>
  <si>
    <t>SO 320 - Splašková kanalizace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</si>
  <si>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</si>
  <si>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</si>
  <si>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</si>
  <si>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715 - Izolace proti chemickým vlivům</t>
  </si>
  <si>
    <t>-1302157987</t>
  </si>
  <si>
    <t>"vodovod" 1*1</t>
  </si>
  <si>
    <t>"GASNET" 1*1</t>
  </si>
  <si>
    <t>98261060</t>
  </si>
  <si>
    <t>"NN ČEZ" 1*1</t>
  </si>
  <si>
    <t>-79961211</t>
  </si>
  <si>
    <t>"Výtlaky"</t>
  </si>
  <si>
    <t>"(průměrná hloubka výkopu * délka výtlaku (řadu) * šířka výkopu) * zastoupení třídy těžitelnosti"</t>
  </si>
  <si>
    <t>"V" (1.79*377.14*1)*0.14</t>
  </si>
  <si>
    <t>"V1" (2.09*3.9*1)*0.14</t>
  </si>
  <si>
    <t>"V2" (1.41*18.3*0.9)*0.14</t>
  </si>
  <si>
    <t>"V3" (1.68*21.3*0.9)*0.14</t>
  </si>
  <si>
    <t>"T" (1.63*18.4*0.9)*0.14</t>
  </si>
  <si>
    <t>"Výtlaky šachty"</t>
  </si>
  <si>
    <t>"(rozšíření výkopu v místě šachty * průměrná hloubka šachty + zahloubení výkopu v místě šachty) * počet šachet* zastoupení třídy těžitelnosti"</t>
  </si>
  <si>
    <t>"V" ((2*(2-1))*1.8+2*2*0.75)*2*0.14</t>
  </si>
  <si>
    <t>"Gravitační stoka"</t>
  </si>
  <si>
    <t>"(průměrná hloubka výkopu * délka stoky * šířka výkopu) * zastoupení třídy těžitelnosti"</t>
  </si>
  <si>
    <t>"S" (1.69*10.00*1.0)*0.14</t>
  </si>
  <si>
    <t>"stávající stoka - příprava pro napojení" (1.89*1.6*1.0)*0.14</t>
  </si>
  <si>
    <t>"Gravitace šachty"</t>
  </si>
  <si>
    <t>"S" ((2*(2-1))*1.69+2*2*0.35)*2*0.14</t>
  </si>
  <si>
    <t>-457358958</t>
  </si>
  <si>
    <t>"V" (1.79*377.14*1)*0.31</t>
  </si>
  <si>
    <t>"V1" (2.09*3.9*1)*0.31</t>
  </si>
  <si>
    <t>"V2" (1.41*18.3*0.9)*0.31</t>
  </si>
  <si>
    <t>"V3" (1.68*21.3*0.9)*0.31</t>
  </si>
  <si>
    <t>"T" (1.63*18.4*0.9)*0.31</t>
  </si>
  <si>
    <t>"V" ((2*(2-1))*1.8+2*2*0.75)*2*0.31</t>
  </si>
  <si>
    <t>"S" (1.69*10.00*1.0)*0.31</t>
  </si>
  <si>
    <t>"stávající stoka - příprava pro napojení" (1.89*1.6*1.0)*0.31</t>
  </si>
  <si>
    <t>"S" ((2*(2-1))*1.69+2*2*0.35)*2*0.31</t>
  </si>
  <si>
    <t>882453063</t>
  </si>
  <si>
    <t>"V" (1.79*377.14*1)*0.55</t>
  </si>
  <si>
    <t>"V1" (2.09*3.9*1)*0.55</t>
  </si>
  <si>
    <t>"V2" (1.41*18.3*0.9)*0.55</t>
  </si>
  <si>
    <t>"V3" (1.68*21.3*0.9)*0.55</t>
  </si>
  <si>
    <t>"T" (1.63*18.4*0.9)*0.55</t>
  </si>
  <si>
    <t>"V" ((2*(2-1))*1.8+2*2*0.75)*2*0.55</t>
  </si>
  <si>
    <t>"S" (1.69*10.00*1.0)*0.55</t>
  </si>
  <si>
    <t>"stávající stoka - příprava pro napojení" (1.89*1.6*1.0)*0.55</t>
  </si>
  <si>
    <t>"S" ((2*(2-1))*1.69+2*2*0.35)*2*0.55</t>
  </si>
  <si>
    <t>841553745</t>
  </si>
  <si>
    <t>1*1*0.8*3</t>
  </si>
  <si>
    <t>1837286119</t>
  </si>
  <si>
    <t>"V" (1.79*377.14)*2</t>
  </si>
  <si>
    <t>"V1" (2.09*3.9)*2</t>
  </si>
  <si>
    <t>"V2" (1.41*18.3)*2</t>
  </si>
  <si>
    <t>"V3" (1.68*21.3)*2</t>
  </si>
  <si>
    <t>"T" (1.63*18.4)*2</t>
  </si>
  <si>
    <t>"S" (1.69*10.00)*2</t>
  </si>
  <si>
    <t>1931145143</t>
  </si>
  <si>
    <t>-607759430</t>
  </si>
  <si>
    <t>363,751 " výkopek 1-3 na mezidepo</t>
  </si>
  <si>
    <t>988,691/1,8 "zásyp štěrkodrt</t>
  </si>
  <si>
    <t>346,615/1,8 " obsypání potrubí štěrkopísek</t>
  </si>
  <si>
    <t>-137393279</t>
  </si>
  <si>
    <t>-82726092</t>
  </si>
  <si>
    <t>670013740</t>
  </si>
  <si>
    <t>932309530</t>
  </si>
  <si>
    <t>547656126</t>
  </si>
  <si>
    <t>1579278014</t>
  </si>
  <si>
    <t>363,751 "výkopek 1-3</t>
  </si>
  <si>
    <t>-1736548142</t>
  </si>
  <si>
    <t>307740455</t>
  </si>
  <si>
    <t>808,335*1,8 'Přepočtené koeficientem množství</t>
  </si>
  <si>
    <t>887166711</t>
  </si>
  <si>
    <t>1991727003</t>
  </si>
  <si>
    <t>-1409134454</t>
  </si>
  <si>
    <t>"objem výkopku - délka potrubí * výška podsypu a obsypu * šířka výkopu - (objem šachet + podkladní desky + podsyp šachet)</t>
  </si>
  <si>
    <t>"V" 688.28 - 377.14*0.56*1 - (2*((3,14*1.24^2)/4)*2.19+0.68+1.8)</t>
  </si>
  <si>
    <t>"V1" 9.15 - 3.9*0.49*1</t>
  </si>
  <si>
    <t>"V2" 23.22 - 18.3*0.49*0.9</t>
  </si>
  <si>
    <t>"V3" 32.21 - 21.3*0.49*0.9</t>
  </si>
  <si>
    <t>"T" 26.99 - 18.4*0.463*0.9</t>
  </si>
  <si>
    <t>"S" 26.46 - 10*0.65*1 - (2*((3,14*1.24^2)/4)*1.67+0.68+1.8)</t>
  </si>
  <si>
    <t>"stávající stoka - příprava pro napojení" 3.02 - 1.6*0.65*1</t>
  </si>
  <si>
    <t>549,273*1,8 'Přepočtené koeficientem množství</t>
  </si>
  <si>
    <t>-2060175332</t>
  </si>
  <si>
    <t>251796152</t>
  </si>
  <si>
    <t>"V" 377.14*0.46*1-((3,14*0.16^2)/4)*377.14</t>
  </si>
  <si>
    <t>"V1" 3.9*0.39*1-((3,14*0.09^2)/4)*3.9</t>
  </si>
  <si>
    <t>"V2" 18.3*0.39*0.9-((3,14*0.09^2)/4)*18.3</t>
  </si>
  <si>
    <t>"V3" 21.3*0.39*0.9-((3,14*0.09^2)/4)*21.3</t>
  </si>
  <si>
    <t>"T" 18.4*0.363*0.9-((3,14*0.063^2)/4)*18.4</t>
  </si>
  <si>
    <t>"S" 10*0.55*1-((3,14*0.3^2)/4)*10</t>
  </si>
  <si>
    <t>"stávající stoka - příprava pro napojení" 1.6*0.55*1-((3,14*0.3^2)/4)*1.6</t>
  </si>
  <si>
    <t>192,564*1,8 'Přepočtené koeficientem množství</t>
  </si>
  <si>
    <t>Svislé a kompletní konstrukce</t>
  </si>
  <si>
    <t>359901211</t>
  </si>
  <si>
    <t>Monitoring stok (kamerový systém) jakékoli výšky nová kanalizace</t>
  </si>
  <si>
    <t>-157709721</t>
  </si>
  <si>
    <t>https://podminky.urs.cz/item/CS_URS_2023_02/359901211</t>
  </si>
  <si>
    <t>451541111</t>
  </si>
  <si>
    <t>Lože pod potrubí, stoky a drobné objekty v otevřeném výkopu ze štěrkodrtě 0-63 mm</t>
  </si>
  <si>
    <t>1472952007</t>
  </si>
  <si>
    <t>https://podminky.urs.cz/item/CS_URS_2023_02/451541111</t>
  </si>
  <si>
    <t>"podsyp šachet"</t>
  </si>
  <si>
    <t>"(rozměry podsypu)*počet šachet"</t>
  </si>
  <si>
    <t>"V" (2*2*0.2)*2</t>
  </si>
  <si>
    <t>"S" (2*2*0.2)*2</t>
  </si>
  <si>
    <t>20447928</t>
  </si>
  <si>
    <t>"V" 377.14*0.1*1</t>
  </si>
  <si>
    <t>"V1" 3.9*0.1*1</t>
  </si>
  <si>
    <t>"V2" 18.3*0.1*0.9</t>
  </si>
  <si>
    <t>"V3" 21.3*0.1*0.9</t>
  </si>
  <si>
    <t>"T" 18.4*0.1*0.9</t>
  </si>
  <si>
    <t>452312131</t>
  </si>
  <si>
    <t>Podkladní a zajišťovací konstrukce z betonu prostého v otevřeném výkopu bez zvýšených nároků na prostředí sedlové lože pod potrubí z betonu tř. C 12/15</t>
  </si>
  <si>
    <t>-1210431063</t>
  </si>
  <si>
    <t>https://podminky.urs.cz/item/CS_URS_2023_02/452312131</t>
  </si>
  <si>
    <t>"(délka potrubí * výška lože * šířka výkopu)"</t>
  </si>
  <si>
    <t>"S" 10*0.2*1</t>
  </si>
  <si>
    <t>"stávající stoka - příprava pro napojení" 1.6*0.2*1</t>
  </si>
  <si>
    <t>1774955604</t>
  </si>
  <si>
    <t>"odbočný T-kus" 0.0546*4</t>
  </si>
  <si>
    <t>452321131</t>
  </si>
  <si>
    <t>Podkladní a zajišťovací konstrukce z betonu železového v otevřeném výkopu bez zvýšených nároků na prostředí desky pod potrubí, stoky a drobné objekty z betonu tř. C 12/15</t>
  </si>
  <si>
    <t>-1877793401</t>
  </si>
  <si>
    <t>https://podminky.urs.cz/item/CS_URS_2023_02/452321131</t>
  </si>
  <si>
    <t>"(rozměry desky)*počet šachet"</t>
  </si>
  <si>
    <t>"V" (1.5*1.5*0.15)*2</t>
  </si>
  <si>
    <t>"S" (1.5*1.5*0.15)*2</t>
  </si>
  <si>
    <t>452351101</t>
  </si>
  <si>
    <t>Bednění podkladních a zajišťovacích konstrukcí v otevřeném výkopu desek nebo sedlových loží pod potrubí, stoky a drobné objekty</t>
  </si>
  <si>
    <t>-112913772</t>
  </si>
  <si>
    <t>https://podminky.urs.cz/item/CS_URS_2023_02/452351101</t>
  </si>
  <si>
    <t>"(rozměry bednění)*počet šachet"</t>
  </si>
  <si>
    <t>"V" (4*1.5*0.15)*2</t>
  </si>
  <si>
    <t>"S" (4*1.5*0.15)*2</t>
  </si>
  <si>
    <t>"lože"</t>
  </si>
  <si>
    <t>10*0,2*2</t>
  </si>
  <si>
    <t>-1647898037</t>
  </si>
  <si>
    <t>"odbočný T-kus" 0.64*4</t>
  </si>
  <si>
    <t>452368211</t>
  </si>
  <si>
    <t>Výztuž podkladních desek, bloků nebo pražců v otevřeném výkopu ze svařovaných sítí typu Kari</t>
  </si>
  <si>
    <t>-1154859008</t>
  </si>
  <si>
    <t>https://podminky.urs.cz/item/CS_URS_2023_02/452368211</t>
  </si>
  <si>
    <t>"počet šachet * rozměr výztuže * tonáž"</t>
  </si>
  <si>
    <t>4*1.2*1.2*0.00308</t>
  </si>
  <si>
    <t>452112111</t>
  </si>
  <si>
    <t>Osazení betonových dílců prstenců nebo rámů pod poklopy a mříže, výšky do 100 mm</t>
  </si>
  <si>
    <t>-1913096316</t>
  </si>
  <si>
    <t>https://podminky.urs.cz/item/CS_URS_2023_02/452112111</t>
  </si>
  <si>
    <t>59224187</t>
  </si>
  <si>
    <t>prstenec šachtový vyrovnávací betonový 625x120x100mm</t>
  </si>
  <si>
    <t>144252028</t>
  </si>
  <si>
    <t>59224185</t>
  </si>
  <si>
    <t>prstenec šachtový vyrovnávací betonový 625x120x60mm</t>
  </si>
  <si>
    <t>307937825</t>
  </si>
  <si>
    <t>830361811S</t>
  </si>
  <si>
    <t>Řezání a bourání stávajícího potrubí z kameninových trub v otevřeném výkopu DN přes 150 do 250, včetně likvidace</t>
  </si>
  <si>
    <t>-1654909908</t>
  </si>
  <si>
    <t>831362121</t>
  </si>
  <si>
    <t>Montáž potrubí z trub kameninových hrdlových s integrovaným těsněním v otevřeném výkopu ve sklonu do 20 % DN 250</t>
  </si>
  <si>
    <t>1267168748</t>
  </si>
  <si>
    <t>https://podminky.urs.cz/item/CS_URS_2023_02/831362121</t>
  </si>
  <si>
    <t>59710705</t>
  </si>
  <si>
    <t>trouba kameninová glazovaná DN 250 dl 2,50m spojovací systém C Třída 240</t>
  </si>
  <si>
    <t>-1531421743</t>
  </si>
  <si>
    <t>59710846</t>
  </si>
  <si>
    <t>trouba kameninová glazovaná zkrácená DN 250 dl 60(75)cm třída 160 spojovací systém C</t>
  </si>
  <si>
    <t>1832888049</t>
  </si>
  <si>
    <t>837362221</t>
  </si>
  <si>
    <t>Montáž kameninových tvarovek na potrubí z trub kameninových v otevřeném výkopu s integrovaným těsněním jednoosých DN 250</t>
  </si>
  <si>
    <t>-1578363771</t>
  </si>
  <si>
    <t>https://podminky.urs.cz/item/CS_URS_2023_02/837362221</t>
  </si>
  <si>
    <t>59713315S</t>
  </si>
  <si>
    <t>Manžetové těsnění pro spojení dvou dříků trubo vnejším průměru 299mm</t>
  </si>
  <si>
    <t>-1001038301</t>
  </si>
  <si>
    <t>857244122S</t>
  </si>
  <si>
    <t>Montáž litinových tvarovek na potrubí litinovém tlakovém odbočných na potrubí z trub přírubových v otevřeném výkopu, kanálu nebo v šachtě DN 50</t>
  </si>
  <si>
    <t>-2042558638</t>
  </si>
  <si>
    <t>55253502</t>
  </si>
  <si>
    <t>tvarovka přírubová litinová s přírubovou odbočkou,práškový epoxid tl 250µm T-kus DN 50/50</t>
  </si>
  <si>
    <t>1650529586</t>
  </si>
  <si>
    <t>857262122</t>
  </si>
  <si>
    <t>Montáž litinových tvarovek na potrubí litinovém tlakovém jednoosých na potrubí z trub přírubových v otevřeném výkopu, kanálu nebo v šachtě DN 100</t>
  </si>
  <si>
    <t>1397966729</t>
  </si>
  <si>
    <t>https://podminky.urs.cz/item/CS_URS_2023_02/857262122</t>
  </si>
  <si>
    <t>55253251</t>
  </si>
  <si>
    <t>tvarovka přírubová litinová vodovodní PN10/16 DN 100 dl 200mm</t>
  </si>
  <si>
    <t>597220551</t>
  </si>
  <si>
    <t>55253251S</t>
  </si>
  <si>
    <t>PŘÍRUBA S BAJONETOVOU SPOJKOU TYP A110 DN100</t>
  </si>
  <si>
    <t>-1099344940</t>
  </si>
  <si>
    <t>-687471312</t>
  </si>
  <si>
    <t>55251662S</t>
  </si>
  <si>
    <t>Příruba s jištěním pro PE/PVC potrubí DN150/d160</t>
  </si>
  <si>
    <t>983263843</t>
  </si>
  <si>
    <t>1378881587</t>
  </si>
  <si>
    <t>-1219299433</t>
  </si>
  <si>
    <t>114972425</t>
  </si>
  <si>
    <t>871251811S</t>
  </si>
  <si>
    <t>Řezání a bourání stávajícího potrubí z polyetylenu v otevřeném výkopu D přes 50 do 90 mm, včetně likvidace</t>
  </si>
  <si>
    <t>1117154912</t>
  </si>
  <si>
    <t>871255301S</t>
  </si>
  <si>
    <t>Montáž kanalizačního potrubí z plastů z polyetylenu PE 100 svařovaných elektrotvarovkou v otevřeném výkopu ve sklonu do 20 % SDR 17/PN 10 D 63x3,8</t>
  </si>
  <si>
    <t>-386525800</t>
  </si>
  <si>
    <t>https://podminky.urs.cz/item/CS_URS_2023_02/871255301S</t>
  </si>
  <si>
    <t>28613415S</t>
  </si>
  <si>
    <t>potrubí kanalizační tlakové PE100 SDR17 návin se signalizační vrstvou 63x3,8mm</t>
  </si>
  <si>
    <t>-2036284635</t>
  </si>
  <si>
    <t>871255301</t>
  </si>
  <si>
    <t>Montáž kanalizačního potrubí z plastů z polyetylenu PE 100 svařovaných elektrotvarovkou v otevřeném výkopu ve sklonu do 20 % SDR 17/PN 10 D 90 x 5,4 mm</t>
  </si>
  <si>
    <t>-978059482</t>
  </si>
  <si>
    <t>https://podminky.urs.cz/item/CS_URS_2023_02/871255301</t>
  </si>
  <si>
    <t>28613415</t>
  </si>
  <si>
    <t>potrubí kanalizační tlakové PE100 SDR17 návin se signalizační vrstvou 90x5,4mm</t>
  </si>
  <si>
    <t>966898750</t>
  </si>
  <si>
    <t>43,5*1,015 'Přepočtené koeficientem množství</t>
  </si>
  <si>
    <t>871325301</t>
  </si>
  <si>
    <t>Montáž kanalizačního potrubí z plastů z polyetylenu PE 100 svařovaných elektrotvarovkou v otevřeném výkopu ve sklonu do 20 % SDR 17/PN 10 D 160 x 9,5 mm</t>
  </si>
  <si>
    <t>-1020997300</t>
  </si>
  <si>
    <t>https://podminky.urs.cz/item/CS_URS_2023_02/871325301</t>
  </si>
  <si>
    <t>28613419</t>
  </si>
  <si>
    <t>potrubí kanalizační tlakové PE100 SDR17 návin se signalizační vrstvou 160x9,5mm</t>
  </si>
  <si>
    <t>-1784436542</t>
  </si>
  <si>
    <t>871355302</t>
  </si>
  <si>
    <t>Montáž kanalizačního potrubí z plastů z polyetylenu PE 100 svařovaných elektrotvarovkou v otevřeném výkopu ve sklonu do 20 % SDR 17/PN 10 D 225 x 13,4 mm</t>
  </si>
  <si>
    <t>-369877476</t>
  </si>
  <si>
    <t>https://podminky.urs.cz/item/CS_URS_2023_02/871355302</t>
  </si>
  <si>
    <t>28613432</t>
  </si>
  <si>
    <t>potrubí kanalizační tlakové PE100 SDR17 tyče 12m se signalizační vrstvou 225x13,4mm</t>
  </si>
  <si>
    <t>908040916</t>
  </si>
  <si>
    <t>877215201</t>
  </si>
  <si>
    <t>Montáž tvarovek na kanalizačním plastovém potrubí z polyetylenu PE 100 elektrotvarovek SDR 11/PN16 spojek nebo oblouků d 63</t>
  </si>
  <si>
    <t>554292323</t>
  </si>
  <si>
    <t>https://podminky.urs.cz/item/CS_URS_2023_02/877215201</t>
  </si>
  <si>
    <t>28615972</t>
  </si>
  <si>
    <t>elektrospojka SDR11 PE 100 PN16 D 63mm</t>
  </si>
  <si>
    <t>1741235637</t>
  </si>
  <si>
    <t>877215218</t>
  </si>
  <si>
    <t>Montáž tvarovek na kanalizačním plastovém potrubí z polyetylenu PE 100 elektrotvarovek SDR 11/PN16 záslepek d 63</t>
  </si>
  <si>
    <t>-1362566011</t>
  </si>
  <si>
    <t>https://podminky.urs.cz/item/CS_URS_2023_02/877215218</t>
  </si>
  <si>
    <t>28615023</t>
  </si>
  <si>
    <t>elektrozáslepka SDR11 PE 100 PN16 D 63mm</t>
  </si>
  <si>
    <t>2097973953</t>
  </si>
  <si>
    <t>877245201</t>
  </si>
  <si>
    <t>Montáž tvarovek na kanalizačním plastovém potrubí z polyetylenu PE 100 elektrotvarovek SDR 11/PN16 spojek nebo oblouků d 90</t>
  </si>
  <si>
    <t>-1334074614</t>
  </si>
  <si>
    <t>https://podminky.urs.cz/item/CS_URS_2023_02/877245201</t>
  </si>
  <si>
    <t>287351958</t>
  </si>
  <si>
    <t>877245218</t>
  </si>
  <si>
    <t>Montáž tvarovek na kanalizačním plastovém potrubí z polyetylenu PE 100 elektrotvarovek SDR 11/PN16 záslepek d 90</t>
  </si>
  <si>
    <t>-2118946256</t>
  </si>
  <si>
    <t>https://podminky.urs.cz/item/CS_URS_2023_02/877245218</t>
  </si>
  <si>
    <t>1614239494</t>
  </si>
  <si>
    <t>877260310S</t>
  </si>
  <si>
    <t>Montáž tvarovek na kanalizačním plastovém potrubí z polypropylenu PP nebo tvrdého PVC hladkého plnostěnného kolen, víček nebo hrdlových uzávěrů DN 80</t>
  </si>
  <si>
    <t>-928146842</t>
  </si>
  <si>
    <t>lemový nákružek PE100 SDR17 PN10 d90 + PP otočná příruba DN80</t>
  </si>
  <si>
    <t>347114022</t>
  </si>
  <si>
    <t>877260310T</t>
  </si>
  <si>
    <t>Montáž tvarovek na kanalizačním plastovém potrubí z polypropylenu PP nebo tvrdého PVC hladkého plnostěnného kolen, víček nebo hrdlových uzávěrů DN 50</t>
  </si>
  <si>
    <t>743139888</t>
  </si>
  <si>
    <t>28653133S</t>
  </si>
  <si>
    <t>lemový nákružek PE100 SDR17 PN10 d63 + PP otočná příruba DN50</t>
  </si>
  <si>
    <t>218174628</t>
  </si>
  <si>
    <t>877310310</t>
  </si>
  <si>
    <t>Montáž tvarovek na kanalizačním plastovém potrubí z polypropylenu PP nebo tvrdého PVC hladkého plnostěnného kolen, víček nebo hrdlových uzávěrů DN 150</t>
  </si>
  <si>
    <t>774199129</t>
  </si>
  <si>
    <t>https://podminky.urs.cz/item/CS_URS_2023_02/877310310</t>
  </si>
  <si>
    <t>28653153S</t>
  </si>
  <si>
    <t>lemový nákružek PE100 SDR17 PN10 d160 + PP otočná příruba DN150</t>
  </si>
  <si>
    <t>472695062</t>
  </si>
  <si>
    <t>877325201</t>
  </si>
  <si>
    <t>Montáž tvarovek na kanalizačním plastovém potrubí z polyetylenu PE 100 elektrotvarovek SDR 11/PN16 spojek nebo oblouků d 160</t>
  </si>
  <si>
    <t>-749479444</t>
  </si>
  <si>
    <t>https://podminky.urs.cz/item/CS_URS_2023_02/877325201</t>
  </si>
  <si>
    <t>-546246135</t>
  </si>
  <si>
    <t>877325210</t>
  </si>
  <si>
    <t>Montáž tvarovek na kanalizačním plastovém potrubí z polyetylenu PE 100 elektrotvarovek SDR 11/PN16 kolen 45° d 160</t>
  </si>
  <si>
    <t>338025674</t>
  </si>
  <si>
    <t>https://podminky.urs.cz/item/CS_URS_2023_02/877325210</t>
  </si>
  <si>
    <t>28614951</t>
  </si>
  <si>
    <t>elektrokoleno 45° PE 100 PN16 D 160mm</t>
  </si>
  <si>
    <t>233071120</t>
  </si>
  <si>
    <t>877325212</t>
  </si>
  <si>
    <t>Montáž tvarovek na kanalizačním plastovém potrubí z polyetylenu PE 100 elektrotvarovek SDR 11/PN16 kolen 90° d 160</t>
  </si>
  <si>
    <t>190412474</t>
  </si>
  <si>
    <t>https://podminky.urs.cz/item/CS_URS_2023_02/877325212</t>
  </si>
  <si>
    <t>28614939</t>
  </si>
  <si>
    <t>elektrokoleno 90° PE 100 PN16 D 160mm</t>
  </si>
  <si>
    <t>-1009433690</t>
  </si>
  <si>
    <t>877325218</t>
  </si>
  <si>
    <t>Montáž tvarovek na kanalizačním plastovém potrubí z polyetylenu PE 100 elektrotvarovek SDR 11/PN16 záslepek d 160</t>
  </si>
  <si>
    <t>2062111785</t>
  </si>
  <si>
    <t>https://podminky.urs.cz/item/CS_URS_2023_02/877325218</t>
  </si>
  <si>
    <t>251643327</t>
  </si>
  <si>
    <t>891212122</t>
  </si>
  <si>
    <t>Montáž kanalizačních armatur na potrubí šoupátek v otevřeném výkopu nebo v šachtách s osazením zemní soupravy (bez poklopů) DN 50</t>
  </si>
  <si>
    <t>-450098286</t>
  </si>
  <si>
    <t>https://podminky.urs.cz/item/CS_URS_2023_02/891212122</t>
  </si>
  <si>
    <t>42221451</t>
  </si>
  <si>
    <t>šoupátko odpadní voda litina GGG 50 krátká stavební dl PN10/16 DN 50x150mm</t>
  </si>
  <si>
    <t>-283170844</t>
  </si>
  <si>
    <t>42291078</t>
  </si>
  <si>
    <t>souprava zemní pro šoupátka DN 40-50mm Rd 2,0m</t>
  </si>
  <si>
    <t>-988906457</t>
  </si>
  <si>
    <t>891242122</t>
  </si>
  <si>
    <t>Montáž kanalizačních armatur na potrubí šoupátek v otevřeném výkopu nebo v šachtách s osazením zemní soupravy (bez poklopů) DN 80</t>
  </si>
  <si>
    <t>913712760</t>
  </si>
  <si>
    <t>https://podminky.urs.cz/item/CS_URS_2023_02/891242122</t>
  </si>
  <si>
    <t>42221453</t>
  </si>
  <si>
    <t>šoupátko odpadní voda litina GGG 50 krátká stavební dl PN10/16 DN 80x180mm</t>
  </si>
  <si>
    <t>-1053034248</t>
  </si>
  <si>
    <t>1859546936</t>
  </si>
  <si>
    <t>891262122</t>
  </si>
  <si>
    <t>Montáž kanalizačních armatur na potrubí šoupátek v otevřeném výkopu nebo v šachtách s osazením zemní soupravy (bez poklopů) DN 100</t>
  </si>
  <si>
    <t>379063221</t>
  </si>
  <si>
    <t>https://podminky.urs.cz/item/CS_URS_2023_02/891262122</t>
  </si>
  <si>
    <t>42221504</t>
  </si>
  <si>
    <t>šoupě nožové s nestoupavým vřetenem oboustranně těsnicí DN 100</t>
  </si>
  <si>
    <t>-536324486</t>
  </si>
  <si>
    <t>2 "mezipřírubové deskové šoupátko pro odpadní vodu, litina, DN100</t>
  </si>
  <si>
    <t>891312122</t>
  </si>
  <si>
    <t>Montáž kanalizačních armatur na potrubí šoupátek v otevřeném výkopu nebo v šachtách s osazením zemní soupravy (bez poklopů) DN 150</t>
  </si>
  <si>
    <t>199968919</t>
  </si>
  <si>
    <t>https://podminky.urs.cz/item/CS_URS_2023_02/891312122</t>
  </si>
  <si>
    <t>42221456</t>
  </si>
  <si>
    <t>šoupátko odpadní voda litina GGG 50 krátká stavební dl PN10/16 DN 150x210mm</t>
  </si>
  <si>
    <t>166153292</t>
  </si>
  <si>
    <t>-126151417</t>
  </si>
  <si>
    <t>-2058939391</t>
  </si>
  <si>
    <t>43,5 "Tlaková zkouška vodou potrubí d90</t>
  </si>
  <si>
    <t>18,4 "Tlaková zkouška vodou potrubí d63</t>
  </si>
  <si>
    <t>290120187</t>
  </si>
  <si>
    <t>894411311</t>
  </si>
  <si>
    <t>Osazení betonových nebo železobetonových dílců pro šachty skruží rovných</t>
  </si>
  <si>
    <t>2039957770</t>
  </si>
  <si>
    <t>https://podminky.urs.cz/item/CS_URS_2023_02/894411311</t>
  </si>
  <si>
    <t>59224050</t>
  </si>
  <si>
    <t>skruž pro kanalizační šachty se zabudovanými stupadly 100x25x12cm</t>
  </si>
  <si>
    <t>CS ÚRS 2021 01</t>
  </si>
  <si>
    <t>-933631693</t>
  </si>
  <si>
    <t>59224051</t>
  </si>
  <si>
    <t>skruž pro kanalizační šachty se zabudovanými stupadly 100x50x12cm</t>
  </si>
  <si>
    <t>-930907151</t>
  </si>
  <si>
    <t>59224052</t>
  </si>
  <si>
    <t>skruž pro kanalizační šachty se zabudovanými stupadly 100x100x12cm</t>
  </si>
  <si>
    <t>798073547</t>
  </si>
  <si>
    <t>59224348</t>
  </si>
  <si>
    <t>těsnění elastomerové pro spojení šachetních dílů DN 1000</t>
  </si>
  <si>
    <t>1625403352</t>
  </si>
  <si>
    <t>100</t>
  </si>
  <si>
    <t>894414111</t>
  </si>
  <si>
    <t>Osazení betonových nebo železobetonových dílců pro šachty skruží základových (dno)</t>
  </si>
  <si>
    <t>1179970845</t>
  </si>
  <si>
    <t>https://podminky.urs.cz/item/CS_URS_2023_02/894414111</t>
  </si>
  <si>
    <t>101</t>
  </si>
  <si>
    <t>59224339S</t>
  </si>
  <si>
    <t>dno betonové šachty kanalizační 100x100, spojné, včetně systémových šachtových vložek</t>
  </si>
  <si>
    <t>-1272187135</t>
  </si>
  <si>
    <t>102</t>
  </si>
  <si>
    <t>59224339R</t>
  </si>
  <si>
    <t>dno betonové šachty kanalizační 100x100, přímé, včetně systémových šachtových vložek</t>
  </si>
  <si>
    <t>-207385427</t>
  </si>
  <si>
    <t>103</t>
  </si>
  <si>
    <t>59224339T</t>
  </si>
  <si>
    <t>dno betonové šachty kanalizační 100x100, slepé</t>
  </si>
  <si>
    <t>1174524241</t>
  </si>
  <si>
    <t>104</t>
  </si>
  <si>
    <t>894414211</t>
  </si>
  <si>
    <t>Osazení betonových nebo železobetonových dílců pro šachty desek zákrytových</t>
  </si>
  <si>
    <t>-117844695</t>
  </si>
  <si>
    <t>https://podminky.urs.cz/item/CS_URS_2023_02/894414211</t>
  </si>
  <si>
    <t>105</t>
  </si>
  <si>
    <t>PFB.1121601</t>
  </si>
  <si>
    <t>Deska zákrytováTZK-Q.1 100-63/17</t>
  </si>
  <si>
    <t>-1540668001</t>
  </si>
  <si>
    <t>106</t>
  </si>
  <si>
    <t>899103112</t>
  </si>
  <si>
    <t>Osazení poklopů litinových, ocelových nebo železobetonových včetně rámů pro třídu zatížení B125, C250</t>
  </si>
  <si>
    <t>7053552</t>
  </si>
  <si>
    <t>https://podminky.urs.cz/item/CS_URS_2023_02/899103112</t>
  </si>
  <si>
    <t>107</t>
  </si>
  <si>
    <t>55241033</t>
  </si>
  <si>
    <t>poklop šachtový litinový kruhový DN 600 bez ventilace tř D400 v samonivelačním rámu pro intenzivní provoz</t>
  </si>
  <si>
    <t>1746481136</t>
  </si>
  <si>
    <t>108</t>
  </si>
  <si>
    <t>552410BF</t>
  </si>
  <si>
    <t>Pachový biofiltr do uklidňovací šachty</t>
  </si>
  <si>
    <t>1973394265</t>
  </si>
  <si>
    <t>109</t>
  </si>
  <si>
    <t>333065625</t>
  </si>
  <si>
    <t>110</t>
  </si>
  <si>
    <t>-392662008</t>
  </si>
  <si>
    <t>9 "poklop uliční šoupátkový kulatý plastový PA s litinovým víkem</t>
  </si>
  <si>
    <t>111</t>
  </si>
  <si>
    <t>-1952192373</t>
  </si>
  <si>
    <t>112</t>
  </si>
  <si>
    <t>1634975291</t>
  </si>
  <si>
    <t>113</t>
  </si>
  <si>
    <t>-1379068388</t>
  </si>
  <si>
    <t>114</t>
  </si>
  <si>
    <t>899722111</t>
  </si>
  <si>
    <t>Krytí potrubí z plastů výstražnou fólií z PVC šířky 20 cm</t>
  </si>
  <si>
    <t>1907237531</t>
  </si>
  <si>
    <t>https://podminky.urs.cz/item/CS_URS_2023_02/899722111</t>
  </si>
  <si>
    <t>115</t>
  </si>
  <si>
    <t>Kluzné objímky (pojízdná sedla) pro zasunutí potrubí do chráničky výšky 25 mm vnějšího průměru potrubí přes 157 do 183 mm</t>
  </si>
  <si>
    <t>414630440</t>
  </si>
  <si>
    <t>116</t>
  </si>
  <si>
    <t>899913134</t>
  </si>
  <si>
    <t>Koncové uzavírací manžety chrániček DN potrubí x DN chráničky DN 80 x 200</t>
  </si>
  <si>
    <t>31791665</t>
  </si>
  <si>
    <t>https://podminky.urs.cz/item/CS_URS_2023_02/899913134</t>
  </si>
  <si>
    <t>117</t>
  </si>
  <si>
    <t>548817869</t>
  </si>
  <si>
    <t>118</t>
  </si>
  <si>
    <t>1659089696</t>
  </si>
  <si>
    <t>PSV</t>
  </si>
  <si>
    <t>Práce a dodávky PSV</t>
  </si>
  <si>
    <t>711</t>
  </si>
  <si>
    <t>Izolace proti vodě, vlhkosti a plynům</t>
  </si>
  <si>
    <t>119</t>
  </si>
  <si>
    <t>711786166</t>
  </si>
  <si>
    <t>Provedení detailů pryskyřicemi těsnění trubních prostupů HIZOT tmelem z epoxidové pryskyřice a tkaninou, průměru přes 200 do 500 mm</t>
  </si>
  <si>
    <t>-645980743</t>
  </si>
  <si>
    <t>https://podminky.urs.cz/item/CS_URS_2023_02/711786166</t>
  </si>
  <si>
    <t>120</t>
  </si>
  <si>
    <t>23521230</t>
  </si>
  <si>
    <t>pryskyřice epoxidová polymerní nízko viskózní</t>
  </si>
  <si>
    <t>kg</t>
  </si>
  <si>
    <t>-1676726422</t>
  </si>
  <si>
    <t>715</t>
  </si>
  <si>
    <t>Izolace proti chemickým vlivům</t>
  </si>
  <si>
    <t>121</t>
  </si>
  <si>
    <t>715174012</t>
  </si>
  <si>
    <t>Provedení izolace stavebních konstrukcí speciální obklady nádrží, kanálů nebo šachet do tmelů, s úpravou spár čedičovými tl. 25 až 40 mm</t>
  </si>
  <si>
    <t>692508828</t>
  </si>
  <si>
    <t>https://podminky.urs.cz/item/CS_URS_2023_02/715174012</t>
  </si>
  <si>
    <t>122</t>
  </si>
  <si>
    <t>63231030S</t>
  </si>
  <si>
    <t xml:space="preserve">žlaby z taveného čediče poloviční dl 500mm tl 20mm D 254mm </t>
  </si>
  <si>
    <t>131062241</t>
  </si>
  <si>
    <t>123</t>
  </si>
  <si>
    <t>63232810</t>
  </si>
  <si>
    <t>dlaždice z taveného čediče průmyslové jemný rastr 200x200x22mm</t>
  </si>
  <si>
    <t>1175010119</t>
  </si>
  <si>
    <t>124</t>
  </si>
  <si>
    <t>998715101</t>
  </si>
  <si>
    <t>Přesun hmot pro izolace proti chemickým vlivům stanovený z hmotnosti přesunovaného materiálu vodorovná dopravní vzdálenost do 50 m v objektech výšky do 6 m</t>
  </si>
  <si>
    <t>434347949</t>
  </si>
  <si>
    <t>https://podminky.urs.cz/item/CS_URS_2023_02/998715101</t>
  </si>
  <si>
    <t>125</t>
  </si>
  <si>
    <t>998715193</t>
  </si>
  <si>
    <t>Přesun hmot pro izolace proti chemickým vlivům stanovený z hmotnosti přesunovaného materiálu Příplatek k cenám za zvětšený přesun přes vymezenou největší dopravní vzdálenost do 500 m</t>
  </si>
  <si>
    <t>1897406816</t>
  </si>
  <si>
    <t>https://podminky.urs.cz/item/CS_URS_2023_02/998715193</t>
  </si>
  <si>
    <t>SO 330 - Odvodnění</t>
  </si>
  <si>
    <t xml:space="preserve">    9 - Ostatní konstrukce a práce, bourání</t>
  </si>
  <si>
    <t>116951201</t>
  </si>
  <si>
    <t>Úprava zemin za účelem zlepšení vlastností a zpracovatelnosti, bez dodávky materiálu u hrubých terénních úprav, násypů a zásypů, Míchání zemin strojně v homogenizačním zařízení, v množství přes 100 m3</t>
  </si>
  <si>
    <t>-118385919</t>
  </si>
  <si>
    <t>https://podminky.urs.cz/item/CS_URS_2023_02/116951201</t>
  </si>
  <si>
    <t>"Vsakovací objekty - podkladní filtrační vrstva"</t>
  </si>
  <si>
    <t>"celková délka * průměrná šířka * mocnost vrstvy"</t>
  </si>
  <si>
    <t>"PR-1" 22.1*3.0*0.2</t>
  </si>
  <si>
    <t>"PR-2" 106.3*2.5*0.2</t>
  </si>
  <si>
    <t>"PR-3" 14.0*1.91*0.2</t>
  </si>
  <si>
    <t>"PR-4" 35.3*2.30*0.2</t>
  </si>
  <si>
    <t>"PR-5" 26.4*5*0.2</t>
  </si>
  <si>
    <t>"PR-6" 78.0*2.16*0.2</t>
  </si>
  <si>
    <t>"PR-7" 63.1*2.42*0.2</t>
  </si>
  <si>
    <t>"PR-8" 20.6*2.12*0.2</t>
  </si>
  <si>
    <t>"PR-9" 86*2.44*0.2</t>
  </si>
  <si>
    <t>Mezisoučet</t>
  </si>
  <si>
    <t>"Vsakovací objekty - humusová vrstva"</t>
  </si>
  <si>
    <t>"PR-1" 22.1*3.0*0.3</t>
  </si>
  <si>
    <t>"PR-2" 106.3*2.5*0.3</t>
  </si>
  <si>
    <t>"PR-3" 14.0*1.91*0.3</t>
  </si>
  <si>
    <t>"PR-4" 35.3*2.30*0.3</t>
  </si>
  <si>
    <t>"PR-5" 26.4*5*0.3</t>
  </si>
  <si>
    <t>"PR-6" 78.0*2.16*0.3</t>
  </si>
  <si>
    <t>"PR-7" 63.1*2.42*0.3</t>
  </si>
  <si>
    <t>"PR-8" 20.6*2.12*0.3</t>
  </si>
  <si>
    <t>"PR-9" 86*2.44*0.3</t>
  </si>
  <si>
    <t>58337310</t>
  </si>
  <si>
    <t>štěrkopísek frakce 0/4</t>
  </si>
  <si>
    <t>-1776618599</t>
  </si>
  <si>
    <t>183,47 "vylepšení filtrační vrstvy 80% písku"</t>
  </si>
  <si>
    <t>103,2"vylepšení horní humusové vrstvy/ornice 30% písku"</t>
  </si>
  <si>
    <t>286,67*1,8 'Přepočtené koeficientem množství</t>
  </si>
  <si>
    <t>589796689</t>
  </si>
  <si>
    <t>"tlaková kanalizace" 1*1</t>
  </si>
  <si>
    <t>746277735</t>
  </si>
  <si>
    <t>131151106</t>
  </si>
  <si>
    <t>Hloubení nezapažených jam a zářezů strojně s urovnáním dna do předepsaného profilu a spádu v hornině třídy těžitelnosti I skupiny 1 a 2 přes 1 000 do 5 000 m3</t>
  </si>
  <si>
    <t>97180238</t>
  </si>
  <si>
    <t>https://podminky.urs.cz/item/CS_URS_2023_02/131151106</t>
  </si>
  <si>
    <t>"(hloubka výkopu * délka úseku * průměrná šířka výkopu v úseku) * zastoupení třídy těžitelnosti"</t>
  </si>
  <si>
    <t>"PR-2" (1.05*133.33*2.5)*0.2</t>
  </si>
  <si>
    <t>"PR-4" ((1.1*7.5*1.25)+(1.1*39.83*2.5))*0.2</t>
  </si>
  <si>
    <t>"PR-5" (1.25*32.42*5)*0.2</t>
  </si>
  <si>
    <t>"PR-6" ((1.05*48.06*2.5)+(1.05*38.96*1.75))*0.2</t>
  </si>
  <si>
    <t>"PR-7" ((1.10*70.24*2.5)+(1.10*13.85*2.0))*0.2</t>
  </si>
  <si>
    <t>"PR-8" ((1.35*4.83*3.0)+(1.35*18.79*1.9))*0.2</t>
  </si>
  <si>
    <t>"PR-9" ((1.35*6.1*1.45)+(1.35*103.88*2.5))*0.2</t>
  </si>
  <si>
    <t>131151206</t>
  </si>
  <si>
    <t>Hloubení zapažených jam a zářezů strojně s urovnáním dna do předepsaného profilu a spádu v hornině třídy těžitelnosti I skupiny 1 a 2 přes 1 000 do 5 000 m3</t>
  </si>
  <si>
    <t>-1258384559</t>
  </si>
  <si>
    <t>https://podminky.urs.cz/item/CS_URS_2023_02/131151206</t>
  </si>
  <si>
    <t>"PR-1" (1.55*28.1*3)*0.2</t>
  </si>
  <si>
    <t>"PR-3" ((1.55*3.5*3)+(1.55*21.1*1.725))*0.2</t>
  </si>
  <si>
    <t>131251106</t>
  </si>
  <si>
    <t>Hloubení nezapažených jam a zářezů strojně s urovnáním dna do předepsaného profilu a spádu v hornině třídy těžitelnosti I skupiny 3 přes 1 000 do 5 000 m3</t>
  </si>
  <si>
    <t>1475966464</t>
  </si>
  <si>
    <t>https://podminky.urs.cz/item/CS_URS_2023_02/131251106</t>
  </si>
  <si>
    <t>"PR-2" (1.05*133.33*2.5)*0.43</t>
  </si>
  <si>
    <t>"PR-4" ((1.1*7.5*1.25)+(1.1*39.83*2.5))*0.43</t>
  </si>
  <si>
    <t>"PR-5" (1.25*32.42*5)*0.43</t>
  </si>
  <si>
    <t>"PR-6" ((1.05*48.06*2.5)+(1.05*38.96*1.75))*0.43</t>
  </si>
  <si>
    <t>"PR-7" ((1.10*70.434*2.5)+(1.10*13.85*2.0))*0.43</t>
  </si>
  <si>
    <t>"PR-8" ((1.35*4.83*3.0)+(1.35*18.79*1.9))*0.43</t>
  </si>
  <si>
    <t>"PR-9" ((1.35*6.1*1.45)+(1.35*103.88*2.5))*0.43</t>
  </si>
  <si>
    <t>131251206</t>
  </si>
  <si>
    <t>Hloubení zapažených jam a zářezů strojně s urovnáním dna do předepsaného profilu a spádu v hornině třídy těžitelnosti I skupiny 3 přes 1 000 do 5 000 m3</t>
  </si>
  <si>
    <t>-1501299407</t>
  </si>
  <si>
    <t>https://podminky.urs.cz/item/CS_URS_2023_02/131251206</t>
  </si>
  <si>
    <t>"PR-1" (1.55*28.1*3)*0.43</t>
  </si>
  <si>
    <t>"PR-3" ((1.55*3.5*3)+(1.55*21.1*1.725))*0.43</t>
  </si>
  <si>
    <t>131351106</t>
  </si>
  <si>
    <t>Hloubení nezapažených jam a zářezů strojně s urovnáním dna do předepsaného profilu a spádu v hornině třídy těžitelnosti II skupiny 4 přes 1 000 do 5 000 m3</t>
  </si>
  <si>
    <t>670169619</t>
  </si>
  <si>
    <t>https://podminky.urs.cz/item/CS_URS_2023_02/131351106</t>
  </si>
  <si>
    <t>"PR-2" (1.05*133.33*2.5)*0.37</t>
  </si>
  <si>
    <t>"PR-4" ((1.1*7.5*1.25)+(1.1*39.83*2.5))*0.37</t>
  </si>
  <si>
    <t>"PR-5" (1.25*32.42*5)*0.37</t>
  </si>
  <si>
    <t>"PR-6" ((1.05*48.06*2.5)+(1.05*38.96*1.75))*0.37</t>
  </si>
  <si>
    <t>"PR-7" ((1.10*70.374*2.5)+(1.10*13.85*2.0))*0.37</t>
  </si>
  <si>
    <t>"PR-8" ((1.35*4.83*3.0)+(1.35*18.79*1.9))*0.37</t>
  </si>
  <si>
    <t>"PR-9" ((1.35*6.1*1.45)+(1.35*103.88*2.5))*0.37</t>
  </si>
  <si>
    <t>131351206</t>
  </si>
  <si>
    <t>Hloubení zapažených jam a zářezů strojně s urovnáním dna do předepsaného profilu a spádu v hornině třídy těžitelnosti II skupiny 4 přes 1 000 do 5 000 m3</t>
  </si>
  <si>
    <t>-1358085203</t>
  </si>
  <si>
    <t>https://podminky.urs.cz/item/CS_URS_2023_02/131351206</t>
  </si>
  <si>
    <t>"PR-1" (1.55*28.1*3)*0.37</t>
  </si>
  <si>
    <t>"PR-3" ((1.55*3.5*3)+(1.55*21.1*1.725))*0.37</t>
  </si>
  <si>
    <t>-1406639503</t>
  </si>
  <si>
    <t>"Stoka"</t>
  </si>
  <si>
    <t>"D" (1.82*23.4*1)*0.13</t>
  </si>
  <si>
    <t>"D" ((2*(2-1))*1.73+2*2*0.35)*2*0.13</t>
  </si>
  <si>
    <t>581883343</t>
  </si>
  <si>
    <t>"D" (1.82*23.4*1)*0.27</t>
  </si>
  <si>
    <t>"D" ((2*(2-1))*1.73+2*2*0.35)*2*0.27</t>
  </si>
  <si>
    <t>-1504008206</t>
  </si>
  <si>
    <t>"D" (1.82*23.4*1)*0.6</t>
  </si>
  <si>
    <t>"D" ((2*(2-1))*1.73+2*2*0.35)*2*0.6</t>
  </si>
  <si>
    <t>831772856</t>
  </si>
  <si>
    <t>59434238</t>
  </si>
  <si>
    <t>"D" (1.82*23.4)*2</t>
  </si>
  <si>
    <t>"PR-1" (1.55*28.1)*2</t>
  </si>
  <si>
    <t>"PR-3" (1.55*24.6)*2</t>
  </si>
  <si>
    <t>-2035642224</t>
  </si>
  <si>
    <t>1473120617</t>
  </si>
  <si>
    <t>1780,159-670,691 "výkopek na mezidepo tř.1-3 - tř.4"</t>
  </si>
  <si>
    <t>101,26 "hrázky</t>
  </si>
  <si>
    <t>229,33 "podkladní filtrační vrstva</t>
  </si>
  <si>
    <t>516,006/1,8 "štěrkopísek na zlepšení zeminy do průlehů</t>
  </si>
  <si>
    <t>52,258/1,8  "zásyp sypaninou štěrkodrť 0/63</t>
  </si>
  <si>
    <t>1321,211/1,8 "zásyp do průlehů štěrkodrť 16/32</t>
  </si>
  <si>
    <t>12,387 "obsyp potrubí štěrkopísek 0/32</t>
  </si>
  <si>
    <t>344 " ornice</t>
  </si>
  <si>
    <t>-1682893697</t>
  </si>
  <si>
    <t>-513109609</t>
  </si>
  <si>
    <t>-487953103</t>
  </si>
  <si>
    <t>-2122423825</t>
  </si>
  <si>
    <t>-2104498456</t>
  </si>
  <si>
    <t>1278328967</t>
  </si>
  <si>
    <t>1780,159-670,691 "výkopek tř.1-3 - tř.4"</t>
  </si>
  <si>
    <t>1449186551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</si>
  <si>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</si>
  <si>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</si>
  <si>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-1166273560</t>
  </si>
  <si>
    <t>https://podminky.urs.cz/item/CS_URS_2023_02/171153101</t>
  </si>
  <si>
    <t>"spodní dělící hrázky"</t>
  </si>
  <si>
    <t>"(délka * šířka * výška hrázky) * počet hrázek</t>
  </si>
  <si>
    <t>"PR-1" (3.0*3.0*0.5)*2</t>
  </si>
  <si>
    <t>"PR-2" (3.0*2.5*0.25)*9</t>
  </si>
  <si>
    <t>"PR-3" (3.0*3.0*0.5)*1+(3.0*1.65*0.5)*1</t>
  </si>
  <si>
    <t>"PR-4" (3.0*1.0*0.275)*1+(3.0*2.5*0.275)*3</t>
  </si>
  <si>
    <t>"PR-5" (3.0*5.0*0.35)*2</t>
  </si>
  <si>
    <t>"PR-6" (3.0*2.5*0.25)*3+(3.0*1.75*0.25)*3</t>
  </si>
  <si>
    <t>"PR-7" (2.93*2.5*0.275)*6+(3.0*2.0*0.275)*1</t>
  </si>
  <si>
    <t>"PR-8" (3.0*3.0*0.4)*1</t>
  </si>
  <si>
    <t>"PR-9" (3.0*2.5*0.4)*8</t>
  </si>
  <si>
    <t>1131307636</t>
  </si>
  <si>
    <t>1220,23*1,8 'Přepočtené koeficientem množství</t>
  </si>
  <si>
    <t>2049854206</t>
  </si>
  <si>
    <t>1339407345</t>
  </si>
  <si>
    <t>"Stoka D"</t>
  </si>
  <si>
    <t>"objem výkopku - délka potrubí * výška podsypu a obsypu * šířka výkopu - (objem šachet + podkladní desky + podsyp šachet)"</t>
  </si>
  <si>
    <t>"D" 52.31 - 23.4*0.7*1 - (2*((3,14*1.24^2)/4)*1.83+0.68+1.8)</t>
  </si>
  <si>
    <t>"Vsakovací objekty - rýhy"</t>
  </si>
  <si>
    <t>"celková délka * průměrná šířka * výška rýhy - spodní dělící hrázky - stromové lože"</t>
  </si>
  <si>
    <t>"PR-1" 22.1*3.0*1</t>
  </si>
  <si>
    <t>"PR-2" 106.3*2.5*0.5</t>
  </si>
  <si>
    <t>"PR-3" 14.0*1.91*1</t>
  </si>
  <si>
    <t>"PR-4" 35.3*2.30*0.55</t>
  </si>
  <si>
    <t>"PR-5" 26.4*5*0.7</t>
  </si>
  <si>
    <t>"PR-6" 78.0*2.16*0.5</t>
  </si>
  <si>
    <t>"PR-7" 63.1*2.42*0.55</t>
  </si>
  <si>
    <t>"PR-8" 20.6*2.12*0.8</t>
  </si>
  <si>
    <t>"PR-9" 86*2.44*0.8</t>
  </si>
  <si>
    <t>-116278968</t>
  </si>
  <si>
    <t>29,032*1,8 'Přepočtené koeficientem množství</t>
  </si>
  <si>
    <t>58343930</t>
  </si>
  <si>
    <t>kamenivo drcené hrubé frakce 16/32</t>
  </si>
  <si>
    <t>-1156796917</t>
  </si>
  <si>
    <t>734,006*1,8 'Přepočtené koeficientem množství</t>
  </si>
  <si>
    <t>-1186604151</t>
  </si>
  <si>
    <t>"D" 23.4*0.6*1 - ((3,14*0.3^2)/4)*23.4</t>
  </si>
  <si>
    <t>-258340955</t>
  </si>
  <si>
    <t>12,39*1,8 'Přepočtené koeficientem množství</t>
  </si>
  <si>
    <t>181351115</t>
  </si>
  <si>
    <t>Rozprostření a urovnání ornice v rovině nebo ve svahu sklonu do 1:5 strojně při souvislé ploše přes 500 m2, tl. vrstvy přes 250 do 300 mm</t>
  </si>
  <si>
    <t>402429660</t>
  </si>
  <si>
    <t>https://podminky.urs.cz/item/CS_URS_2023_02/181351115</t>
  </si>
  <si>
    <t>"celková délka * průměrná šířka"</t>
  </si>
  <si>
    <t>"PR-1" 22.1*3.0</t>
  </si>
  <si>
    <t>"PR-2" 106.3*2.5</t>
  </si>
  <si>
    <t>"PR-3" 14.0*1.91</t>
  </si>
  <si>
    <t>"PR-4" 35.3*2.30</t>
  </si>
  <si>
    <t>"PR-5" 26.4*5</t>
  </si>
  <si>
    <t>"PR-6" 78.0*2.16</t>
  </si>
  <si>
    <t>"PR-7" 63.1*2.42</t>
  </si>
  <si>
    <t>"PR-8" 20.6*2.12</t>
  </si>
  <si>
    <t>"PR-9" 86*2.44</t>
  </si>
  <si>
    <t>131027022</t>
  </si>
  <si>
    <t>675504479</t>
  </si>
  <si>
    <t>1450356562</t>
  </si>
  <si>
    <t>"D" 23.4*0.1*1</t>
  </si>
  <si>
    <t>-1491744787</t>
  </si>
  <si>
    <t>"D" (1.5*1.5*0.15)*2</t>
  </si>
  <si>
    <t>511570089</t>
  </si>
  <si>
    <t>-391388999</t>
  </si>
  <si>
    <t>2*1.2*1.2*0.00308</t>
  </si>
  <si>
    <t>452112122</t>
  </si>
  <si>
    <t>Osazení betonových dílců prstenců nebo rámů pod poklopy a mříže, výšky přes 100 do 200 mm</t>
  </si>
  <si>
    <t>-194538476</t>
  </si>
  <si>
    <t>https://podminky.urs.cz/item/CS_URS_2023_02/452112122</t>
  </si>
  <si>
    <t>59224188</t>
  </si>
  <si>
    <t>prstenec šachtový vyrovnávací betonový 625x120x120mm</t>
  </si>
  <si>
    <t>563197130</t>
  </si>
  <si>
    <t>-1973589993</t>
  </si>
  <si>
    <t>1382618572</t>
  </si>
  <si>
    <t>1307011602</t>
  </si>
  <si>
    <t>871350420</t>
  </si>
  <si>
    <t>Montáž kanalizačního potrubí z plastů z polypropylenu PP korugovaného nebo žebrovaného SN 12 DN 200</t>
  </si>
  <si>
    <t>-427947337</t>
  </si>
  <si>
    <t>https://podminky.urs.cz/item/CS_URS_2023_02/871350420</t>
  </si>
  <si>
    <t>28617267</t>
  </si>
  <si>
    <t>trubka kanalizační PP korugovaná DN 200x6000mm SN12</t>
  </si>
  <si>
    <t>591701395</t>
  </si>
  <si>
    <t>8,6*1,015 'Přepočtené koeficientem množství</t>
  </si>
  <si>
    <t>871370420</t>
  </si>
  <si>
    <t>Montáž kanalizačního potrubí z plastů z polypropylenu PP korugovaného nebo žebrovaného SN 12 DN 300</t>
  </si>
  <si>
    <t>-1577117853</t>
  </si>
  <si>
    <t>https://podminky.urs.cz/item/CS_URS_2023_02/871370420</t>
  </si>
  <si>
    <t>28617269</t>
  </si>
  <si>
    <t>trubka kanalizační PP korugovaná DN 300x6000mm SN12</t>
  </si>
  <si>
    <t>901894251</t>
  </si>
  <si>
    <t>877350410</t>
  </si>
  <si>
    <t>Montáž tvarovek na kanalizačním plastovém potrubí z polypropylenu PP nebo tvrdého PVC korugovaného nebo žebrovaného kolen DN 200</t>
  </si>
  <si>
    <t>538035646</t>
  </si>
  <si>
    <t>https://podminky.urs.cz/item/CS_URS_2023_02/877350410</t>
  </si>
  <si>
    <t>28617321</t>
  </si>
  <si>
    <t>koleno kanalizace PP KG DN 200x15°</t>
  </si>
  <si>
    <t>-647875987</t>
  </si>
  <si>
    <t>892372121</t>
  </si>
  <si>
    <t>Tlakové zkoušky vzduchem těsnícími vaky ucpávkovými DN 300</t>
  </si>
  <si>
    <t>úsek</t>
  </si>
  <si>
    <t>2135699909</t>
  </si>
  <si>
    <t>https://podminky.urs.cz/item/CS_URS_2023_02/892372121</t>
  </si>
  <si>
    <t>685851321</t>
  </si>
  <si>
    <t>1511495923</t>
  </si>
  <si>
    <t>1708286971</t>
  </si>
  <si>
    <t>1859240324</t>
  </si>
  <si>
    <t>-1475833628</t>
  </si>
  <si>
    <t>-1426570574</t>
  </si>
  <si>
    <t>-1354883104</t>
  </si>
  <si>
    <t>907679865</t>
  </si>
  <si>
    <t>2110989734</t>
  </si>
  <si>
    <t>532280984</t>
  </si>
  <si>
    <t>-900176071</t>
  </si>
  <si>
    <t>55241406</t>
  </si>
  <si>
    <t>poklop šachtový s rámem DN 600 třída D400 s odvětráním</t>
  </si>
  <si>
    <t>-902441798</t>
  </si>
  <si>
    <t>-810060421</t>
  </si>
  <si>
    <t>Ostatní konstrukce a práce, bourání</t>
  </si>
  <si>
    <t>919726122</t>
  </si>
  <si>
    <t>Geotextilie netkaná pro ochranu, separaci nebo filtraci měrná hmotnost přes 200 do 300 g/m2</t>
  </si>
  <si>
    <t>-1220303759</t>
  </si>
  <si>
    <t>https://podminky.urs.cz/item/CS_URS_2023_02/919726122</t>
  </si>
  <si>
    <t>"2  * (celková délka * průměrná šířka + celková délka * výška rýhy + počet segmentů * průměrná šířka * výška rýhy)</t>
  </si>
  <si>
    <t>"PR-1" 2* (22.1*3.0+22.1*1+3*3.0*1.0)</t>
  </si>
  <si>
    <t>"PR-2" 2*(106.3*2.5+106.3*0.5+10*2.5*0.5)</t>
  </si>
  <si>
    <t>"PR-3" 2*(14.0*1.91+14.0*1.0+3*1.91*1.0)</t>
  </si>
  <si>
    <t>"PR-4" 2*(35.3*2.30+35.3*0.55+5*2.3*0.55)</t>
  </si>
  <si>
    <t>"PR-5" 2*(26.4*5+26.4*0.7+3*5*0.7)</t>
  </si>
  <si>
    <t>"PR-6" 2*(78.0*2.16+78.0*0.5+7*2.16*0.5)</t>
  </si>
  <si>
    <t>"PR-7" 2*(63.1*2.42+63.1*1.05+6*2.42*0.55)</t>
  </si>
  <si>
    <t>"PR-8" 2*(20.6*2.12+20.6*0.8+2*2.12*0.8)</t>
  </si>
  <si>
    <t>"PR-9" 2*(86*2.44+86*0.8+9*2.44*0.8)</t>
  </si>
  <si>
    <t>3089,83*1,1 'Přepočtené koeficientem množství</t>
  </si>
  <si>
    <t>977151131</t>
  </si>
  <si>
    <t>Jádrové vrty diamantovými korunkami do stavebních materiálů (železobetonu, betonu, cihel, obkladů, dlažeb, kamene) průměru přes 350 do 400 mm</t>
  </si>
  <si>
    <t>-1886401948</t>
  </si>
  <si>
    <t>https://podminky.urs.cz/item/CS_URS_2023_02/977151131</t>
  </si>
  <si>
    <t>-1089344592</t>
  </si>
  <si>
    <t>1098275762</t>
  </si>
  <si>
    <t>1431382057</t>
  </si>
  <si>
    <t>2082211514</t>
  </si>
  <si>
    <t>ks</t>
  </si>
  <si>
    <t>Kód položky</t>
  </si>
  <si>
    <t>J.cena</t>
  </si>
  <si>
    <t>Objekt</t>
  </si>
  <si>
    <t>SO 401</t>
  </si>
  <si>
    <t>Veřejné osvětlení</t>
  </si>
  <si>
    <t>montáž celkem bez DPH</t>
  </si>
  <si>
    <t>Měření osvětlovacího zařízení intenzity osvětlení na pracovišti do 50 svítidel</t>
  </si>
  <si>
    <t>77.</t>
  </si>
  <si>
    <t>Měření zemních odporů zemní sítě délky pásku do 100m</t>
  </si>
  <si>
    <t>76.</t>
  </si>
  <si>
    <t>75.</t>
  </si>
  <si>
    <t>HZS</t>
  </si>
  <si>
    <t>hod</t>
  </si>
  <si>
    <t>Podíl prací jiných profesí než elektro ( zednické, zámečnické…práce)</t>
  </si>
  <si>
    <t>HZS.012</t>
  </si>
  <si>
    <t>74.</t>
  </si>
  <si>
    <t xml:space="preserve">Koordinace profesí -  manipulace ve stávající síti vo </t>
  </si>
  <si>
    <t>HZS.011</t>
  </si>
  <si>
    <t>73.</t>
  </si>
  <si>
    <t>Práce nezahrnuté v cenících 21_M, 46 -M, PSV 800-741, PSV 800-742 a zapsané v montážním deníku a potvrzené investorem</t>
  </si>
  <si>
    <t>HZS.010</t>
  </si>
  <si>
    <t>72.</t>
  </si>
  <si>
    <t>Dokumentace skutečného provedení</t>
  </si>
  <si>
    <t>HZS.009</t>
  </si>
  <si>
    <t>71.</t>
  </si>
  <si>
    <t>R</t>
  </si>
  <si>
    <t>den</t>
  </si>
  <si>
    <t>Zapůjčení pojízdné plošiny ( pracovní výška do 7m) pro montáž a demontáž stožárů  vo</t>
  </si>
  <si>
    <t>R0002</t>
  </si>
  <si>
    <t>70.</t>
  </si>
  <si>
    <t>Autorský dozor</t>
  </si>
  <si>
    <t>HZS.008</t>
  </si>
  <si>
    <t>69.</t>
  </si>
  <si>
    <t>ostatní</t>
  </si>
  <si>
    <t>Zřízení  polohopisného plánu</t>
  </si>
  <si>
    <t>HZS.007</t>
  </si>
  <si>
    <t>68.</t>
  </si>
  <si>
    <t>Zapěnění konců chrániček</t>
  </si>
  <si>
    <t>HZS.006</t>
  </si>
  <si>
    <t>67.</t>
  </si>
  <si>
    <t xml:space="preserve">Provizorní úprava terénu </t>
  </si>
  <si>
    <t>HZS.005</t>
  </si>
  <si>
    <t>66.</t>
  </si>
  <si>
    <t>Odstranění povrchů a krytů výkopů bez odvozu a uložení na skládce - předběžná cena</t>
  </si>
  <si>
    <t>R0001</t>
  </si>
  <si>
    <t>65.</t>
  </si>
  <si>
    <t>Poplatek (skládkovné) za uložení zeminy na skládce zatříděné do Katalogu odpadů pod kódem 17 05 04</t>
  </si>
  <si>
    <t>64.</t>
  </si>
  <si>
    <t>Vodorovné přemístění (odvoz) horniny dopravními prostředky včetně složení, bez naložení a rozprostření jakékoliv třídy, na vzdálenost Příplatek k ceně -1113 za každých dalších i započatých 1000 m</t>
  </si>
  <si>
    <t>63.</t>
  </si>
  <si>
    <t>Vodorovné přemístění (odvoz) horniny dopravními prostředky včetně složení, bez naložení a rozprostření jakékoliv třídy, na vzdálenost přes 500 do 1000 m 1910*0,5*0,2</t>
  </si>
  <si>
    <t>62.</t>
  </si>
  <si>
    <t>Řezání spár v podkladu nebo krytu živičném, tloušťky přes 5 do 10 cm</t>
  </si>
  <si>
    <t>61.</t>
  </si>
  <si>
    <t>CS ÚRS 2022 02</t>
  </si>
  <si>
    <t>Kabelové lože z písku včetně podsypu, zhutnění a urovnání povrchu pro kabely nn bez zakrytí, šířky přes 35 do 50 cm</t>
  </si>
  <si>
    <t>60.</t>
  </si>
  <si>
    <t xml:space="preserve">Základové konstrukce z monolitického betonu C 12/15 bez bednění </t>
  </si>
  <si>
    <t>59.</t>
  </si>
  <si>
    <t>Montáž trubek ochranných plastových ohebných do 110 mm uložených do rýhy</t>
  </si>
  <si>
    <t>58.</t>
  </si>
  <si>
    <t>Montáž trubek ochranných plastových ohebných do 50mm uložených do rýhy</t>
  </si>
  <si>
    <t>57.</t>
  </si>
  <si>
    <t>Zásyp kabelové rýhy ručně se zhutněním šířky 50 cm , hloubky 110 cm v hornině tř. I skupiny 1 a 2</t>
  </si>
  <si>
    <t>56.</t>
  </si>
  <si>
    <t>Hloubení nezapažených kabelových rýh  strojně šířky 50 cm, hloubky 130 cm v hornině tř. I skupiny 1 a 2</t>
  </si>
  <si>
    <t>55.</t>
  </si>
  <si>
    <t>Zásyp kabelové rýhy ručně se zhutněním šířky 50 cm , hloubky 70 cm v hornině tř. I skupiny 1 a 2</t>
  </si>
  <si>
    <t>54.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</si>
  <si>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</si>
  <si>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53.</t>
  </si>
  <si>
    <t>Výkop a zához jámy pro stožár vo 24 ks</t>
  </si>
  <si>
    <t>HZS.004</t>
  </si>
  <si>
    <t>52.</t>
  </si>
  <si>
    <t>km</t>
  </si>
  <si>
    <t xml:space="preserve">Vytýčení trasy inženýrských sítí  v zastavěném prostoru </t>
  </si>
  <si>
    <t>51.</t>
  </si>
  <si>
    <t xml:space="preserve">Vytýčení trasy vedení kabelového (podzemního) v zastavěném prostoru </t>
  </si>
  <si>
    <t>50.</t>
  </si>
  <si>
    <t>zemní práce</t>
  </si>
  <si>
    <t>Montáž svítidel výbojkových se zapojením vodičů průmyslových nebo venkovních na výložník</t>
  </si>
  <si>
    <t>49.</t>
  </si>
  <si>
    <t xml:space="preserve">svítidla </t>
  </si>
  <si>
    <t>Montáž pojistek se zapojením vodičů pojistkových částí patron do 60 A se styčným kroužkem</t>
  </si>
  <si>
    <t>48.</t>
  </si>
  <si>
    <t>Montáž elektrovýzbroje stožárů osvětlení 2 okruhy</t>
  </si>
  <si>
    <t>47.</t>
  </si>
  <si>
    <t>Montáž elektrovýzbroje stožárů osvětlení 1 okruh</t>
  </si>
  <si>
    <t>46.</t>
  </si>
  <si>
    <t>stožárová svorkovnice</t>
  </si>
  <si>
    <t>Montáž výložníků osvětlení jednoramenných sloupových, hmotnosti do 35 kg</t>
  </si>
  <si>
    <t>45.</t>
  </si>
  <si>
    <t>Montáž výložníků osvětlení dvouramenných sloupových, hmotnosti do 70 kg</t>
  </si>
  <si>
    <t>44.</t>
  </si>
  <si>
    <t>výložníky</t>
  </si>
  <si>
    <t>Montáž základu pro osvětlovací sloupek a montáž sloupku včetně zemních prací  5 ks</t>
  </si>
  <si>
    <t>HZS.003</t>
  </si>
  <si>
    <t>43.</t>
  </si>
  <si>
    <t>Montáž pouzdrového základu stožáru pro stožár do výšky 7 m 30ks</t>
  </si>
  <si>
    <t>HZS.002</t>
  </si>
  <si>
    <t>42.</t>
  </si>
  <si>
    <t>Montáž ochranné manžety 30ks</t>
  </si>
  <si>
    <t>HZS.001</t>
  </si>
  <si>
    <t>41.</t>
  </si>
  <si>
    <t>Montáž stožárů osvětlení ocelových samostatně stojících, délky do 12 m</t>
  </si>
  <si>
    <t>40.</t>
  </si>
  <si>
    <t>stožáry a jejich příslušenství</t>
  </si>
  <si>
    <t>Montáž uzemňovacího vedení s upevněním, propojením a připojením pomocí svorek v zemi s izolací spojů drátu nebo lana Ø do 10 mm v městské zástavbě</t>
  </si>
  <si>
    <t>39.</t>
  </si>
  <si>
    <t xml:space="preserve">Montáž hromosvodného vedení  svorek se 3 a více šrouby   </t>
  </si>
  <si>
    <t>38.</t>
  </si>
  <si>
    <t>uzemnění</t>
  </si>
  <si>
    <t xml:space="preserve">Ukončení kabelů smršťovací záklopkou nebo páskou se zapojením bez letování, počtu a průřezu žil 3x1,5 až 4 mm2   </t>
  </si>
  <si>
    <t>37.</t>
  </si>
  <si>
    <t xml:space="preserve">Ukončení kabelů smršťovací záklopkou nebo páskou se zapojením bez letování, počtu a průřezu žil 4x10 mm2   </t>
  </si>
  <si>
    <t>36.</t>
  </si>
  <si>
    <t>ukončení celoplastových kabelů</t>
  </si>
  <si>
    <t xml:space="preserve">Montáž kabelů měděných bez ukončení uložených pevně plných kulatých nebo bezhalogenových (např.CYKY) počtu a průřezu žil 3x1,5 až 6 mm2 </t>
  </si>
  <si>
    <t>35.</t>
  </si>
  <si>
    <t xml:space="preserve">Montáž kabelů měděných bez ukončení uložených pevně plných kulatých nebo bezhalogenových (např.CYKY) počtu a průřezu žil 4x10 mm2 </t>
  </si>
  <si>
    <t>34.</t>
  </si>
  <si>
    <t>kabely a vodiče</t>
  </si>
  <si>
    <t>cena celkem</t>
  </si>
  <si>
    <t>množství</t>
  </si>
  <si>
    <t>popis</t>
  </si>
  <si>
    <t>č.ceníku</t>
  </si>
  <si>
    <t>pozice</t>
  </si>
  <si>
    <t xml:space="preserve">             montáž</t>
  </si>
  <si>
    <t>D.1.4 Veřejné osvětlení</t>
  </si>
  <si>
    <t>část:</t>
  </si>
  <si>
    <t>SO 401 veřejné osvětlení</t>
  </si>
  <si>
    <t>objekt:</t>
  </si>
  <si>
    <t>Stavba komunikace propojení ulice Okružní a Na hroudách</t>
  </si>
  <si>
    <t>akce:</t>
  </si>
  <si>
    <t>materiál celkem bez DPH</t>
  </si>
  <si>
    <t>materiál</t>
  </si>
  <si>
    <t>33.</t>
  </si>
  <si>
    <t>Písek kopaný včetně dopravy</t>
  </si>
  <si>
    <t>32.</t>
  </si>
  <si>
    <t>Gumoasfaltový nátěr</t>
  </si>
  <si>
    <t>31.</t>
  </si>
  <si>
    <t>Betonová směs C8/10  0,5*0,25*60</t>
  </si>
  <si>
    <t>30.</t>
  </si>
  <si>
    <t>Montážní pěna pro zapěnění konců chrániček</t>
  </si>
  <si>
    <t>29.</t>
  </si>
  <si>
    <t>Krací destička PVC na kabely</t>
  </si>
  <si>
    <t>28.</t>
  </si>
  <si>
    <t>Bezhalogenová ohebná dvouplášťová korugovaná chránička určená pro mechanickou ochranu všech druhů energetických a telekomunikačních vedení D40 mm</t>
  </si>
  <si>
    <t>27.</t>
  </si>
  <si>
    <t>Bezhalogenová ohebná dvouplášťová korugovaná chránička určená pro mechanickou ochranu všech druhů energetických a telekomunikačních vedení  D 110 mm</t>
  </si>
  <si>
    <t>26.</t>
  </si>
  <si>
    <t>materiál pro zemní práce</t>
  </si>
  <si>
    <t>Recyklační poplatek - za svítidla a světelné zdroje</t>
  </si>
  <si>
    <t>25.</t>
  </si>
  <si>
    <t>24.</t>
  </si>
  <si>
    <t>23.</t>
  </si>
  <si>
    <t>22.</t>
  </si>
  <si>
    <t>21.</t>
  </si>
  <si>
    <t>20.</t>
  </si>
  <si>
    <t>Venkovní lampa (sloupek) černý, světelný zdroj 160/740LED,1650lm,12,5W,stmívání 8,9W,2700K,</t>
  </si>
  <si>
    <t>19.</t>
  </si>
  <si>
    <t>Tavná pojistka  6A až 10A</t>
  </si>
  <si>
    <t>18.</t>
  </si>
  <si>
    <t>Stožárová výstroj 2 pojistky do stožáru</t>
  </si>
  <si>
    <t>17.</t>
  </si>
  <si>
    <t>Stožárová výstroj 1 pojistka do stožáru</t>
  </si>
  <si>
    <t>16.</t>
  </si>
  <si>
    <t xml:space="preserve">Výložník jednoramenný 1x3,5 m žárový zinek na vrchol </t>
  </si>
  <si>
    <t>15.</t>
  </si>
  <si>
    <t xml:space="preserve">Výložník jednoramenný 1x1,5 m žárový zinek na vrchol </t>
  </si>
  <si>
    <t>14.</t>
  </si>
  <si>
    <t>Výložník dvouramenný 2x2 m žárový zinek na vrchol 180 st.</t>
  </si>
  <si>
    <t>13.</t>
  </si>
  <si>
    <t>Pouzdrový základ stožáru pro stožár výšky 4 m</t>
  </si>
  <si>
    <t>12.</t>
  </si>
  <si>
    <t>Pouzdrový základ stožáru pro stožár výšky 6 až 7 m</t>
  </si>
  <si>
    <t>11.</t>
  </si>
  <si>
    <t>Ochranná manžeta</t>
  </si>
  <si>
    <t>10.</t>
  </si>
  <si>
    <t>Pozinkovaný stožár venkovního osvětlení výšky 4 m</t>
  </si>
  <si>
    <t>9.</t>
  </si>
  <si>
    <t>Pozinkovaný stožár venkovního osvětlení výšky 6 m</t>
  </si>
  <si>
    <t>8.</t>
  </si>
  <si>
    <t>Pozinkovaný stožár venkovního osvětlení výšky 7 m</t>
  </si>
  <si>
    <t>7.</t>
  </si>
  <si>
    <t>Svorka zemnící</t>
  </si>
  <si>
    <t>6.</t>
  </si>
  <si>
    <t>Vodič FeZn o 10 mm</t>
  </si>
  <si>
    <t>5.</t>
  </si>
  <si>
    <t>Kabelové oko Cu 2,5 mm2</t>
  </si>
  <si>
    <t>4.</t>
  </si>
  <si>
    <t>Kabelové oko Cu 16mm2</t>
  </si>
  <si>
    <t>3.</t>
  </si>
  <si>
    <t>Kabel silový Cu, PVC izolace 450V/2,5kV, -40ºC - +70ºC, CYKYJ 3x1,5 mm2
odolnost proti šíření plamene dle ČSN EN 60332-1</t>
  </si>
  <si>
    <t>2.</t>
  </si>
  <si>
    <t>Kabel silový Cu, PVC izolace 450V/2,5kV, -40ºC - +70ºC, CYKYJ 4x10 mm2
odolnost proti šíření plamene dle ČSN EN 60332-1</t>
  </si>
  <si>
    <t>1.</t>
  </si>
  <si>
    <t xml:space="preserve">             materiál</t>
  </si>
  <si>
    <t>a souhrnné části dokumentace a příslušné textové, výkresové části a výkazů výměru.</t>
  </si>
  <si>
    <t>Nabídku lze odpovědně zpracovat pouze na základě kompletní dokumentace, tzn. ¨průvodní</t>
  </si>
  <si>
    <t>zástupce objednatele a na tuto skutečnost pak zhotovitel upozorní.</t>
  </si>
  <si>
    <t xml:space="preserve"> nutným doplnit další položky do souhrnného výkazu, pak lze tak učinit pouze se souhlasem </t>
  </si>
  <si>
    <t xml:space="preserve">objednateli ucelený přehled o rozsahu a ceně dodávek a prací. Pokud zhotovitel shledá nezbytně </t>
  </si>
  <si>
    <t>Výkaz výměr, dodávek a prací není ani úplný, ani vyčerpávající. Je souhrnný, tzn. že poskytuje</t>
  </si>
  <si>
    <t>bez konečných povrchových úprav a přípaných demontáží stávající elektroinstlace</t>
  </si>
  <si>
    <t>P o z n á m k a:</t>
  </si>
  <si>
    <t>cenová úroveň - materiál - listopad 2023 - základní cena velkoobchodu</t>
  </si>
  <si>
    <t>cenová úroveň - montáž ÚRS 2023 - 2</t>
  </si>
  <si>
    <t>celkem včetně DPH</t>
  </si>
  <si>
    <t>DPH 21%</t>
  </si>
  <si>
    <t>Celkem</t>
  </si>
  <si>
    <t>zařízení staveniště 3,5% z ceny</t>
  </si>
  <si>
    <t>doprava materiálu  3% z dodávky</t>
  </si>
  <si>
    <t>PSV 800-741+46-M+HZS</t>
  </si>
  <si>
    <t>celkem</t>
  </si>
  <si>
    <t>Cena celkem bez DPH</t>
  </si>
  <si>
    <t>Montáž celkem bez DPH</t>
  </si>
  <si>
    <t>Dodávka celkem bez DPH</t>
  </si>
  <si>
    <t xml:space="preserve">Datum: </t>
  </si>
  <si>
    <t>Ing Ivan Kobza</t>
  </si>
  <si>
    <t>Vypracoval:</t>
  </si>
  <si>
    <t>REKAPITULACE ROZPOČTU</t>
  </si>
  <si>
    <t>Dopravní infrastruktura</t>
  </si>
  <si>
    <t>Komunikace</t>
  </si>
  <si>
    <t>101.4</t>
  </si>
  <si>
    <t>Chodník - neuznatelné náklady</t>
  </si>
  <si>
    <t>101.3</t>
  </si>
  <si>
    <t>Samostatný chodník od km 0,460</t>
  </si>
  <si>
    <t>101.2</t>
  </si>
  <si>
    <t>Dělená stezka pro chodce a cyklisty - uznatelné náklady</t>
  </si>
  <si>
    <t>101.1</t>
  </si>
  <si>
    <t>VRN - Uznatelné náklady</t>
  </si>
  <si>
    <t>001U</t>
  </si>
  <si>
    <t>VRN - neuznatelné náklady</t>
  </si>
  <si>
    <t>001N</t>
  </si>
  <si>
    <t>Celková cena s DPH:</t>
  </si>
  <si>
    <t>Celková cena bez DPH:</t>
  </si>
  <si>
    <t>Stavba: 21077 - Stavba komunikace propojení ulice Okružní  a Na hroudách</t>
  </si>
  <si>
    <t>Rekapitulace ceny</t>
  </si>
  <si>
    <t xml:space="preserve">Firma: </t>
  </si>
  <si>
    <t>EstiCon</t>
  </si>
  <si>
    <t>zahrnuje objednatelem povolené náklady na požadovaná zařízení zhotovitele</t>
  </si>
  <si>
    <t>TS</t>
  </si>
  <si>
    <t>PP</t>
  </si>
  <si>
    <t>OTSKP ~ 2023</t>
  </si>
  <si>
    <t>KPL</t>
  </si>
  <si>
    <t>POMOC PRÁCE ZAJIŠŤ NEBO ZŘÍZ OCHRANU INŽENÝRSKÝCH SÍTÍ</t>
  </si>
  <si>
    <t>03730</t>
  </si>
  <si>
    <t>P</t>
  </si>
  <si>
    <t>zahrnuje veškeré náklady spojené s objednatelem požadovanými pracemi</t>
  </si>
  <si>
    <t>OSTAT POŽADAVKY - DOKUMENTACE SKUTEČ PROVEDENÍ V DIGIT FORMĚ</t>
  </si>
  <si>
    <t>02944</t>
  </si>
  <si>
    <t>Geodetické vytýčení stavby _x000D_
Zahrnuje i vytýčení inženýrských sítí</t>
  </si>
  <si>
    <t>KUS</t>
  </si>
  <si>
    <t>OSTATNÍ POŽADAVKY - GEODETICKÉ ZAMĚŘENÍ - CELKY</t>
  </si>
  <si>
    <t>029113</t>
  </si>
  <si>
    <t>Zkoušky na zemní pláni _x000D_
1 x na 100 bm stezky dle ČSN 736133</t>
  </si>
  <si>
    <t>PRŮZKUMNÉ PRÁCE GEOTECHNICKÉ NA POVRCHU</t>
  </si>
  <si>
    <t>02811</t>
  </si>
  <si>
    <t>Všeobecné konstrukce a práce</t>
  </si>
  <si>
    <t>SD</t>
  </si>
  <si>
    <t>Jednotková</t>
  </si>
  <si>
    <t>Cena</t>
  </si>
  <si>
    <t>Název Položky</t>
  </si>
  <si>
    <t>Varianta</t>
  </si>
  <si>
    <t>Poř. číslo</t>
  </si>
  <si>
    <t>Rozpočet:</t>
  </si>
  <si>
    <t>O1</t>
  </si>
  <si>
    <t>O</t>
  </si>
  <si>
    <t>Stavba komunikace propojení ulice Okružní  a Na hroudách</t>
  </si>
  <si>
    <t>21077</t>
  </si>
  <si>
    <t>S</t>
  </si>
  <si>
    <t>Soupis prací objektu</t>
  </si>
  <si>
    <t>Zajištění dopravně inženýrských opatření během výstavby, včetně zpracování DIO a získání DIR. Zahrnuje pronájem, montáž a demontáž potřebných značek na potřebnou dobu dle realizace stavby.</t>
  </si>
  <si>
    <t>POMOC PRÁCE ZAJIŠŤ NEBO ZŘÍZ REGULACI A OCHRANU DOPRAVY</t>
  </si>
  <si>
    <t>03720</t>
  </si>
  <si>
    <t>Položka zahrnuje:
dodání a pokládku betonových obrubníků o rozměrech předepsaných zadávací dokumentací
betonové lože i boční betonovou opěrku.</t>
  </si>
  <si>
    <t>175+233+79+114+102+9+94+190+9+9+176+11+117+72+15+14+226+214+7,8+9 = 1875,800 [A]</t>
  </si>
  <si>
    <t>ZÁHONOVÉ OBRUBY Z BETONOVÝCH OBRUBNÍKŮ ŠÍŘ 80MM</t>
  </si>
  <si>
    <t>917212</t>
  </si>
  <si>
    <t>Položka zahrnuje:
dodání a pokládku betonových palisád o rozměrech předepsaných zadávací dokumentací
betonové lože i boční betonovou opěrku.</t>
  </si>
  <si>
    <t>33*0,25*0,5 = 4,125 [A]</t>
  </si>
  <si>
    <t>M3</t>
  </si>
  <si>
    <t>OBRUBY Z BETONOVÝCH PALISÁD</t>
  </si>
  <si>
    <t>91710</t>
  </si>
  <si>
    <t>položka zahrnuje:
- sloupky a upevňovací zařízení včetně jejich osazení (betonová patka, zemní práce)</t>
  </si>
  <si>
    <t>12 = 12,000 [A]</t>
  </si>
  <si>
    <t>SLOUPKY A STOJKY DOPRAVNÍCH ZNAČEK Z OCEL TRUBEK SE ZABETONOVÁNÍM - DODÁVKA A MONTÁŽ</t>
  </si>
  <si>
    <t>914911</t>
  </si>
  <si>
    <t>položka zahrnuje:
- dodávku a montáž značek v požadovaném provedení</t>
  </si>
  <si>
    <t>C10a 4 = 4,000 [A]_x000D_
C10b 4 = 4,000 [B]_x000D_
C9a 2 = 2,000 [C]_x000D_
C9b 2 = 2,000 [D]_x000D_
Celkové množství = 12,000</t>
  </si>
  <si>
    <t>DOPRAVNÍ ZNAČKY ZÁKLADNÍ VELIKOSTI HLINÍKOVÉ FÓLIE TŘ 1 - DODÁVKA A MONTÁŽ</t>
  </si>
  <si>
    <t>914161</t>
  </si>
  <si>
    <t>Ostatní konstrukce a práce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</si>
  <si>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</si>
  <si>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360 = 360,000 [A]</t>
  </si>
  <si>
    <t>M2</t>
  </si>
  <si>
    <t>KRYTY Z BETON DLAŽDIC SE ZÁMKEM BAREV RELIÉF TL 60MM DO LOŽE Z KAM</t>
  </si>
  <si>
    <t>58261A</t>
  </si>
  <si>
    <t>11 = 11,000 [A]</t>
  </si>
  <si>
    <t>KRYTY Z BETON DLAŽDIC SE ZÁMKEM BAREV TL 80MM DO LOŽE Z KAM</t>
  </si>
  <si>
    <t>582615</t>
  </si>
  <si>
    <t>Přidružený chodník 228+580+395+380-360 = 1223,000 [A]_x000D_
Přidružená nástupiště 40+41 = 81,000 [B]_x000D_
Smíšená stezka 295 = 295,000 [C]_x000D_
Bezpečnostní odstup na nástupištích 2*19*0,35 = 13,300 [D]_x000D_
Celkové množství = 1612,300</t>
  </si>
  <si>
    <t>KRYTY Z BETON DLAŽDIC SE ZÁMKEM BAREV TL 60MM DO LOŽE Z KAM</t>
  </si>
  <si>
    <t>582614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</si>
  <si>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</si>
  <si>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Cyklostezka 514+335+351+18+166 = 1384,000 [A]</t>
  </si>
  <si>
    <t>ASFALTOVÝ BETON PRO OBRUSNÉ VRSTVY ACO 8 TL. 50MM</t>
  </si>
  <si>
    <t>574A41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</si>
  <si>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</si>
  <si>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SPOJOVACÍ POSTŘIK Z EMULZE DO 1,0KG/M2</t>
  </si>
  <si>
    <t>572223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</si>
  <si>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</si>
  <si>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cyklostezka 514+335+351+18+166 = 1384,000 [A]</t>
  </si>
  <si>
    <t>VOZOVKOVÉ VRSTVY Z RECYKLOVANÉHO MATERIÁLU TL DO 100MM</t>
  </si>
  <si>
    <t>56362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</si>
  <si>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</si>
  <si>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cyklostezka 514+335+351+18+166 = 1384,000 [A]_x000D_
Přidružený chodník 228+580+395+380 = 1583,000 [B]_x000D_
přidružená nástupiště 40+41 = 81,000 [C]_x000D_
Smíšená stezka 295 = 295,000 [D]_x000D_
Podklad pod přejezdem cyklostezky a chodníku 9+11 = 20,000 [E]_x000D_
Celkové množství = 3363,000</t>
  </si>
  <si>
    <t>VOZOVKOVÉ VRSTVY ZE ŠTĚRKODRTI TL. DO 150MM</t>
  </si>
  <si>
    <t>56333</t>
  </si>
  <si>
    <t>- dílenská dokumentace,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- ochranná opatření před účinky bludných proudů
- ochranu před přepětím.</t>
  </si>
  <si>
    <t>(2*16*2*2,9+4*1,6*2,9+16/2,5/1,6*2,9) = 215,760 [A]</t>
  </si>
  <si>
    <t>KG</t>
  </si>
  <si>
    <t>ZÁBRADLÍ Z DÍLCŮ KOVOVÝCH ŽÁROVĚ ZINK PONOREM S NÁTĚREM</t>
  </si>
  <si>
    <t>348173</t>
  </si>
  <si>
    <t>Svislé konstrukce</t>
  </si>
  <si>
    <t>položka zahrnuje úpravu pláně včetně vyrovnání výškových rozdílů. Míru zhutnění určuje projekt.</t>
  </si>
  <si>
    <t>cyklostezka 514+335+351+18+166 = 1384,000 [A]_x000D_
Přidružený chodník 228+580+395+380 = 1583,000 [B]_x000D_
přidružená nástupiště 40+41 = 81,000 [C]_x000D_
Smíšená stezka 295 = 295,000 [D]_x000D_
Celkové množství = 3343,000</t>
  </si>
  <si>
    <t>ÚPRAVA PLÁNĚ SE ZHUTNĚNÍM V HORNINĚ TŘ. II</t>
  </si>
  <si>
    <t>18120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</si>
  <si>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</si>
  <si>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95 = 95,000 [A]</t>
  </si>
  <si>
    <t>ULOŽENÍ SYPANINY DO NÁSYPŮ SE ZHUTNĚNÍM DO 100% PS</t>
  </si>
  <si>
    <t>171103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</si>
  <si>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</si>
  <si>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2*150*0,25*3,25 = 243,750 [A]</t>
  </si>
  <si>
    <t>ODKOP PRO SPOD STAVBU SILNIC A ŽELEZNIC TŘ. II, ODVOZ DO 5KM</t>
  </si>
  <si>
    <t>123834</t>
  </si>
  <si>
    <t>položka zahrnuje sejmutí ornice bez ohledu na tloušťku vrstvy a její vodorovnou dopravu
nezahrnuje uložení na trvalou skládku</t>
  </si>
  <si>
    <t>3343*0,4 = 1337,200 [A]</t>
  </si>
  <si>
    <t>SEJMUTÍ ORNICE NEBO LESNÍ PŮDY S ODVOZEM DO 3KM</t>
  </si>
  <si>
    <t>121103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</si>
  <si>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185/2001 Sb., o nakládání s odpady, v platném znění.</t>
  </si>
  <si>
    <t>(243,75-95)*1,9 = 282,625 [A]</t>
  </si>
  <si>
    <t>T</t>
  </si>
  <si>
    <t>POPLATKY ZA LIKVIDACŮ ODPADŮ NEKONTAMINOVANÝCH - 17 05 04  VYTĚŽENÉ ZEMINY A HORNINY -  II. TŘÍDA TĚŽITELNOSTI</t>
  </si>
  <si>
    <t>015112</t>
  </si>
  <si>
    <t>72+90 = 162,000 [A]</t>
  </si>
  <si>
    <t>SILNIČNÍ A CHODNÍKOVÉ OBRUBY Z BETONOVÝCH OBRUBNÍKŮ ŠÍŘ 150MM</t>
  </si>
  <si>
    <t>917224</t>
  </si>
  <si>
    <t>85+76 = 161,000 [A]</t>
  </si>
  <si>
    <t>29 = 29,000 [A]</t>
  </si>
  <si>
    <t>203+172-29 = 346,000 [A]</t>
  </si>
  <si>
    <t>203+172 = 375,000 [A]</t>
  </si>
  <si>
    <t>2*0,83*85 = 141,100 [A]</t>
  </si>
  <si>
    <t>(203+172)*0,4 = 150,000 [A]</t>
  </si>
  <si>
    <t>10*1,9 = 19,000 [A]</t>
  </si>
  <si>
    <t>2*45 = 90,000 [A]</t>
  </si>
  <si>
    <t>11+8+12,7+12,5 = 44,200 [A]</t>
  </si>
  <si>
    <t>16,7 = 16,700 [A]</t>
  </si>
  <si>
    <t>chodníky u přechodu 62+105-16,7 = 150,300 [A]_x000D_
chodníky u parkovacího stání 100+99 = 199,000 [B]_x000D_
Celkové množství = 349,300</t>
  </si>
  <si>
    <t>chodníky u přechodu 62+105 = 167,000 [A]_x000D_
chodníky u parkovacího stání 99+100 = 199,000 [B]_x000D_
Celkové množství = 366,000</t>
  </si>
  <si>
    <t>62+105+199 = 366,000 [A]</t>
  </si>
  <si>
    <t>10 = 10,000 [A]</t>
  </si>
  <si>
    <t>(105+199)*0,2 = 60,800 [A]</t>
  </si>
  <si>
    <t>(105+199)*0,3 = 91,200 [A]</t>
  </si>
  <si>
    <t>60,8*1,9 = 115,520 [A]</t>
  </si>
  <si>
    <t>položka zahrnuje řezání vozovkové vrstvy v předepsané tloušťce, včetně spotřeby vody</t>
  </si>
  <si>
    <t>ŘEZÁNÍ ASFALTOVÉHO KRYTU VOZOVEK TL DO 150MM</t>
  </si>
  <si>
    <t>919113</t>
  </si>
  <si>
    <t>Položka zahrnuje:
dodání a pokládku jedné řady dlažebních kostek o rozměrech předepsaných zadávací dokumentací
betonové lože i boční betonovou opěrku.</t>
  </si>
  <si>
    <t>OBRUBA Z DLAŽEBNÍCH KOSTEK DROBNÝCH</t>
  </si>
  <si>
    <t>91772</t>
  </si>
  <si>
    <t>2*(19+1+1) = 42,000 [A]</t>
  </si>
  <si>
    <t>NÁSTUPIŠTNÍ OBRUBNÍKY BETONOVÉ</t>
  </si>
  <si>
    <t>91725</t>
  </si>
  <si>
    <t>SILNIČNÍ A CHODNÍKOVÉ OBRUBY Z BETONOVÝCH OBRUBNÍKŮ ŠÍŘ 100MM</t>
  </si>
  <si>
    <t>917223</t>
  </si>
  <si>
    <t>položka zahrnuje:
- dodání a pokládku nátěrového materiálu
- předznačení a reflexní úpravu</t>
  </si>
  <si>
    <t>BUS 3*2*2 = 12,000 [A]</t>
  </si>
  <si>
    <t>VODOR DOPRAV ZNAČ - PÍSMENA</t>
  </si>
  <si>
    <t>91552</t>
  </si>
  <si>
    <t>položka zahrnuje:
- dodání a pokládku předepsaného symbolu
- zahrnuje předznačení a reflexní úpravu</t>
  </si>
  <si>
    <t>VODOROVNÉ DOPRAVNÍ ZNAČENÍ - PŘEDEM PŘIPRAVENÉ SYMBOLY</t>
  </si>
  <si>
    <t>91551</t>
  </si>
  <si>
    <t>položka zahrnuje:
- dodání a pokládku nátěrového materiálu (měří se pouze natíraná plocha)
- předznačení a reflexní úpravu</t>
  </si>
  <si>
    <t>VODOROVNÉ DOPRAVNÍ ZNAČENÍ BARVOU HLADKÉ - DODÁVKA A POKLÁDKA</t>
  </si>
  <si>
    <t>915111</t>
  </si>
  <si>
    <t>24 = 24,000 [A]</t>
  </si>
  <si>
    <t>DOPRAVNÍ ZNAČKY ZÁKLAD VELIKOSTI HLINÍK NEREFLEX - DODÁVKA A MONTÁŽ</t>
  </si>
  <si>
    <t>914151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</si>
  <si>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</si>
  <si>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2 = 2,000 [A]</t>
  </si>
  <si>
    <t>VPUSŤ KANALIZAČNÍ ULIČNÍ KOMPLETNÍ Z BETONOVÝCH DÍLCŮ</t>
  </si>
  <si>
    <t>89712</t>
  </si>
  <si>
    <t>Potrubí</t>
  </si>
  <si>
    <t>položka zahrnuje:
- dodávku předepsaného materiálu
- vyčištění a výplň spar tímto materiálem</t>
  </si>
  <si>
    <t>VÝPLŇ SPAR MODIFIKOVANÝM ASFALTEM</t>
  </si>
  <si>
    <t>58920</t>
  </si>
  <si>
    <t>368 = 368,000 [A]</t>
  </si>
  <si>
    <t>KRYTY Z BETON DLAŽDIC SE ZÁMKEM ŠEDÝCH TL 100MM DO LOŽE Z KAM</t>
  </si>
  <si>
    <t>582613</t>
  </si>
  <si>
    <t>dlažba ve vjezdech 34 = 34,000 [A]_x000D_
dlažba pod parkovacími stánimi 2*99 = 198,000 [B]_x000D_
Celkové množství = 232,000</t>
  </si>
  <si>
    <t>KRYTY Z BETON DLAŽDIC SE ZÁMKEM ŠEDÝCH TL 80MM DO LOŽE Z KAM</t>
  </si>
  <si>
    <t>582612</t>
  </si>
  <si>
    <t>ASFALTOVÝ BETON PRO PODKLADNÍ VRSTVY ACP 16+, 16S TL. 50MM</t>
  </si>
  <si>
    <t>574E46</t>
  </si>
  <si>
    <t>ASFALTOVÝ BETON PRO LOŽNÍ VRSTVY ACL 16+, 16S TL. 60MM</t>
  </si>
  <si>
    <t>574C56</t>
  </si>
  <si>
    <t>ASFALTOVÝ BETON PRO OBRUSNÉ VRSTVY ACO 11+, 11S TL. 40MM</t>
  </si>
  <si>
    <t>574A34</t>
  </si>
  <si>
    <t>SPOJOVACÍ POSTŘIK Z EMULZE DO 0,5KG/M2</t>
  </si>
  <si>
    <t>572213</t>
  </si>
  <si>
    <t>INFILTRAČNÍ POSTŘIK Z EMULZE DO 1,0KG/M2</t>
  </si>
  <si>
    <t>572123</t>
  </si>
  <si>
    <t>VOZOVKOVÉ VRSTVY ZE ŠTĚRKODRTI TL. DO 250MM</t>
  </si>
  <si>
    <t>56335</t>
  </si>
  <si>
    <t>VOZOVKOVÉ VRSTVY ZE ŠTĚRKODRTI TL. DO 200MM</t>
  </si>
  <si>
    <t>56334</t>
  </si>
  <si>
    <t>Vjezdy z dlažby</t>
  </si>
  <si>
    <t>VOZOVKOVÉ VRSTVY Z MECHANICKY ZPEVNĚNÉHO KAMENIVA TL. DO 200MM</t>
  </si>
  <si>
    <t>56314</t>
  </si>
  <si>
    <t>položka zahrnuje zafrézování předepsaného množství hydraulického pojiva do podloží do hloubky do 0,5m, zhutnění
druh hydraulického pojiva stanoví zadávací dokumentace</t>
  </si>
  <si>
    <t>ÚPRAVA PODLOŽÍ HYDRAULICKÝMI POJIVY DO 1,5% HL DO 0,5M</t>
  </si>
  <si>
    <t>215662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</si>
  <si>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</si>
  <si>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TRATIVODY KOMPL Z TRUB Z PLAST HM DN DO 150MM, RÝHA TŘ II</t>
  </si>
  <si>
    <t>212636</t>
  </si>
  <si>
    <t>Základy</t>
  </si>
  <si>
    <t>Zahrnuje dodání předepsané travní směsi, její výsev na ornici, zalévání, první pokosení, to vše bez ohledu na sklon terénu</t>
  </si>
  <si>
    <t>ZALOŽENÍ TRÁVNÍKU RUČNÍM VÝSEVEM</t>
  </si>
  <si>
    <t>18241</t>
  </si>
  <si>
    <t>položka zahrnuje:
nutné přemístění ornice z dočasných skládek vzdálených do 50m
rozprostření ornice v předepsané tloušťce ve svahu přes 1:5</t>
  </si>
  <si>
    <t>ROZPROSTŘENÍ ORNICE VE SVAHU V TL DO 0,15M</t>
  </si>
  <si>
    <t>18222</t>
  </si>
  <si>
    <t>položka zahrnuje úpravu pláně včetně vyrovnání výškových rozdílů</t>
  </si>
  <si>
    <t>ÚPRAVA PLÁNĚ BEZ ZHUTNĚNÍ</t>
  </si>
  <si>
    <t>18130</t>
  </si>
  <si>
    <t>1600 = 1600,000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</si>
  <si>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</si>
  <si>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36+37 = 73,000 [A]</t>
  </si>
  <si>
    <t>ODSTRANĚNÍ CHODNÍKOVÝCH A SILNIČNÍCH OBRUBNÍKŮ BETONOVÝCH, ODVOZ DO 5KM</t>
  </si>
  <si>
    <t>113524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</si>
  <si>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</si>
  <si>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KÁCENÍ STROMŮ D KMENE DO 0,5M S ODSTRANĚNÍM PAŘEZŮ, ODVOZ DO 8KM</t>
  </si>
  <si>
    <t>112015</t>
  </si>
  <si>
    <t>dlažba ze stávajícího parkovacího pruhu (70*0,08)*2,1 = 11,760 [A]_x000D_
dlažba ze stávajícího chodníku 85*0,06*2,1 = 10,710 [B]_x000D_
vybourání dlažeb 73*80/1000*2,1 = 12,264 [C]_x000D_
Celkové množství = 34,734</t>
  </si>
  <si>
    <t>POPLATKY ZA LIKVIDACŮ ODPADŮ NEKONTAMINOVANÝCH - 17 01 01  BETON Z DEMOLIC OBJEKTŮ, ZÁKLADŮ TV</t>
  </si>
  <si>
    <t>015140</t>
  </si>
  <si>
    <t>VÚ</t>
  </si>
  <si>
    <t>Vegetační úpravy</t>
  </si>
  <si>
    <t>POKLÁDKA STRUKTURÁLNÍHO SUBSTRÁTU S VYNECHÁNÍM VÝSADBOVÝCH MÍS PRO STROMY</t>
  </si>
  <si>
    <t>položka zahrnuje: odkop pro výměnu strukturálního substrátu,  strukturální substrát je umístěn v okolí navrhovaných stromů v hloubce 0,2 - 1m;   strukturální substrát (Štěrkodrť fr. 32/63 84% , organický kompost fr. 0/10 8 %, biouhel fr. 0/10 mm 8 % )</t>
  </si>
  <si>
    <t>Výsadba stromu, vysokokmen, obvod kmene 14-16</t>
  </si>
  <si>
    <t>Položka zahrnuje:
materiál (výsadbový substrát, výpěstek stromu, kotvení; ochranný nátěr na kmen; voda na  samotná výsadba; vyplnění výsadbové mísy výsadbovým substrátem   - štěrkodrť fr. 4/8 65 %, organický kompost fr. 0/10 25 %, biouhel fr. 0/10 mm 10 %; kotvení; zálivka)</t>
  </si>
  <si>
    <t>Luční trávník</t>
  </si>
  <si>
    <t>Položka zahrnuje: úprava terénu, případné odplevelení, výsev lučního trávníku vč. materiálu, hnojení, zálivka</t>
  </si>
  <si>
    <t>Realizace smíšených trvalkových záhonů</t>
  </si>
  <si>
    <t>Položka zahrnuje: přípravu půdy, výsadbu vč.materiálů, zamulčování štěrkem frakce 18/32 vč. materiálu, zálivku</t>
  </si>
  <si>
    <t>VÚ - Vegetační úpravy</t>
  </si>
  <si>
    <t>FanIT s.r.o.</t>
  </si>
  <si>
    <t>CZ28250737</t>
  </si>
  <si>
    <t>SOLICITE s.r.o. (technická infrastruktura)</t>
  </si>
  <si>
    <t>FanIT s.r.o. (dopravní infrastruktura)</t>
  </si>
  <si>
    <t>SOLICITE s.r.o. (technická infrastruktura);  FanIT s.r.o. (dopravní infrastruktura)</t>
  </si>
  <si>
    <t>*koef. 0,18</t>
  </si>
  <si>
    <t>1*1*0.8*7*koef. 0,18</t>
  </si>
  <si>
    <t>3*445,566*koef. 0,18</t>
  </si>
  <si>
    <t>3*261,683*koef 0,18</t>
  </si>
  <si>
    <t>490,311*1,8 'Přepočtené koeficientem množství*koef. 0,18</t>
  </si>
  <si>
    <t xml:space="preserve"> *koef 0,82</t>
  </si>
  <si>
    <t>3*445,566 *koef 0,82</t>
  </si>
  <si>
    <t>490,311*1,8 'Přepočtené koeficientem množství *koef 0,82</t>
  </si>
  <si>
    <t>*koef 0,18</t>
  </si>
  <si>
    <t>363,751*3 'Přepočtené koeficientem množství*koef. 0,18</t>
  </si>
  <si>
    <t>444,584*3*koef. 0,18</t>
  </si>
  <si>
    <t>808,335*1,8 'Přepočtené koeficientem množství *koef 0,18</t>
  </si>
  <si>
    <t>714,287*1,8 'Přepočtené koeficientem množství  *koef 0,82</t>
  </si>
  <si>
    <t>714,287*1,8 'Přepočtené koeficientem množství*koef 0,18</t>
  </si>
  <si>
    <t>10*1,015 'Přepočtené koeficientem množství* koef 0,18</t>
  </si>
  <si>
    <t>18,68*1,015 'Přepočtené koeficientem množství*koef 0,18</t>
  </si>
  <si>
    <t>377,1*1,015 'Přepočtené koeficientem množství* koef 0,18</t>
  </si>
  <si>
    <t>6*1,015 'Přepočtené koeficientem množství* koef 0,18</t>
  </si>
  <si>
    <t>2,34259259259259*1,08 'Přepočtené koeficientem množství* koef 0,18</t>
  </si>
  <si>
    <t>*koef 0,82</t>
  </si>
  <si>
    <t>363,751*3 'Přepočtené koeficientem množství* koef. 0,82</t>
  </si>
  <si>
    <t>444,584*3*koef 0,82</t>
  </si>
  <si>
    <t>* koef 0,82</t>
  </si>
  <si>
    <t>10*1,015 'Přepočtené koeficientem množství *koef 0,82</t>
  </si>
  <si>
    <t>18,68*1,015 'Přepočtené koeficientem množství *koef 0,82</t>
  </si>
  <si>
    <t>43,5*1,015 'Přepočtené koeficientem množství*koef 0,82</t>
  </si>
  <si>
    <t>377,1*1,015 'Přepočtené koeficientem množství* koef 0,82</t>
  </si>
  <si>
    <t>6*1,015 'Přepočtené koeficientem množství*koef 0,82</t>
  </si>
  <si>
    <t>2,34259259259259*1,08 'Přepočtené koeficientem množství *0,koef 82</t>
  </si>
  <si>
    <t>* koef 0,18</t>
  </si>
  <si>
    <t>1*1*1*4 *koef 0,18</t>
  </si>
  <si>
    <t>1220,23-670,691*koef 0,18</t>
  </si>
  <si>
    <t>549,539*3*koef 0,18</t>
  </si>
  <si>
    <t>670,691*3*koef 0,18</t>
  </si>
  <si>
    <t>"D" (2*2*0.2)*2*koef. 0,18</t>
  </si>
  <si>
    <t>"D" 23.4*0.1*1*koef 0,18</t>
  </si>
  <si>
    <t>"D" (1.5*1.5*0.15)*2*koef 0,18</t>
  </si>
  <si>
    <t>"D" (4*1.5*0.15)*2*koef. 0,18</t>
  </si>
  <si>
    <t>8,6*1,015 'Přepočtené koeficientem množství *koef 0,18</t>
  </si>
  <si>
    <t>23,4*1,015 'Přepočtené koeficientem množství*koef 0,18</t>
  </si>
  <si>
    <t>1*1*1*4*koef 0,82</t>
  </si>
  <si>
    <t>1220,23-670,691*koef 0,82</t>
  </si>
  <si>
    <t>549,539*3*koef 0,82</t>
  </si>
  <si>
    <t>670,691*3*koef 0,82</t>
  </si>
  <si>
    <t>1220,23*1,8 'Přepočtené koeficientem množství*koef 0,82</t>
  </si>
  <si>
    <t>"D" 23.4*0.6*1 - ((3,14*0.3^2)/4)*23.4*koef 0,82</t>
  </si>
  <si>
    <t>12,39*1,8 'Přepočtené koeficientem množství*koef 0,82</t>
  </si>
  <si>
    <t>"D" (2*2*0.2)*2* koef 0,82</t>
  </si>
  <si>
    <t>23,4*1,015 'Přepočtené koeficientem množství*koef 0,82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</si>
  <si>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celkového nosného materiálu * koef. 0,82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</si>
  <si>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celkového nosného materiálu * koef. 0,18</t>
  </si>
  <si>
    <t>Zkoušky a prohlídky elektrických rozvodů a zařízení celková prohlídka a vyhotovení revizní zprávy pro objem montážních prací přes 500 do 1000 tis.Kč * koef 0,82</t>
  </si>
  <si>
    <t>Zkoušky a prohlídky elektrických rozvodů a zařízení celková prohlídka a vyhotovení revizní zprávy pro objem montážních prací přes 500 do 1000 tis.Kč * koef. 0,18</t>
  </si>
  <si>
    <t>Měření zemních odporů zemní sítě délky pásku do 100m * koef. 0,18</t>
  </si>
  <si>
    <t>Měření osvětlovacího zařízení intenzity osvětlení na pracovišti do 50 svítidel * koef. 0,18</t>
  </si>
  <si>
    <t>elektroinstalace nn – 0-0,098</t>
  </si>
  <si>
    <t>elektroinstalace nn – 0,098-KÚ</t>
  </si>
  <si>
    <t xml:space="preserve">VO materiál – 0-0,098 </t>
  </si>
  <si>
    <t>VO materiál – 0,098-KÚ</t>
  </si>
  <si>
    <t>VO montáž – 0-0,098</t>
  </si>
  <si>
    <t>VO montáž – 0,098-KÚ</t>
  </si>
  <si>
    <t>101.5</t>
  </si>
  <si>
    <t>Komunikace km 0,000 - 0,098</t>
  </si>
  <si>
    <t>(430)*1,9 = 817,000 [A]</t>
  </si>
  <si>
    <t>1464*0,2 = 298,800 [A]</t>
  </si>
  <si>
    <t>430 = 430,000 [A]</t>
  </si>
  <si>
    <t>659+232= 891,000 [A]</t>
  </si>
  <si>
    <t>72+144+201 = 417,000 [A]</t>
  </si>
  <si>
    <t>417= 417,000 [A]</t>
  </si>
  <si>
    <t>417 = 417,000 [A]</t>
  </si>
  <si>
    <t>trativody v místech se zvýšenou obrubou 2*60 = 120,000 [A]</t>
  </si>
  <si>
    <t>659 = 659,000 [A]</t>
  </si>
  <si>
    <t xml:space="preserve">podklad pod asfaltovou vozovkou 659 = 659,000 [A]
</t>
  </si>
  <si>
    <t>34 = 34,000 [A]</t>
  </si>
  <si>
    <t xml:space="preserve">vozovka 659 = 659,000 [A]
</t>
  </si>
  <si>
    <t xml:space="preserve">parkovací stání 99+99 = 198,000 [A]
</t>
  </si>
  <si>
    <t>2*659 =1318,000 [A]</t>
  </si>
  <si>
    <t>659 =659,000 [A]</t>
  </si>
  <si>
    <t>33 = 33,000 [A]</t>
  </si>
  <si>
    <t>P2 1 = 1,000 [A]
P4 1 = 1,000 [B]
C10a 1 = 1,000 [C]
C10b 1 = 1,000 [D]
IP11c 2 = 2,000 [G]
Celkové množství 6,000</t>
  </si>
  <si>
    <t>čáry plné (2*98)*0,25 =49,000 [A]
čáry přerušované 95*0,5*0,25 = 11,875 [B]
Přechody 4*0,5*7 = 14,000 [C]
Celkové množství = 74,875</t>
  </si>
  <si>
    <t>symbol kola 7 = 7,000 [A]
šipka 2 = 2,000 [B]
Celkové množství = 9,000</t>
  </si>
  <si>
    <t>2*42+12+2*6,7=109,400 [A]</t>
  </si>
  <si>
    <t>79+70= 149,000 [A]</t>
  </si>
  <si>
    <t>(26+39) = 65,000 [A]</t>
  </si>
  <si>
    <t>2*6,05 = 12,100 [A]</t>
  </si>
  <si>
    <t>(102+163+87+107+95-65) = 489,000 [A]</t>
  </si>
  <si>
    <t>14,5+47+18+16+55,5+12+15,5+35+28,5+20-149 = 113,000 [A]</t>
  </si>
  <si>
    <t>61+43+65+46+2*7+4*6+2*6,5-109,4 = 156,600 [A]</t>
  </si>
  <si>
    <t>symbol kola 20 = 20,000 [A]
šipka 14 = 14,000 [B]
Celkové množství = 34,000</t>
  </si>
  <si>
    <t>čáry plné (212+324+177+279-2*98)*0,25 = 199,000 [A]
čáry přerušované 400*0,5*0,25 = 50,000 [B]
Přechody 3*0,5*2*8+((3*0,5)+(0,5*0,5))*6*2 = 45,000 [C]
BUS zastávky (22+26)*0,125 = 6,000 [D]
Celkové množství = 300,00</t>
  </si>
  <si>
    <t>21= 21,000 [A]</t>
  </si>
  <si>
    <t>P2 2 = 2,000 [A]
P4 2 = 2,000 [B]
C10a  3 = 3,000 [C]
C10b 2 = 2,000 [D]
C9a 2 = 2,000 [E]
C9b 1 = 1,000 [F]
IJ4a 2 = 2,000 [I]
IP2 2 = 2,000 [H]
IP6 2 = 2,000 [J]
IP7 2 = 2,000 [K]
P3 1 = 1,000 [L]
IZ8a 1 = 1,000 [M]
IZ8b 1 = 1,000 [N]
Celkové množství = 25,000</t>
  </si>
  <si>
    <t>3886-659 = 3227,000 [A]</t>
  </si>
  <si>
    <t>2*(3886-659) = 6454,000 [A]</t>
  </si>
  <si>
    <t xml:space="preserve">podklad pod křižovatkou z dlažby 368 = 368,000 [A]
</t>
  </si>
  <si>
    <t>vozovka 3650-659 = 2991,000 [A]
bus záliv 236 = 236,000 [B]
Celkové množství = 3227,000</t>
  </si>
  <si>
    <t>34 =34,000 [A]</t>
  </si>
  <si>
    <t>podklad pod asfaltovou vozovkou 3886-659 = 3227,000 [A]
podklad pod křižovatkou z dlažby 368 = 368,000 [B]
Celkové množství = 3595,000</t>
  </si>
  <si>
    <t>3886+368+198 -654= 3798,000 [A]</t>
  </si>
  <si>
    <t>trativody v místech se zvýšenou obrubou 2*51 = 104,000 [A]</t>
  </si>
  <si>
    <t>3085-417 = 2668,000 [A]</t>
  </si>
  <si>
    <t>3886+566-891 = 3561,000 [A]</t>
  </si>
  <si>
    <t>2870 = 2870,000 [A]</t>
  </si>
  <si>
    <t>(9705-1464)*0,2= 1648,200 [A]</t>
  </si>
  <si>
    <t>(2870-1600)*1,9 = 2413,000 [A]</t>
  </si>
  <si>
    <t>Komunikace km 0,098 - KÚ</t>
  </si>
  <si>
    <t>SO 101</t>
  </si>
  <si>
    <t>Vodovod – 0,098-KÚ včetně VRN</t>
  </si>
  <si>
    <t>Vodovod – 0-0,098 - včetně VRN</t>
  </si>
  <si>
    <t>Odvodnění – 0-0,098</t>
  </si>
  <si>
    <t>Odvodnění – 0,098-KÚ</t>
  </si>
  <si>
    <t>Splašková kanalizace – 0-0,098</t>
  </si>
  <si>
    <t>Splašková kanalizace – 0,098-KÚ</t>
  </si>
  <si>
    <t>Venkovní lampa  5400lm, 35W</t>
  </si>
  <si>
    <t>Venkovní lampa 1850lm, 14,2W</t>
  </si>
  <si>
    <t>Venkovní lampa 8600lm  54W</t>
  </si>
  <si>
    <t>Venkovní lampa 11000lm, 72W</t>
  </si>
  <si>
    <t>Venkovní lampa 1100 lm  8,9W</t>
  </si>
  <si>
    <t>Venkovní lampa 5400lm, 35W</t>
  </si>
  <si>
    <t>SO 402</t>
  </si>
  <si>
    <t>Kabelovod</t>
  </si>
  <si>
    <t>{a55cd52c-03a0-4afb-a7fb-b7c3bfab1879}</t>
  </si>
  <si>
    <t>SO 402 - Kabelovod</t>
  </si>
  <si>
    <t>Uchazeč: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</si>
  <si>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</si>
  <si>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</si>
  <si>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</si>
  <si>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-708021333</t>
  </si>
  <si>
    <t>"Multikanál"</t>
  </si>
  <si>
    <t>"(průměrná hloubka výkopu * délka kanálu * šířka výkopu) * zastoupení třídy těžitelnosti"</t>
  </si>
  <si>
    <t>"MK-1" (0.5*510.1*0.7)*0.33</t>
  </si>
  <si>
    <t>"MK-2" (0.5*5.2*0.7)*0.33</t>
  </si>
  <si>
    <t>"MK-3" (0.5*5.1*0.7)*0.33</t>
  </si>
  <si>
    <t>"MK-4" (0.5*16.5*0.7)*0.33</t>
  </si>
  <si>
    <t>"MK-5" (0.5*19.7*0.7)*0.33</t>
  </si>
  <si>
    <t>"MK-6" (0.5*3.7*0.7)*0.33</t>
  </si>
  <si>
    <t>"Kabelové komory"</t>
  </si>
  <si>
    <t>"(rozšíření výkopu v místě komory * průměrná hloubka komory + zahloubení výkopu v místě komory) * počet komor* zastoupení třídy těžitelnosti"</t>
  </si>
  <si>
    <t>"Typ D" ((1.95*(1.65-0.7))*0.7+1.95*1.65*0.1)*6*0.33</t>
  </si>
  <si>
    <t>"Typ E" ((1.65*(1.65-0.7))*0.7+1.65*1.65*0.1)*5*0.33</t>
  </si>
  <si>
    <t>-671885631</t>
  </si>
  <si>
    <t>"MK-1" (0.5*510.1*0.7)*0.5</t>
  </si>
  <si>
    <t>"MK-2" (0.5*5.2*0.7)*0.5</t>
  </si>
  <si>
    <t>"MK-3" (0.5*5.1*0.7)*0.5</t>
  </si>
  <si>
    <t>"MK-4" (0.5*16.5*0.7)*0.5</t>
  </si>
  <si>
    <t>"MK-5" (0.5*19.7*0.7)*0.5</t>
  </si>
  <si>
    <t>"MK-6" (0.5*3.7*0.7)*0.5</t>
  </si>
  <si>
    <t>"Typ D" ((1.95*(1.65-0.7))*0.7+1.95*1.65*0.1)*6*0.5</t>
  </si>
  <si>
    <t>"Typ E" ((1.65*(1.65-0.7))*0.7+1.65*1.65*0.1)*5*0.5</t>
  </si>
  <si>
    <t>473328812</t>
  </si>
  <si>
    <t>"MK-1" (0.5*510.1*0.7)*0.17</t>
  </si>
  <si>
    <t>"MK-2" (0.5*5.2*0.7)*0.17</t>
  </si>
  <si>
    <t>"MK-3" (0.5*5.1*0.7)*0.17</t>
  </si>
  <si>
    <t>"MK-4" (0.5*16.5*0.7)*0.17</t>
  </si>
  <si>
    <t>"MK-5" (0.5*19.7*0.7)*0.17</t>
  </si>
  <si>
    <t>"MK-6" (0.5*3.7*0.7)*0.17</t>
  </si>
  <si>
    <t>"Typ D" ((1.95*(1.65-0.7))*0.7+1.95*1.65*0.1)*6*0.17</t>
  </si>
  <si>
    <t>"Typ E" ((1.65*(1.65-0.7))*0.7+1.65*1.65*0.1)*5*0.17</t>
  </si>
  <si>
    <t>-1095951717</t>
  </si>
  <si>
    <t>70,18+106,335 "výkopek na mezidepo 1-3</t>
  </si>
  <si>
    <t>113,741 "štěrkopísek obsyp</t>
  </si>
  <si>
    <t>57,462/1,8 "lože</t>
  </si>
  <si>
    <t>2068689515</t>
  </si>
  <si>
    <t>2029439471</t>
  </si>
  <si>
    <t>-1216474733</t>
  </si>
  <si>
    <t>3*176,515</t>
  </si>
  <si>
    <t>-1740202330</t>
  </si>
  <si>
    <t>-1572032951</t>
  </si>
  <si>
    <t>3*36,152</t>
  </si>
  <si>
    <t>-180970853</t>
  </si>
  <si>
    <t>223097379</t>
  </si>
  <si>
    <t>796159927</t>
  </si>
  <si>
    <t>118,144444444444*1,8 'Přepočtené koeficientem množství</t>
  </si>
  <si>
    <t>2070812005</t>
  </si>
  <si>
    <t>2142678765</t>
  </si>
  <si>
    <t>"(délka kabelovodu * výška obsypu * šířka výkopu) - (objem kabelovodu) "</t>
  </si>
  <si>
    <t>563.7*0.5*0.7-0.385*0.385*563.7</t>
  </si>
  <si>
    <t>58337302</t>
  </si>
  <si>
    <t>štěrkopísek frakce 0/16</t>
  </si>
  <si>
    <t>599477651</t>
  </si>
  <si>
    <t>113,741*1,8 'Přepočtené koeficientem množství</t>
  </si>
  <si>
    <t>-1459047471</t>
  </si>
  <si>
    <t>"(délka kabelovodu * výška podsypu * šířka výkopu)"</t>
  </si>
  <si>
    <t>(563.7-21)*0.08*0.7</t>
  </si>
  <si>
    <t>-1470520862</t>
  </si>
  <si>
    <t>23*0.1*0.7</t>
  </si>
  <si>
    <t>-2090339795</t>
  </si>
  <si>
    <t>"Typ D" (1.95*1.65*0.1)*6</t>
  </si>
  <si>
    <t>"Typ E" (1.65*1.65*0.1)*5</t>
  </si>
  <si>
    <t>801069262</t>
  </si>
  <si>
    <t>(563.7-21)*0.08*2</t>
  </si>
  <si>
    <t>-1434477992</t>
  </si>
  <si>
    <t>"Typ D" (((1.95+1.6)*2)*0.1)*6</t>
  </si>
  <si>
    <t>"Typ E" (((1.65+1.65)*2)*0.1)*5</t>
  </si>
  <si>
    <t>-511035570</t>
  </si>
  <si>
    <t>"objem podkladních desek * tonáž"</t>
  </si>
  <si>
    <t>"komory" 3.29*0.00308</t>
  </si>
  <si>
    <t>"kabelovod" 1.61*0.00308</t>
  </si>
  <si>
    <t>-795698532</t>
  </si>
  <si>
    <t>-898806385</t>
  </si>
  <si>
    <t>-847902936</t>
  </si>
  <si>
    <t>Práce a dodávky M</t>
  </si>
  <si>
    <t>22-M</t>
  </si>
  <si>
    <t>Montáže technologických zařízení pro dopravní stavby</t>
  </si>
  <si>
    <t>220060401</t>
  </si>
  <si>
    <t>Montáž těsnění neobsazených otvorů kabelovodu beztlakového zátkou těsněnou lepidlem</t>
  </si>
  <si>
    <t>-1764422122</t>
  </si>
  <si>
    <t>https://podminky.urs.cz/item/CS_URS_2023_02/220060401</t>
  </si>
  <si>
    <t>RMAT0002</t>
  </si>
  <si>
    <t>těsnění kabelovodu - Univerzální koncovka pro 9-ti otvorové Multikanály 368x368x124 mm</t>
  </si>
  <si>
    <t>128</t>
  </si>
  <si>
    <t>-1996662302</t>
  </si>
  <si>
    <t>46-M</t>
  </si>
  <si>
    <t>Zemní práce při extr.mont.pracích</t>
  </si>
  <si>
    <t>460771113</t>
  </si>
  <si>
    <t>Osazení kabelových multikanálů plastových včetně osazení, utěsnění a spojování do rýhy, bez výkopových prací bez obsypu 9-cestných</t>
  </si>
  <si>
    <t>-251215452</t>
  </si>
  <si>
    <t>https://podminky.urs.cz/item/CS_URS_2023_02/460771113</t>
  </si>
  <si>
    <t>RMAT0001</t>
  </si>
  <si>
    <t>multikanál plastový</t>
  </si>
  <si>
    <t>-1830000383</t>
  </si>
  <si>
    <t>518 "Základní 9-ti otvorový díl 385x385x1118 mm</t>
  </si>
  <si>
    <t>14 "9-ti ohybový díl 3°/300 mm</t>
  </si>
  <si>
    <t>460841113</t>
  </si>
  <si>
    <t>Osazení kabelové komory z plastů pro běžné zatížení komorového dílu z polyetylénu HDPE půdorysné plochy do 1,0 m2, světlé hloubky přes 0,7 do 1,0 m</t>
  </si>
  <si>
    <t>-592618221</t>
  </si>
  <si>
    <t>https://podminky.urs.cz/item/CS_URS_2023_02/460841113</t>
  </si>
  <si>
    <t>RMAT0003</t>
  </si>
  <si>
    <t>komora kabelová plastová</t>
  </si>
  <si>
    <t>1250782088</t>
  </si>
  <si>
    <t>460841114</t>
  </si>
  <si>
    <t>Osazení kabelové komory z plastů pro běžné zatížení komorového dílu z polyetylénu HDPE půdorysné plochy do 1,0 m2, světlé hloubky přes 1,0 do 1,3 m</t>
  </si>
  <si>
    <t>-74200420</t>
  </si>
  <si>
    <t>https://podminky.urs.cz/item/CS_URS_2023_02/460841114</t>
  </si>
  <si>
    <t>RMAT0008</t>
  </si>
  <si>
    <t>-129556485</t>
  </si>
  <si>
    <t>460841141</t>
  </si>
  <si>
    <t>Osazení kabelové komory z plastů pro běžné zatížení víka z polyetylénu HDPE půdorysné plochy do 1,0 m2</t>
  </si>
  <si>
    <t>1210570649</t>
  </si>
  <si>
    <t>https://podminky.urs.cz/item/CS_URS_2023_02/460841141</t>
  </si>
  <si>
    <t>RMAT0004</t>
  </si>
  <si>
    <t>víko kabelové komory plastové</t>
  </si>
  <si>
    <t>-718568329</t>
  </si>
  <si>
    <t>460841142</t>
  </si>
  <si>
    <t>Osazení kabelové komory z plastů pro běžné zatížení víka z polyetylénu HDPE půdorysné plochy přes 1,0 do 1,5 m2</t>
  </si>
  <si>
    <t>-592609225</t>
  </si>
  <si>
    <t>https://podminky.urs.cz/item/CS_URS_2023_02/460841142</t>
  </si>
  <si>
    <t>RMAT0005</t>
  </si>
  <si>
    <t>-1366524359</t>
  </si>
  <si>
    <t>460841151</t>
  </si>
  <si>
    <t>Osazení kabelové komory z plastů pro běžné zatížení víka z oceli, litiny nebo betonu půdorysné plochy do 1,0 m2</t>
  </si>
  <si>
    <t>-658809619</t>
  </si>
  <si>
    <t>https://podminky.urs.cz/item/CS_URS_2023_02/460841151</t>
  </si>
  <si>
    <t>RMAT0006</t>
  </si>
  <si>
    <t>víko kabelové komory ocelové</t>
  </si>
  <si>
    <t>465093820</t>
  </si>
  <si>
    <t>460841152</t>
  </si>
  <si>
    <t>Osazení kabelové komory z plastů pro běžné zatížení víka z oceli, litiny nebo betonu půdorysné plochy přes 1,0 do 1,5 m2</t>
  </si>
  <si>
    <t>-438764604</t>
  </si>
  <si>
    <t>https://podminky.urs.cz/item/CS_URS_2023_02/460841152</t>
  </si>
  <si>
    <t>RMAT0007</t>
  </si>
  <si>
    <t>-1289342998</t>
  </si>
  <si>
    <t>460841811</t>
  </si>
  <si>
    <t>Osazení kabelové komory z plastů vyříznutí otvoru ve stěně kabelové komory HDPE</t>
  </si>
  <si>
    <t>-525114151</t>
  </si>
  <si>
    <t>https://podminky.urs.cz/item/CS_URS_2023_02/460841811</t>
  </si>
  <si>
    <t>460841811S</t>
  </si>
  <si>
    <t>Řezání kabelovodu 385*385mm</t>
  </si>
  <si>
    <t>-1137893148</t>
  </si>
  <si>
    <t>469981111</t>
  </si>
  <si>
    <t>Přesun hmot pro pomocné stavební práce při elektromontážích dopravní vzdálenost do 1 000 m</t>
  </si>
  <si>
    <t>1121928277</t>
  </si>
  <si>
    <t>https://podminky.urs.cz/item/CS_URS_2023_02/469981111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</si>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</sst>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.0&quot; Kč&quot;"/>
    <numFmt numFmtId="169" formatCode="[$-405]d/m/yyyy"/>
    <numFmt numFmtId="170" formatCode="#\ ###\ ###\ ###\ ##0.00"/>
    <numFmt numFmtId="171" formatCode="#\ ###\ ###\ ###\ ##0.000"/>
  </numFmts>
  <fonts count="8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Tahoma"/>
      <family val="2"/>
      <charset val="238"/>
    </font>
    <font>
      <sz val="11"/>
      <name val="Calibri"/>
      <family val="2"/>
      <scheme val="minor"/>
    </font>
    <font>
      <sz val="10"/>
      <color rgb="FFFFFFFF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8"/>
      <color rgb="FFFF0000"/>
      <name val="Arial CE"/>
      <family val="2"/>
    </font>
    <font>
      <b/>
      <sz val="12"/>
      <color rgb="FF003366"/>
      <name val="Arial CE"/>
      <charset val="238"/>
    </font>
    <font>
      <b/>
      <sz val="10"/>
      <color rgb="FF003366"/>
      <name val="Arial CE"/>
      <charset val="238"/>
    </font>
    <font>
      <b/>
      <sz val="8"/>
      <color rgb="FF003366"/>
      <name val="Arial CE"/>
      <charset val="238"/>
    </font>
    <font>
      <b/>
      <sz val="8"/>
      <color rgb="FF800080"/>
      <name val="Arial CE"/>
      <charset val="238"/>
    </font>
    <font>
      <b/>
      <sz val="8"/>
      <color rgb="FF505050"/>
      <name val="Arial CE"/>
      <charset val="238"/>
    </font>
    <font>
      <b/>
      <sz val="8"/>
      <color rgb="FFFF0000"/>
      <name val="Arial CE"/>
      <charset val="238"/>
    </font>
    <font>
      <sz val="8"/>
      <color theme="0" tint="-0.249977111117893"/>
      <name val="Arial CE"/>
    </font>
    <font>
      <sz val="12"/>
      <color theme="0" tint="-0.249977111117893"/>
      <name val="Arial CE"/>
    </font>
    <font>
      <sz val="10"/>
      <color theme="0" tint="-0.249977111117893"/>
      <name val="Arial CE"/>
    </font>
    <font>
      <sz val="8"/>
      <name val="Arial CE"/>
      <family val="2"/>
    </font>
    <font>
      <sz val="8"/>
      <color rgb="FFFF0000"/>
      <name val="Arial CE"/>
      <charset val="238"/>
    </font>
    <font>
      <sz val="10"/>
      <color rgb="FFFFC000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color rgb="FFD9D9D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41A5BD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7" fillId="0" borderId="0" applyNumberFormat="0" applyFill="0" applyBorder="0" applyAlignment="0" applyProtection="0"/>
    <xf numFmtId="0" fontId="38" fillId="0" borderId="1"/>
    <xf numFmtId="0" fontId="39" fillId="0" borderId="1" applyProtection="0"/>
    <xf numFmtId="0" fontId="39" fillId="0" borderId="1" applyProtection="0"/>
    <xf numFmtId="0" fontId="44" fillId="0" borderId="1"/>
    <xf numFmtId="0" fontId="39" fillId="0" borderId="1" applyProtection="0"/>
    <xf numFmtId="0" fontId="50" fillId="0" borderId="1"/>
    <xf numFmtId="0" fontId="51" fillId="0" borderId="1"/>
    <xf numFmtId="0" fontId="48" fillId="0" borderId="1">
      <alignment horizontal="right" vertical="center" wrapText="1"/>
    </xf>
    <xf numFmtId="0" fontId="52" fillId="0" borderId="1">
      <alignment horizontal="center" vertical="center" wrapText="1"/>
    </xf>
    <xf numFmtId="0" fontId="48" fillId="0" borderId="1">
      <alignment horizontal="right" vertical="center" wrapText="1"/>
    </xf>
    <xf numFmtId="0" fontId="53" fillId="0" borderId="1">
      <alignment horizontal="left" vertical="center" wrapText="1"/>
    </xf>
    <xf numFmtId="0" fontId="55" fillId="0" borderId="1">
      <alignment horizontal="left" vertical="center" wrapText="1"/>
    </xf>
    <xf numFmtId="0" fontId="66" fillId="0" borderId="1"/>
    <xf numFmtId="0" fontId="37" fillId="0" borderId="1" applyNumberFormat="0" applyFill="0" applyBorder="0" applyAlignment="0" applyProtection="0"/>
    <xf numFmtId="0" fontId="66" fillId="0" borderId="1"/>
    <xf numFmtId="0" fontId="66" fillId="0" borderId="1"/>
    <xf numFmtId="0" fontId="66" fillId="0" borderId="1"/>
    <xf numFmtId="0" fontId="66" fillId="0" borderId="1"/>
    <xf numFmtId="0" fontId="66" fillId="0" borderId="1"/>
    <xf numFmtId="0" fontId="66" fillId="0" borderId="1"/>
    <xf numFmtId="0" fontId="71" fillId="0" borderId="1">
      <alignment horizontal="center" vertical="center" wrapText="1"/>
    </xf>
    <xf numFmtId="0" fontId="72" fillId="0" borderId="1">
      <alignment horizontal="left" vertical="center" wrapText="1"/>
    </xf>
    <xf numFmtId="0" fontId="73" fillId="0" borderId="1">
      <alignment horizontal="left" vertical="center" wrapText="1"/>
    </xf>
    <xf numFmtId="0" fontId="75" fillId="0" borderId="1">
      <alignment horizontal="right" vertical="center" wrapText="1"/>
    </xf>
    <xf numFmtId="0" fontId="75" fillId="0" borderId="1">
      <alignment horizontal="right" vertical="center" wrapText="1"/>
    </xf>
  </cellStyleXfs>
  <cellXfs count="6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0" fontId="38" fillId="0" borderId="1" xfId="2"/>
    <xf numFmtId="0" fontId="38" fillId="0" borderId="27" xfId="2" applyBorder="1" applyProtection="1">
      <protection locked="0"/>
    </xf>
    <xf numFmtId="0" fontId="39" fillId="0" borderId="28" xfId="3" applyBorder="1" applyAlignment="1">
      <alignment horizontal="right"/>
    </xf>
    <xf numFmtId="0" fontId="39" fillId="0" borderId="28" xfId="3" applyBorder="1"/>
    <xf numFmtId="0" fontId="39" fillId="0" borderId="29" xfId="3" applyBorder="1"/>
    <xf numFmtId="0" fontId="38" fillId="0" borderId="30" xfId="2" applyBorder="1" applyProtection="1">
      <protection locked="0"/>
    </xf>
    <xf numFmtId="0" fontId="40" fillId="0" borderId="1" xfId="3" applyFont="1" applyAlignment="1">
      <alignment horizontal="right"/>
    </xf>
    <xf numFmtId="0" fontId="40" fillId="0" borderId="1" xfId="3" applyFont="1"/>
    <xf numFmtId="0" fontId="40" fillId="0" borderId="31" xfId="3" applyFont="1" applyBorder="1"/>
    <xf numFmtId="0" fontId="38" fillId="0" borderId="32" xfId="2" applyBorder="1" applyProtection="1">
      <protection locked="0"/>
    </xf>
    <xf numFmtId="0" fontId="39" fillId="0" borderId="33" xfId="3" applyBorder="1" applyAlignment="1">
      <alignment horizontal="right"/>
    </xf>
    <xf numFmtId="0" fontId="39" fillId="0" borderId="33" xfId="3" applyBorder="1"/>
    <xf numFmtId="0" fontId="39" fillId="0" borderId="34" xfId="3" applyBorder="1"/>
    <xf numFmtId="0" fontId="41" fillId="0" borderId="35" xfId="2" applyFont="1" applyBorder="1" applyProtection="1">
      <protection locked="0"/>
    </xf>
    <xf numFmtId="0" fontId="39" fillId="0" borderId="36" xfId="3" applyBorder="1" applyAlignment="1">
      <alignment horizontal="left"/>
    </xf>
    <xf numFmtId="0" fontId="39" fillId="0" borderId="38" xfId="3" applyBorder="1"/>
    <xf numFmtId="0" fontId="40" fillId="0" borderId="36" xfId="3" applyFont="1" applyBorder="1" applyAlignment="1">
      <alignment horizontal="center"/>
    </xf>
    <xf numFmtId="0" fontId="40" fillId="0" borderId="39" xfId="3" applyFont="1" applyBorder="1"/>
    <xf numFmtId="0" fontId="35" fillId="0" borderId="40" xfId="2" applyFont="1" applyBorder="1" applyAlignment="1" applyProtection="1">
      <alignment horizontal="left" wrapText="1"/>
      <protection locked="0"/>
    </xf>
    <xf numFmtId="0" fontId="38" fillId="0" borderId="41" xfId="2" applyBorder="1" applyAlignment="1" applyProtection="1">
      <alignment wrapText="1"/>
      <protection locked="0"/>
    </xf>
    <xf numFmtId="0" fontId="39" fillId="0" borderId="41" xfId="2" applyFont="1" applyBorder="1" applyProtection="1">
      <protection locked="0"/>
    </xf>
    <xf numFmtId="0" fontId="39" fillId="0" borderId="41" xfId="2" applyFont="1" applyBorder="1"/>
    <xf numFmtId="0" fontId="39" fillId="0" borderId="41" xfId="2" applyFont="1" applyBorder="1" applyAlignment="1">
      <alignment horizontal="left" wrapText="1"/>
    </xf>
    <xf numFmtId="0" fontId="39" fillId="0" borderId="42" xfId="2" applyFont="1" applyBorder="1" applyAlignment="1">
      <alignment horizontal="left" wrapText="1"/>
    </xf>
    <xf numFmtId="0" fontId="39" fillId="0" borderId="41" xfId="2" applyFont="1" applyBorder="1" applyAlignment="1">
      <alignment horizontal="center" wrapText="1"/>
    </xf>
    <xf numFmtId="0" fontId="39" fillId="0" borderId="43" xfId="2" applyFont="1" applyBorder="1" applyProtection="1">
      <protection locked="0"/>
    </xf>
    <xf numFmtId="0" fontId="39" fillId="0" borderId="42" xfId="2" applyFont="1" applyBorder="1" applyProtection="1">
      <protection locked="0"/>
    </xf>
    <xf numFmtId="0" fontId="41" fillId="0" borderId="40" xfId="2" applyFont="1" applyBorder="1" applyAlignment="1" applyProtection="1">
      <alignment horizontal="left" wrapText="1"/>
      <protection locked="0"/>
    </xf>
    <xf numFmtId="0" fontId="39" fillId="0" borderId="41" xfId="2" applyFont="1" applyBorder="1" applyAlignment="1">
      <alignment horizontal="right"/>
    </xf>
    <xf numFmtId="0" fontId="39" fillId="0" borderId="41" xfId="2" applyFont="1" applyBorder="1" applyAlignment="1">
      <alignment horizontal="left"/>
    </xf>
    <xf numFmtId="0" fontId="39" fillId="0" borderId="44" xfId="2" applyFont="1" applyBorder="1" applyAlignment="1" applyProtection="1">
      <alignment horizontal="left" wrapText="1"/>
      <protection locked="0"/>
    </xf>
    <xf numFmtId="0" fontId="39" fillId="0" borderId="41" xfId="2" applyFont="1" applyBorder="1" applyAlignment="1">
      <alignment horizontal="center"/>
    </xf>
    <xf numFmtId="0" fontId="41" fillId="0" borderId="40" xfId="2" applyFont="1" applyBorder="1" applyProtection="1">
      <protection locked="0"/>
    </xf>
    <xf numFmtId="0" fontId="39" fillId="0" borderId="42" xfId="2" applyFont="1" applyBorder="1" applyAlignment="1">
      <alignment wrapText="1"/>
    </xf>
    <xf numFmtId="0" fontId="39" fillId="0" borderId="45" xfId="2" applyFont="1" applyBorder="1" applyAlignment="1">
      <alignment wrapText="1"/>
    </xf>
    <xf numFmtId="0" fontId="39" fillId="0" borderId="42" xfId="2" applyFont="1" applyBorder="1" applyAlignment="1">
      <alignment horizontal="left"/>
    </xf>
    <xf numFmtId="0" fontId="41" fillId="0" borderId="40" xfId="2" applyFont="1" applyBorder="1" applyAlignment="1" applyProtection="1">
      <alignment wrapText="1"/>
      <protection locked="0"/>
    </xf>
    <xf numFmtId="0" fontId="39" fillId="0" borderId="42" xfId="2" applyFont="1" applyBorder="1"/>
    <xf numFmtId="0" fontId="42" fillId="0" borderId="40" xfId="2" applyFont="1" applyBorder="1" applyAlignment="1" applyProtection="1">
      <alignment wrapText="1"/>
      <protection locked="0"/>
    </xf>
    <xf numFmtId="0" fontId="39" fillId="0" borderId="26" xfId="2" applyFont="1" applyBorder="1" applyAlignment="1">
      <alignment horizontal="left" wrapText="1"/>
    </xf>
    <xf numFmtId="0" fontId="42" fillId="0" borderId="40" xfId="2" applyFont="1" applyBorder="1" applyProtection="1">
      <protection locked="0"/>
    </xf>
    <xf numFmtId="0" fontId="39" fillId="0" borderId="41" xfId="2" applyFont="1" applyBorder="1" applyAlignment="1" applyProtection="1">
      <alignment horizontal="right"/>
      <protection locked="0"/>
    </xf>
    <xf numFmtId="0" fontId="39" fillId="0" borderId="41" xfId="2" applyFont="1" applyBorder="1" applyAlignment="1" applyProtection="1">
      <alignment horizontal="left"/>
      <protection locked="0"/>
    </xf>
    <xf numFmtId="0" fontId="39" fillId="0" borderId="41" xfId="2" applyFont="1" applyBorder="1" applyAlignment="1" applyProtection="1">
      <alignment horizontal="left" wrapText="1"/>
      <protection locked="0"/>
    </xf>
    <xf numFmtId="0" fontId="39" fillId="0" borderId="26" xfId="2" applyFont="1" applyBorder="1" applyAlignment="1" applyProtection="1">
      <alignment horizontal="center"/>
      <protection locked="0"/>
    </xf>
    <xf numFmtId="0" fontId="39" fillId="0" borderId="46" xfId="2" applyFont="1" applyBorder="1" applyProtection="1">
      <protection locked="0"/>
    </xf>
    <xf numFmtId="0" fontId="40" fillId="0" borderId="46" xfId="2" applyFont="1" applyBorder="1" applyProtection="1">
      <protection locked="0"/>
    </xf>
    <xf numFmtId="0" fontId="38" fillId="0" borderId="41" xfId="2" applyBorder="1" applyProtection="1">
      <protection locked="0"/>
    </xf>
    <xf numFmtId="0" fontId="38" fillId="0" borderId="42" xfId="2" applyBorder="1" applyProtection="1">
      <protection locked="0"/>
    </xf>
    <xf numFmtId="0" fontId="38" fillId="0" borderId="44" xfId="2" applyBorder="1" applyAlignment="1" applyProtection="1">
      <alignment wrapText="1"/>
      <protection locked="0"/>
    </xf>
    <xf numFmtId="0" fontId="39" fillId="0" borderId="42" xfId="2" applyFont="1" applyBorder="1" applyAlignment="1" applyProtection="1">
      <alignment horizontal="center"/>
      <protection locked="0"/>
    </xf>
    <xf numFmtId="0" fontId="38" fillId="0" borderId="43" xfId="2" applyBorder="1" applyProtection="1">
      <protection locked="0"/>
    </xf>
    <xf numFmtId="0" fontId="38" fillId="0" borderId="42" xfId="2" applyBorder="1" applyAlignment="1" applyProtection="1">
      <alignment wrapText="1"/>
      <protection locked="0"/>
    </xf>
    <xf numFmtId="0" fontId="39" fillId="0" borderId="26" xfId="3" applyBorder="1" applyProtection="1">
      <protection locked="0"/>
    </xf>
    <xf numFmtId="0" fontId="39" fillId="0" borderId="45" xfId="3" applyBorder="1" applyAlignment="1" applyProtection="1">
      <alignment wrapText="1"/>
      <protection locked="0"/>
    </xf>
    <xf numFmtId="0" fontId="39" fillId="0" borderId="41" xfId="2" applyFont="1" applyBorder="1" applyAlignment="1" applyProtection="1">
      <alignment wrapText="1"/>
      <protection locked="0"/>
    </xf>
    <xf numFmtId="0" fontId="39" fillId="0" borderId="41" xfId="2" applyFont="1" applyBorder="1" applyAlignment="1">
      <alignment wrapText="1"/>
    </xf>
    <xf numFmtId="0" fontId="35" fillId="0" borderId="30" xfId="2" applyFont="1" applyBorder="1" applyAlignment="1" applyProtection="1">
      <alignment horizontal="left" wrapText="1"/>
      <protection locked="0"/>
    </xf>
    <xf numFmtId="0" fontId="39" fillId="0" borderId="25" xfId="2" applyFont="1" applyBorder="1" applyAlignment="1">
      <alignment wrapText="1"/>
    </xf>
    <xf numFmtId="0" fontId="39" fillId="0" borderId="1" xfId="2" applyFont="1" applyAlignment="1">
      <alignment wrapText="1"/>
    </xf>
    <xf numFmtId="0" fontId="39" fillId="0" borderId="47" xfId="2" applyFont="1" applyBorder="1" applyAlignment="1">
      <alignment horizontal="center"/>
    </xf>
    <xf numFmtId="0" fontId="43" fillId="0" borderId="42" xfId="2" applyFont="1" applyBorder="1" applyAlignment="1" applyProtection="1">
      <alignment wrapText="1"/>
      <protection locked="0"/>
    </xf>
    <xf numFmtId="0" fontId="38" fillId="0" borderId="41" xfId="2" applyBorder="1" applyAlignment="1" applyProtection="1">
      <alignment horizontal="center" wrapText="1"/>
      <protection locked="0"/>
    </xf>
    <xf numFmtId="0" fontId="39" fillId="0" borderId="42" xfId="2" applyFont="1" applyBorder="1" applyAlignment="1" applyProtection="1">
      <alignment horizontal="left" wrapText="1"/>
      <protection locked="0"/>
    </xf>
    <xf numFmtId="0" fontId="38" fillId="0" borderId="41" xfId="2" applyBorder="1" applyAlignment="1" applyProtection="1">
      <alignment horizontal="center"/>
      <protection locked="0"/>
    </xf>
    <xf numFmtId="0" fontId="39" fillId="0" borderId="42" xfId="2" applyFont="1" applyBorder="1" applyAlignment="1" applyProtection="1">
      <alignment wrapText="1"/>
      <protection locked="0"/>
    </xf>
    <xf numFmtId="0" fontId="39" fillId="0" borderId="41" xfId="2" applyFont="1" applyBorder="1" applyAlignment="1" applyProtection="1">
      <alignment horizontal="center"/>
      <protection locked="0"/>
    </xf>
    <xf numFmtId="0" fontId="40" fillId="0" borderId="43" xfId="2" applyFont="1" applyBorder="1" applyProtection="1">
      <protection locked="0"/>
    </xf>
    <xf numFmtId="0" fontId="44" fillId="0" borderId="41" xfId="2" applyFont="1" applyBorder="1" applyAlignment="1">
      <alignment wrapText="1"/>
    </xf>
    <xf numFmtId="0" fontId="39" fillId="0" borderId="48" xfId="3" applyBorder="1" applyAlignment="1" applyProtection="1">
      <alignment horizontal="center"/>
      <protection locked="0"/>
    </xf>
    <xf numFmtId="0" fontId="45" fillId="0" borderId="43" xfId="2" applyFont="1" applyBorder="1" applyProtection="1">
      <protection locked="0"/>
    </xf>
    <xf numFmtId="0" fontId="35" fillId="0" borderId="40" xfId="2" applyFont="1" applyBorder="1" applyAlignment="1" applyProtection="1">
      <alignment horizontal="left"/>
      <protection locked="0"/>
    </xf>
    <xf numFmtId="0" fontId="39" fillId="0" borderId="41" xfId="4" applyBorder="1" applyAlignment="1">
      <alignment horizontal="center"/>
    </xf>
    <xf numFmtId="0" fontId="39" fillId="0" borderId="45" xfId="2" applyFont="1" applyBorder="1" applyAlignment="1" applyProtection="1">
      <alignment horizontal="left" wrapText="1"/>
      <protection locked="0"/>
    </xf>
    <xf numFmtId="0" fontId="39" fillId="0" borderId="41" xfId="3" applyBorder="1" applyAlignment="1" applyProtection="1">
      <alignment horizontal="center" wrapText="1"/>
      <protection locked="0"/>
    </xf>
    <xf numFmtId="0" fontId="39" fillId="0" borderId="42" xfId="3" applyBorder="1" applyProtection="1">
      <protection locked="0"/>
    </xf>
    <xf numFmtId="0" fontId="39" fillId="0" borderId="44" xfId="3" applyBorder="1" applyAlignment="1">
      <alignment horizontal="center"/>
    </xf>
    <xf numFmtId="0" fontId="39" fillId="0" borderId="41" xfId="3" applyBorder="1" applyAlignment="1" applyProtection="1">
      <alignment wrapText="1"/>
      <protection locked="0"/>
    </xf>
    <xf numFmtId="0" fontId="39" fillId="0" borderId="41" xfId="3" applyBorder="1" applyAlignment="1">
      <alignment horizontal="center"/>
    </xf>
    <xf numFmtId="0" fontId="39" fillId="0" borderId="45" xfId="2" applyFont="1" applyBorder="1" applyAlignment="1" applyProtection="1">
      <alignment wrapText="1"/>
      <protection locked="0"/>
    </xf>
    <xf numFmtId="0" fontId="39" fillId="0" borderId="42" xfId="2" applyFont="1" applyBorder="1" applyAlignment="1" applyProtection="1">
      <alignment horizontal="left"/>
      <protection locked="0"/>
    </xf>
    <xf numFmtId="0" fontId="39" fillId="0" borderId="49" xfId="2" applyFont="1" applyBorder="1" applyAlignment="1" applyProtection="1">
      <alignment horizontal="center"/>
      <protection locked="0"/>
    </xf>
    <xf numFmtId="0" fontId="39" fillId="0" borderId="1" xfId="2" applyFont="1" applyAlignment="1" applyProtection="1">
      <alignment wrapText="1"/>
      <protection locked="0"/>
    </xf>
    <xf numFmtId="0" fontId="39" fillId="0" borderId="41" xfId="2" applyFont="1" applyBorder="1" applyAlignment="1" applyProtection="1">
      <alignment horizontal="center" wrapText="1"/>
      <protection locked="0"/>
    </xf>
    <xf numFmtId="0" fontId="39" fillId="0" borderId="50" xfId="2" applyFont="1" applyBorder="1" applyAlignment="1" applyProtection="1">
      <alignment horizontal="left" wrapText="1"/>
      <protection locked="0"/>
    </xf>
    <xf numFmtId="0" fontId="39" fillId="0" borderId="51" xfId="2" applyFont="1" applyBorder="1" applyAlignment="1" applyProtection="1">
      <alignment horizontal="center"/>
      <protection locked="0"/>
    </xf>
    <xf numFmtId="0" fontId="41" fillId="0" borderId="40" xfId="2" applyFont="1" applyBorder="1" applyAlignment="1" applyProtection="1">
      <alignment horizontal="right"/>
      <protection locked="0"/>
    </xf>
    <xf numFmtId="0" fontId="42" fillId="0" borderId="30" xfId="2" applyFont="1" applyBorder="1" applyProtection="1">
      <protection locked="0"/>
    </xf>
    <xf numFmtId="0" fontId="38" fillId="0" borderId="53" xfId="2" applyBorder="1" applyProtection="1">
      <protection locked="0"/>
    </xf>
    <xf numFmtId="0" fontId="38" fillId="0" borderId="33" xfId="2" applyBorder="1" applyAlignment="1" applyProtection="1">
      <alignment wrapText="1"/>
      <protection locked="0"/>
    </xf>
    <xf numFmtId="0" fontId="38" fillId="0" borderId="54" xfId="2" applyBorder="1" applyProtection="1">
      <protection locked="0"/>
    </xf>
    <xf numFmtId="0" fontId="35" fillId="0" borderId="55" xfId="2" applyFont="1" applyBorder="1" applyAlignment="1" applyProtection="1">
      <alignment horizontal="center" wrapText="1"/>
      <protection locked="0"/>
    </xf>
    <xf numFmtId="0" fontId="41" fillId="0" borderId="56" xfId="2" applyFont="1" applyBorder="1" applyAlignment="1" applyProtection="1">
      <alignment horizontal="center"/>
      <protection locked="0"/>
    </xf>
    <xf numFmtId="0" fontId="41" fillId="0" borderId="28" xfId="2" applyFont="1" applyBorder="1" applyAlignment="1" applyProtection="1">
      <alignment wrapText="1"/>
      <protection locked="0"/>
    </xf>
    <xf numFmtId="0" fontId="41" fillId="0" borderId="56" xfId="2" applyFont="1" applyBorder="1" applyProtection="1">
      <protection locked="0"/>
    </xf>
    <xf numFmtId="0" fontId="41" fillId="0" borderId="57" xfId="2" applyFont="1" applyBorder="1" applyProtection="1">
      <protection locked="0"/>
    </xf>
    <xf numFmtId="0" fontId="42" fillId="0" borderId="32" xfId="2" applyFont="1" applyBorder="1" applyProtection="1">
      <protection locked="0"/>
    </xf>
    <xf numFmtId="0" fontId="41" fillId="0" borderId="53" xfId="2" applyFont="1" applyBorder="1" applyProtection="1">
      <protection locked="0"/>
    </xf>
    <xf numFmtId="0" fontId="41" fillId="0" borderId="33" xfId="2" applyFont="1" applyBorder="1" applyAlignment="1" applyProtection="1">
      <alignment wrapText="1"/>
      <protection locked="0"/>
    </xf>
    <xf numFmtId="0" fontId="41" fillId="0" borderId="54" xfId="2" applyFont="1" applyBorder="1" applyProtection="1">
      <protection locked="0"/>
    </xf>
    <xf numFmtId="0" fontId="46" fillId="0" borderId="27" xfId="2" applyFont="1" applyBorder="1" applyAlignment="1" applyProtection="1">
      <alignment horizontal="right"/>
      <protection locked="0"/>
    </xf>
    <xf numFmtId="0" fontId="38" fillId="0" borderId="28" xfId="2" applyBorder="1" applyAlignment="1" applyProtection="1">
      <alignment wrapText="1"/>
      <protection locked="0"/>
    </xf>
    <xf numFmtId="0" fontId="38" fillId="0" borderId="29" xfId="2" applyBorder="1" applyAlignment="1" applyProtection="1">
      <alignment wrapText="1"/>
      <protection locked="0"/>
    </xf>
    <xf numFmtId="0" fontId="46" fillId="0" borderId="30" xfId="2" applyFont="1" applyBorder="1" applyAlignment="1" applyProtection="1">
      <alignment horizontal="right"/>
      <protection locked="0"/>
    </xf>
    <xf numFmtId="0" fontId="45" fillId="0" borderId="1" xfId="2" applyFont="1" applyAlignment="1" applyProtection="1">
      <alignment wrapText="1"/>
      <protection locked="0"/>
    </xf>
    <xf numFmtId="0" fontId="45" fillId="0" borderId="1" xfId="2" applyFont="1" applyProtection="1">
      <protection locked="0"/>
    </xf>
    <xf numFmtId="0" fontId="45" fillId="0" borderId="31" xfId="2" applyFont="1" applyBorder="1" applyAlignment="1" applyProtection="1">
      <alignment wrapText="1"/>
      <protection locked="0"/>
    </xf>
    <xf numFmtId="0" fontId="46" fillId="0" borderId="32" xfId="2" applyFont="1" applyBorder="1" applyAlignment="1" applyProtection="1">
      <alignment horizontal="right"/>
      <protection locked="0"/>
    </xf>
    <xf numFmtId="0" fontId="38" fillId="0" borderId="34" xfId="2" applyBorder="1" applyAlignment="1" applyProtection="1">
      <alignment wrapText="1"/>
      <protection locked="0"/>
    </xf>
    <xf numFmtId="0" fontId="46" fillId="0" borderId="60" xfId="2" applyFont="1" applyBorder="1" applyAlignment="1" applyProtection="1">
      <alignment horizontal="right"/>
      <protection locked="0"/>
    </xf>
    <xf numFmtId="0" fontId="39" fillId="0" borderId="56" xfId="2" applyFont="1" applyBorder="1" applyAlignment="1">
      <alignment wrapText="1"/>
    </xf>
    <xf numFmtId="0" fontId="39" fillId="0" borderId="37" xfId="2" applyFont="1" applyBorder="1" applyAlignment="1">
      <alignment horizontal="left" wrapText="1"/>
    </xf>
    <xf numFmtId="0" fontId="47" fillId="0" borderId="37" xfId="2" applyFont="1" applyBorder="1" applyAlignment="1">
      <alignment wrapText="1"/>
    </xf>
    <xf numFmtId="0" fontId="39" fillId="0" borderId="37" xfId="2" applyFont="1" applyBorder="1" applyAlignment="1">
      <alignment horizontal="center" wrapText="1"/>
    </xf>
    <xf numFmtId="0" fontId="39" fillId="0" borderId="61" xfId="5" applyFont="1" applyBorder="1" applyAlignment="1">
      <alignment wrapText="1"/>
    </xf>
    <xf numFmtId="0" fontId="38" fillId="0" borderId="41" xfId="2" applyBorder="1" applyAlignment="1">
      <alignment wrapText="1"/>
    </xf>
    <xf numFmtId="0" fontId="39" fillId="0" borderId="41" xfId="6" applyBorder="1" applyAlignment="1" applyProtection="1">
      <alignment horizontal="left" wrapText="1"/>
    </xf>
    <xf numFmtId="0" fontId="39" fillId="0" borderId="62" xfId="2" applyFont="1" applyBorder="1" applyAlignment="1">
      <alignment horizontal="center" wrapText="1"/>
    </xf>
    <xf numFmtId="0" fontId="39" fillId="0" borderId="43" xfId="5" applyFont="1" applyBorder="1" applyAlignment="1">
      <alignment wrapText="1"/>
    </xf>
    <xf numFmtId="0" fontId="47" fillId="0" borderId="41" xfId="2" applyFont="1" applyBorder="1" applyAlignment="1">
      <alignment wrapText="1"/>
    </xf>
    <xf numFmtId="0" fontId="39" fillId="0" borderId="45" xfId="2" applyFont="1" applyBorder="1" applyAlignment="1">
      <alignment horizontal="left" wrapText="1"/>
    </xf>
    <xf numFmtId="0" fontId="47" fillId="0" borderId="45" xfId="2" applyFont="1" applyBorder="1" applyAlignment="1">
      <alignment wrapText="1"/>
    </xf>
    <xf numFmtId="0" fontId="39" fillId="0" borderId="45" xfId="2" applyFont="1" applyBorder="1" applyAlignment="1">
      <alignment horizontal="center" wrapText="1"/>
    </xf>
    <xf numFmtId="0" fontId="40" fillId="0" borderId="46" xfId="5" applyFont="1" applyBorder="1"/>
    <xf numFmtId="0" fontId="39" fillId="0" borderId="64" xfId="2" applyFont="1" applyBorder="1" applyAlignment="1">
      <alignment horizontal="right"/>
    </xf>
    <xf numFmtId="0" fontId="39" fillId="0" borderId="62" xfId="2" applyFont="1" applyBorder="1" applyAlignment="1">
      <alignment horizontal="left"/>
    </xf>
    <xf numFmtId="0" fontId="39" fillId="0" borderId="63" xfId="2" applyFont="1" applyBorder="1"/>
    <xf numFmtId="0" fontId="39" fillId="0" borderId="24" xfId="2" applyFont="1" applyBorder="1" applyAlignment="1" applyProtection="1">
      <alignment horizontal="center"/>
      <protection locked="0"/>
    </xf>
    <xf numFmtId="0" fontId="39" fillId="0" borderId="49" xfId="2" applyFont="1" applyBorder="1" applyAlignment="1">
      <alignment horizontal="center"/>
    </xf>
    <xf numFmtId="0" fontId="38" fillId="0" borderId="47" xfId="2" applyBorder="1" applyAlignment="1">
      <alignment wrapText="1"/>
    </xf>
    <xf numFmtId="0" fontId="39" fillId="0" borderId="41" xfId="3" applyBorder="1"/>
    <xf numFmtId="0" fontId="38" fillId="0" borderId="24" xfId="2" applyBorder="1" applyAlignment="1">
      <alignment wrapText="1"/>
    </xf>
    <xf numFmtId="0" fontId="39" fillId="0" borderId="48" xfId="3" applyBorder="1" applyAlignment="1">
      <alignment horizontal="center"/>
    </xf>
    <xf numFmtId="0" fontId="39" fillId="0" borderId="65" xfId="2" applyFont="1" applyBorder="1" applyAlignment="1" applyProtection="1">
      <alignment wrapText="1"/>
      <protection locked="0"/>
    </xf>
    <xf numFmtId="0" fontId="39" fillId="0" borderId="51" xfId="2" applyFont="1" applyBorder="1"/>
    <xf numFmtId="0" fontId="39" fillId="0" borderId="66" xfId="2" applyFont="1" applyBorder="1" applyAlignment="1">
      <alignment horizontal="center"/>
    </xf>
    <xf numFmtId="0" fontId="35" fillId="0" borderId="55" xfId="2" applyFont="1" applyBorder="1" applyAlignment="1" applyProtection="1">
      <alignment horizontal="left" wrapText="1"/>
      <protection locked="0"/>
    </xf>
    <xf numFmtId="0" fontId="41" fillId="0" borderId="56" xfId="2" applyFont="1" applyBorder="1" applyAlignment="1" applyProtection="1">
      <alignment horizontal="center" wrapText="1"/>
      <protection locked="0"/>
    </xf>
    <xf numFmtId="0" fontId="41" fillId="0" borderId="56" xfId="2" applyFont="1" applyBorder="1" applyAlignment="1" applyProtection="1">
      <alignment wrapText="1"/>
      <protection locked="0"/>
    </xf>
    <xf numFmtId="0" fontId="41" fillId="0" borderId="57" xfId="2" applyFont="1" applyBorder="1" applyAlignment="1" applyProtection="1">
      <alignment wrapText="1"/>
      <protection locked="0"/>
    </xf>
    <xf numFmtId="0" fontId="39" fillId="0" borderId="1" xfId="2" applyFont="1"/>
    <xf numFmtId="0" fontId="40" fillId="0" borderId="1" xfId="2" applyFont="1"/>
    <xf numFmtId="0" fontId="39" fillId="5" borderId="1" xfId="2" applyFont="1" applyFill="1"/>
    <xf numFmtId="0" fontId="48" fillId="5" borderId="1" xfId="2" applyFont="1" applyFill="1"/>
    <xf numFmtId="0" fontId="49" fillId="0" borderId="1" xfId="2" applyFont="1"/>
    <xf numFmtId="168" fontId="39" fillId="0" borderId="1" xfId="2" applyNumberFormat="1" applyFont="1"/>
    <xf numFmtId="0" fontId="39" fillId="0" borderId="1" xfId="7" applyFont="1" applyAlignment="1">
      <alignment vertical="center"/>
    </xf>
    <xf numFmtId="0" fontId="39" fillId="0" borderId="67" xfId="2" applyFont="1" applyBorder="1"/>
    <xf numFmtId="0" fontId="39" fillId="0" borderId="38" xfId="2" applyFont="1" applyBorder="1"/>
    <xf numFmtId="0" fontId="39" fillId="0" borderId="56" xfId="2" applyFont="1" applyBorder="1"/>
    <xf numFmtId="0" fontId="39" fillId="0" borderId="39" xfId="2" applyFont="1" applyBorder="1"/>
    <xf numFmtId="0" fontId="40" fillId="0" borderId="42" xfId="2" applyFont="1" applyBorder="1"/>
    <xf numFmtId="0" fontId="39" fillId="0" borderId="43" xfId="2" applyFont="1" applyBorder="1"/>
    <xf numFmtId="0" fontId="40" fillId="0" borderId="25" xfId="2" applyFont="1" applyBorder="1"/>
    <xf numFmtId="0" fontId="39" fillId="0" borderId="70" xfId="2" applyFont="1" applyBorder="1"/>
    <xf numFmtId="168" fontId="39" fillId="0" borderId="71" xfId="2" applyNumberFormat="1" applyFont="1" applyBorder="1"/>
    <xf numFmtId="168" fontId="39" fillId="0" borderId="52" xfId="2" applyNumberFormat="1" applyFont="1" applyBorder="1"/>
    <xf numFmtId="168" fontId="39" fillId="0" borderId="53" xfId="2" applyNumberFormat="1" applyFont="1" applyBorder="1"/>
    <xf numFmtId="0" fontId="39" fillId="0" borderId="52" xfId="2" applyFont="1" applyBorder="1"/>
    <xf numFmtId="0" fontId="39" fillId="0" borderId="54" xfId="2" applyFont="1" applyBorder="1"/>
    <xf numFmtId="0" fontId="41" fillId="0" borderId="67" xfId="2" applyFont="1" applyBorder="1"/>
    <xf numFmtId="0" fontId="41" fillId="0" borderId="38" xfId="2" applyFont="1" applyBorder="1"/>
    <xf numFmtId="0" fontId="41" fillId="0" borderId="56" xfId="2" applyFont="1" applyBorder="1"/>
    <xf numFmtId="0" fontId="41" fillId="0" borderId="57" xfId="2" applyFont="1" applyBorder="1"/>
    <xf numFmtId="0" fontId="41" fillId="0" borderId="71" xfId="2" applyFont="1" applyBorder="1" applyAlignment="1">
      <alignment wrapText="1"/>
    </xf>
    <xf numFmtId="0" fontId="41" fillId="0" borderId="52" xfId="2" applyFont="1" applyBorder="1" applyAlignment="1">
      <alignment wrapText="1"/>
    </xf>
    <xf numFmtId="0" fontId="41" fillId="0" borderId="53" xfId="2" applyFont="1" applyBorder="1" applyAlignment="1">
      <alignment wrapText="1"/>
    </xf>
    <xf numFmtId="0" fontId="41" fillId="0" borderId="52" xfId="2" applyFont="1" applyBorder="1"/>
    <xf numFmtId="0" fontId="41" fillId="0" borderId="54" xfId="2" applyFont="1" applyBorder="1"/>
    <xf numFmtId="169" fontId="39" fillId="0" borderId="1" xfId="2" applyNumberFormat="1" applyFont="1" applyAlignment="1">
      <alignment horizontal="left"/>
    </xf>
    <xf numFmtId="0" fontId="43" fillId="0" borderId="1" xfId="2" applyFont="1"/>
    <xf numFmtId="0" fontId="39" fillId="0" borderId="1" xfId="2" applyFont="1" applyProtection="1">
      <protection locked="0"/>
    </xf>
    <xf numFmtId="4" fontId="38" fillId="0" borderId="1" xfId="2" applyNumberFormat="1"/>
    <xf numFmtId="4" fontId="41" fillId="0" borderId="56" xfId="2" applyNumberFormat="1" applyFont="1" applyBorder="1" applyAlignment="1" applyProtection="1">
      <alignment horizontal="center" wrapText="1"/>
      <protection locked="0"/>
    </xf>
    <xf numFmtId="4" fontId="41" fillId="0" borderId="38" xfId="2" applyNumberFormat="1" applyFont="1" applyBorder="1" applyAlignment="1" applyProtection="1">
      <alignment horizontal="center" wrapText="1"/>
      <protection locked="0"/>
    </xf>
    <xf numFmtId="4" fontId="38" fillId="0" borderId="41" xfId="2" applyNumberFormat="1" applyBorder="1" applyProtection="1">
      <protection locked="0"/>
    </xf>
    <xf numFmtId="4" fontId="39" fillId="0" borderId="42" xfId="2" applyNumberFormat="1" applyFont="1" applyBorder="1" applyAlignment="1" applyProtection="1">
      <alignment horizontal="right"/>
      <protection locked="0"/>
    </xf>
    <xf numFmtId="4" fontId="39" fillId="0" borderId="41" xfId="2" applyNumberFormat="1" applyFont="1" applyBorder="1" applyProtection="1">
      <protection locked="0"/>
    </xf>
    <xf numFmtId="4" fontId="39" fillId="0" borderId="41" xfId="3" applyNumberFormat="1" applyBorder="1" applyProtection="1">
      <protection locked="0"/>
    </xf>
    <xf numFmtId="4" fontId="39" fillId="0" borderId="26" xfId="2" applyNumberFormat="1" applyFont="1" applyBorder="1" applyAlignment="1" applyProtection="1">
      <alignment wrapText="1"/>
      <protection locked="0"/>
    </xf>
    <xf numFmtId="4" fontId="38" fillId="0" borderId="42" xfId="2" applyNumberFormat="1" applyBorder="1" applyAlignment="1" applyProtection="1">
      <alignment wrapText="1"/>
      <protection locked="0"/>
    </xf>
    <xf numFmtId="4" fontId="39" fillId="0" borderId="38" xfId="2" applyNumberFormat="1" applyFont="1" applyBorder="1" applyAlignment="1" applyProtection="1">
      <alignment wrapText="1"/>
      <protection locked="0"/>
    </xf>
    <xf numFmtId="4" fontId="38" fillId="0" borderId="37" xfId="2" applyNumberFormat="1" applyBorder="1" applyAlignment="1" applyProtection="1">
      <alignment wrapText="1"/>
      <protection locked="0"/>
    </xf>
    <xf numFmtId="4" fontId="38" fillId="0" borderId="33" xfId="2" applyNumberFormat="1" applyBorder="1" applyAlignment="1" applyProtection="1">
      <alignment wrapText="1"/>
      <protection locked="0"/>
    </xf>
    <xf numFmtId="4" fontId="45" fillId="0" borderId="1" xfId="2" applyNumberFormat="1" applyFont="1" applyAlignment="1" applyProtection="1">
      <alignment wrapText="1"/>
      <protection locked="0"/>
    </xf>
    <xf numFmtId="4" fontId="38" fillId="0" borderId="28" xfId="2" applyNumberFormat="1" applyBorder="1" applyAlignment="1" applyProtection="1">
      <alignment wrapText="1"/>
      <protection locked="0"/>
    </xf>
    <xf numFmtId="4" fontId="41" fillId="0" borderId="56" xfId="2" applyNumberFormat="1" applyFont="1" applyBorder="1" applyAlignment="1" applyProtection="1">
      <alignment horizontal="center"/>
      <protection locked="0"/>
    </xf>
    <xf numFmtId="4" fontId="38" fillId="0" borderId="53" xfId="2" applyNumberFormat="1" applyBorder="1" applyProtection="1">
      <protection locked="0"/>
    </xf>
    <xf numFmtId="4" fontId="38" fillId="0" borderId="52" xfId="2" applyNumberFormat="1" applyBorder="1" applyProtection="1">
      <protection locked="0"/>
    </xf>
    <xf numFmtId="4" fontId="38" fillId="0" borderId="42" xfId="2" applyNumberFormat="1" applyBorder="1" applyProtection="1">
      <protection locked="0"/>
    </xf>
    <xf numFmtId="4" fontId="38" fillId="0" borderId="41" xfId="2" applyNumberFormat="1" applyBorder="1" applyAlignment="1" applyProtection="1">
      <alignment wrapText="1"/>
      <protection locked="0"/>
    </xf>
    <xf numFmtId="4" fontId="39" fillId="0" borderId="42" xfId="2" applyNumberFormat="1" applyFont="1" applyBorder="1"/>
    <xf numFmtId="4" fontId="39" fillId="0" borderId="36" xfId="3" applyNumberFormat="1" applyBorder="1" applyAlignment="1">
      <alignment horizontal="right"/>
    </xf>
    <xf numFmtId="4" fontId="39" fillId="0" borderId="36" xfId="2" applyNumberFormat="1" applyFont="1" applyBorder="1" applyProtection="1">
      <protection locked="0"/>
    </xf>
    <xf numFmtId="4" fontId="39" fillId="0" borderId="33" xfId="3" applyNumberFormat="1" applyBorder="1" applyAlignment="1">
      <alignment horizontal="right"/>
    </xf>
    <xf numFmtId="4" fontId="40" fillId="0" borderId="1" xfId="3" applyNumberFormat="1" applyFont="1" applyAlignment="1">
      <alignment horizontal="right"/>
    </xf>
    <xf numFmtId="4" fontId="39" fillId="0" borderId="28" xfId="3" applyNumberFormat="1" applyBorder="1" applyAlignment="1">
      <alignment horizontal="right"/>
    </xf>
    <xf numFmtId="0" fontId="51" fillId="0" borderId="1" xfId="8"/>
    <xf numFmtId="0" fontId="51" fillId="7" borderId="1" xfId="8" applyFill="1"/>
    <xf numFmtId="0" fontId="51" fillId="0" borderId="72" xfId="8" applyBorder="1"/>
    <xf numFmtId="0" fontId="51" fillId="0" borderId="11" xfId="8" applyBorder="1"/>
    <xf numFmtId="0" fontId="51" fillId="0" borderId="73" xfId="8" applyBorder="1" applyAlignment="1">
      <alignment wrapText="1"/>
    </xf>
    <xf numFmtId="0" fontId="51" fillId="0" borderId="10" xfId="8" applyBorder="1"/>
    <xf numFmtId="0" fontId="51" fillId="0" borderId="73" xfId="8" applyBorder="1"/>
    <xf numFmtId="0" fontId="51" fillId="0" borderId="74" xfId="8" applyBorder="1"/>
    <xf numFmtId="0" fontId="51" fillId="0" borderId="1" xfId="8" applyAlignment="1">
      <alignment wrapText="1"/>
    </xf>
    <xf numFmtId="0" fontId="51" fillId="0" borderId="4" xfId="8" applyBorder="1"/>
    <xf numFmtId="170" fontId="51" fillId="0" borderId="1" xfId="8" applyNumberFormat="1"/>
    <xf numFmtId="0" fontId="51" fillId="0" borderId="73" xfId="8" applyBorder="1" applyAlignment="1">
      <alignment horizontal="center"/>
    </xf>
    <xf numFmtId="170" fontId="51" fillId="0" borderId="73" xfId="8" applyNumberFormat="1" applyBorder="1" applyAlignment="1">
      <alignment horizontal="center"/>
    </xf>
    <xf numFmtId="171" fontId="51" fillId="0" borderId="73" xfId="8" applyNumberFormat="1" applyBorder="1" applyAlignment="1">
      <alignment horizontal="center"/>
    </xf>
    <xf numFmtId="0" fontId="51" fillId="0" borderId="73" xfId="8" applyBorder="1" applyAlignment="1">
      <alignment horizontal="right"/>
    </xf>
    <xf numFmtId="0" fontId="51" fillId="7" borderId="75" xfId="8" applyFill="1" applyBorder="1"/>
    <xf numFmtId="0" fontId="51" fillId="7" borderId="74" xfId="8" applyFill="1" applyBorder="1"/>
    <xf numFmtId="170" fontId="51" fillId="7" borderId="73" xfId="8" applyNumberFormat="1" applyFill="1" applyBorder="1" applyAlignment="1">
      <alignment horizontal="center"/>
    </xf>
    <xf numFmtId="0" fontId="51" fillId="7" borderId="73" xfId="8" applyFill="1" applyBorder="1" applyAlignment="1">
      <alignment horizontal="center"/>
    </xf>
    <xf numFmtId="0" fontId="51" fillId="7" borderId="4" xfId="8" applyFill="1" applyBorder="1"/>
    <xf numFmtId="0" fontId="51" fillId="7" borderId="81" xfId="8" applyFill="1" applyBorder="1"/>
    <xf numFmtId="0" fontId="51" fillId="7" borderId="3" xfId="8" applyFill="1" applyBorder="1"/>
    <xf numFmtId="0" fontId="51" fillId="7" borderId="2" xfId="8" applyFill="1" applyBorder="1"/>
    <xf numFmtId="0" fontId="14" fillId="2" borderId="0" xfId="0" applyFont="1" applyFill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167" fontId="33" fillId="0" borderId="1" xfId="0" applyNumberFormat="1" applyFont="1" applyBorder="1" applyAlignment="1" applyProtection="1">
      <alignment vertical="center"/>
      <protection locked="0"/>
    </xf>
    <xf numFmtId="4" fontId="33" fillId="0" borderId="1" xfId="0" applyNumberFormat="1" applyFont="1" applyBorder="1" applyAlignment="1" applyProtection="1">
      <alignment vertical="center"/>
      <protection locked="0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166" fontId="20" fillId="0" borderId="1" xfId="0" applyNumberFormat="1" applyFont="1" applyBorder="1" applyAlignme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67" fontId="19" fillId="0" borderId="1" xfId="0" applyNumberFormat="1" applyFont="1" applyBorder="1" applyAlignment="1" applyProtection="1">
      <alignment vertical="center"/>
      <protection locked="0"/>
    </xf>
    <xf numFmtId="4" fontId="19" fillId="0" borderId="1" xfId="0" applyNumberFormat="1" applyFont="1" applyBorder="1" applyAlignment="1" applyProtection="1">
      <alignment vertical="center"/>
      <protection locked="0"/>
    </xf>
    <xf numFmtId="4" fontId="40" fillId="0" borderId="47" xfId="2" applyNumberFormat="1" applyFont="1" applyBorder="1"/>
    <xf numFmtId="4" fontId="40" fillId="0" borderId="25" xfId="2" applyNumberFormat="1" applyFont="1" applyBorder="1"/>
    <xf numFmtId="4" fontId="40" fillId="0" borderId="69" xfId="2" applyNumberFormat="1" applyFont="1" applyBorder="1"/>
    <xf numFmtId="4" fontId="39" fillId="0" borderId="41" xfId="2" applyNumberFormat="1" applyFont="1" applyBorder="1"/>
    <xf numFmtId="4" fontId="39" fillId="0" borderId="68" xfId="2" applyNumberFormat="1" applyFont="1" applyBorder="1"/>
    <xf numFmtId="4" fontId="40" fillId="0" borderId="41" xfId="2" applyNumberFormat="1" applyFont="1" applyBorder="1"/>
    <xf numFmtId="4" fontId="40" fillId="0" borderId="42" xfId="2" applyNumberFormat="1" applyFont="1" applyBorder="1"/>
    <xf numFmtId="4" fontId="40" fillId="0" borderId="68" xfId="2" applyNumberFormat="1" applyFont="1" applyBorder="1"/>
    <xf numFmtId="0" fontId="56" fillId="0" borderId="0" xfId="0" applyFont="1" applyAlignment="1">
      <alignment vertical="center"/>
    </xf>
    <xf numFmtId="4" fontId="8" fillId="0" borderId="0" xfId="0" applyNumberFormat="1" applyFont="1"/>
    <xf numFmtId="0" fontId="31" fillId="0" borderId="0" xfId="1" applyFont="1" applyFill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59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/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vertical="center"/>
    </xf>
    <xf numFmtId="4" fontId="21" fillId="0" borderId="1" xfId="16" applyNumberFormat="1" applyFont="1" applyAlignment="1">
      <alignment vertical="center"/>
    </xf>
    <xf numFmtId="0" fontId="67" fillId="0" borderId="0" xfId="0" applyFont="1" applyAlignment="1">
      <alignment horizontal="left" vertical="center" wrapText="1"/>
    </xf>
    <xf numFmtId="4" fontId="21" fillId="0" borderId="1" xfId="17" applyNumberFormat="1" applyFont="1" applyAlignment="1">
      <alignment vertical="center"/>
    </xf>
    <xf numFmtId="0" fontId="68" fillId="0" borderId="1" xfId="2" applyFont="1"/>
    <xf numFmtId="0" fontId="69" fillId="0" borderId="1" xfId="2" applyFont="1"/>
    <xf numFmtId="0" fontId="45" fillId="0" borderId="1" xfId="2" applyFont="1"/>
    <xf numFmtId="4" fontId="39" fillId="0" borderId="86" xfId="2" applyNumberFormat="1" applyFont="1" applyBorder="1"/>
    <xf numFmtId="4" fontId="39" fillId="0" borderId="85" xfId="2" applyNumberFormat="1" applyFont="1" applyBorder="1"/>
    <xf numFmtId="4" fontId="39" fillId="0" borderId="84" xfId="2" applyNumberFormat="1" applyFont="1" applyBorder="1"/>
    <xf numFmtId="0" fontId="39" fillId="0" borderId="85" xfId="2" applyFont="1" applyBorder="1"/>
    <xf numFmtId="170" fontId="70" fillId="7" borderId="73" xfId="8" applyNumberFormat="1" applyFont="1" applyFill="1" applyBorder="1" applyAlignment="1">
      <alignment horizontal="center"/>
    </xf>
    <xf numFmtId="0" fontId="70" fillId="7" borderId="76" xfId="8" applyFont="1" applyFill="1" applyBorder="1"/>
    <xf numFmtId="0" fontId="70" fillId="7" borderId="73" xfId="8" applyFont="1" applyFill="1" applyBorder="1"/>
    <xf numFmtId="0" fontId="70" fillId="7" borderId="73" xfId="8" applyFont="1" applyFill="1" applyBorder="1" applyAlignment="1">
      <alignment horizontal="right"/>
    </xf>
    <xf numFmtId="0" fontId="70" fillId="7" borderId="77" xfId="8" applyFont="1" applyFill="1" applyBorder="1"/>
    <xf numFmtId="0" fontId="71" fillId="6" borderId="82" xfId="22" applyFill="1" applyBorder="1">
      <alignment horizontal="center" vertical="center" wrapText="1"/>
    </xf>
    <xf numFmtId="0" fontId="71" fillId="6" borderId="78" xfId="22" applyFill="1" applyBorder="1">
      <alignment horizontal="center" vertical="center" wrapText="1"/>
    </xf>
    <xf numFmtId="0" fontId="71" fillId="6" borderId="84" xfId="22" applyFill="1" applyBorder="1">
      <alignment horizontal="center" vertical="center" wrapText="1"/>
    </xf>
    <xf numFmtId="0" fontId="71" fillId="6" borderId="83" xfId="22" applyFill="1" applyBorder="1">
      <alignment horizontal="center" vertical="center" wrapText="1"/>
    </xf>
    <xf numFmtId="0" fontId="71" fillId="6" borderId="79" xfId="22" applyFill="1" applyBorder="1">
      <alignment horizontal="center" vertical="center" wrapText="1"/>
    </xf>
    <xf numFmtId="0" fontId="72" fillId="7" borderId="1" xfId="23" applyFill="1">
      <alignment horizontal="left" vertical="center" wrapText="1"/>
    </xf>
    <xf numFmtId="0" fontId="72" fillId="7" borderId="4" xfId="23" applyFill="1" applyBorder="1">
      <alignment horizontal="left" vertical="center" wrapText="1"/>
    </xf>
    <xf numFmtId="0" fontId="73" fillId="7" borderId="1" xfId="24" applyFill="1">
      <alignment horizontal="left" vertical="center" wrapText="1"/>
    </xf>
    <xf numFmtId="0" fontId="74" fillId="7" borderId="1" xfId="8" applyFont="1" applyFill="1"/>
    <xf numFmtId="0" fontId="75" fillId="7" borderId="3" xfId="25" applyFill="1" applyBorder="1">
      <alignment horizontal="right" vertical="center" wrapText="1"/>
    </xf>
    <xf numFmtId="0" fontId="75" fillId="7" borderId="1" xfId="25" applyFill="1">
      <alignment horizontal="right" vertical="center" wrapText="1"/>
    </xf>
    <xf numFmtId="0" fontId="75" fillId="7" borderId="1" xfId="26" applyFill="1">
      <alignment horizontal="right" vertical="center" wrapText="1"/>
    </xf>
    <xf numFmtId="170" fontId="75" fillId="7" borderId="1" xfId="26" applyNumberFormat="1" applyFill="1">
      <alignment horizontal="right" vertical="center" wrapText="1"/>
    </xf>
    <xf numFmtId="0" fontId="75" fillId="0" borderId="84" xfId="25" applyBorder="1">
      <alignment horizontal="right" vertical="center" wrapText="1"/>
    </xf>
    <xf numFmtId="170" fontId="75" fillId="0" borderId="84" xfId="25" applyNumberFormat="1" applyBorder="1">
      <alignment horizontal="right" vertical="center" wrapText="1"/>
    </xf>
    <xf numFmtId="0" fontId="76" fillId="0" borderId="73" xfId="8" applyFont="1" applyBorder="1" applyAlignment="1">
      <alignment wrapText="1"/>
    </xf>
    <xf numFmtId="0" fontId="40" fillId="0" borderId="1" xfId="8" applyFont="1"/>
    <xf numFmtId="0" fontId="40" fillId="0" borderId="78" xfId="8" applyFont="1" applyBorder="1"/>
    <xf numFmtId="0" fontId="51" fillId="0" borderId="47" xfId="8" applyBorder="1"/>
    <xf numFmtId="0" fontId="51" fillId="0" borderId="45" xfId="8" applyBorder="1"/>
    <xf numFmtId="0" fontId="51" fillId="8" borderId="1" xfId="8" applyFill="1"/>
    <xf numFmtId="0" fontId="51" fillId="7" borderId="1" xfId="8" applyFill="1" applyAlignment="1">
      <alignment horizontal="left" vertical="center"/>
    </xf>
    <xf numFmtId="0" fontId="77" fillId="7" borderId="1" xfId="8" applyFont="1" applyFill="1" applyAlignment="1">
      <alignment horizontal="left" vertical="center"/>
    </xf>
    <xf numFmtId="170" fontId="40" fillId="8" borderId="1" xfId="8" applyNumberFormat="1" applyFont="1" applyFill="1"/>
    <xf numFmtId="0" fontId="79" fillId="0" borderId="0" xfId="0" applyFont="1"/>
    <xf numFmtId="0" fontId="78" fillId="0" borderId="1" xfId="8" applyFont="1"/>
    <xf numFmtId="0" fontId="40" fillId="0" borderId="1" xfId="8" applyFont="1" applyAlignment="1">
      <alignment horizontal="right" vertical="center"/>
    </xf>
    <xf numFmtId="0" fontId="40" fillId="0" borderId="0" xfId="0" applyFont="1"/>
    <xf numFmtId="0" fontId="40" fillId="0" borderId="0" xfId="0" applyFont="1" applyAlignment="1">
      <alignment horizontal="right" vertical="center"/>
    </xf>
    <xf numFmtId="0" fontId="40" fillId="0" borderId="84" xfId="0" applyFont="1" applyBorder="1" applyAlignment="1">
      <alignment horizontal="right" vertical="center"/>
    </xf>
    <xf numFmtId="0" fontId="80" fillId="0" borderId="0" xfId="0" applyFont="1"/>
    <xf numFmtId="0" fontId="80" fillId="0" borderId="0" xfId="0" applyFont="1" applyAlignment="1">
      <alignment horizontal="right" vertical="center"/>
    </xf>
    <xf numFmtId="0" fontId="80" fillId="0" borderId="84" xfId="0" applyFont="1" applyBorder="1" applyAlignment="1">
      <alignment horizontal="right" vertical="center"/>
    </xf>
    <xf numFmtId="0" fontId="54" fillId="0" borderId="1" xfId="8" applyFont="1"/>
    <xf numFmtId="4" fontId="40" fillId="0" borderId="84" xfId="8" applyNumberFormat="1" applyFont="1" applyBorder="1"/>
    <xf numFmtId="4" fontId="40" fillId="8" borderId="1" xfId="8" applyNumberFormat="1" applyFont="1" applyFill="1"/>
    <xf numFmtId="0" fontId="40" fillId="0" borderId="80" xfId="8" applyFont="1" applyBorder="1" applyAlignment="1">
      <alignment horizontal="right" vertical="center"/>
    </xf>
    <xf numFmtId="4" fontId="40" fillId="0" borderId="1" xfId="8" applyNumberFormat="1" applyFont="1"/>
    <xf numFmtId="4" fontId="81" fillId="9" borderId="1" xfId="8" applyNumberFormat="1" applyFont="1" applyFill="1"/>
    <xf numFmtId="0" fontId="4" fillId="0" borderId="8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9" fillId="0" borderId="42" xfId="2" applyFont="1" applyBorder="1" applyAlignment="1" applyProtection="1">
      <alignment horizontal="right"/>
      <protection locked="0"/>
    </xf>
    <xf numFmtId="0" fontId="39" fillId="0" borderId="42" xfId="2" applyFont="1" applyBorder="1" applyAlignment="1">
      <alignment horizontal="right"/>
    </xf>
    <xf numFmtId="0" fontId="39" fillId="0" borderId="42" xfId="3" applyBorder="1" applyAlignment="1">
      <alignment horizontal="right"/>
    </xf>
    <xf numFmtId="0" fontId="39" fillId="0" borderId="42" xfId="3" applyBorder="1" applyAlignment="1" applyProtection="1">
      <alignment horizontal="center" wrapText="1"/>
      <protection locked="0"/>
    </xf>
    <xf numFmtId="0" fontId="39" fillId="0" borderId="45" xfId="3" applyBorder="1" applyProtection="1">
      <protection locked="0"/>
    </xf>
    <xf numFmtId="0" fontId="39" fillId="0" borderId="42" xfId="3" applyBorder="1" applyAlignment="1" applyProtection="1">
      <alignment wrapText="1"/>
      <protection locked="0"/>
    </xf>
    <xf numFmtId="0" fontId="38" fillId="0" borderId="45" xfId="2" applyBorder="1" applyProtection="1">
      <protection locked="0"/>
    </xf>
    <xf numFmtId="0" fontId="39" fillId="0" borderId="42" xfId="3" applyBorder="1" applyAlignment="1" applyProtection="1">
      <alignment horizontal="right" wrapText="1"/>
      <protection locked="0"/>
    </xf>
    <xf numFmtId="0" fontId="39" fillId="0" borderId="41" xfId="2" applyFont="1" applyBorder="1" applyAlignment="1">
      <alignment horizontal="right" wrapText="1"/>
    </xf>
    <xf numFmtId="0" fontId="39" fillId="0" borderId="37" xfId="3" applyBorder="1" applyAlignment="1">
      <alignment horizontal="right"/>
    </xf>
    <xf numFmtId="0" fontId="40" fillId="0" borderId="85" xfId="8" applyFont="1" applyBorder="1"/>
    <xf numFmtId="0" fontId="40" fillId="0" borderId="85" xfId="0" applyFont="1" applyBorder="1"/>
    <xf numFmtId="0" fontId="80" fillId="0" borderId="85" xfId="0" applyFont="1" applyBorder="1"/>
    <xf numFmtId="0" fontId="40" fillId="0" borderId="78" xfId="0" applyFont="1" applyBorder="1"/>
    <xf numFmtId="0" fontId="79" fillId="0" borderId="45" xfId="0" applyFont="1" applyBorder="1"/>
    <xf numFmtId="0" fontId="78" fillId="0" borderId="78" xfId="8" applyFont="1" applyBorder="1"/>
    <xf numFmtId="0" fontId="78" fillId="0" borderId="45" xfId="8" applyFont="1" applyBorder="1"/>
    <xf numFmtId="0" fontId="78" fillId="0" borderId="47" xfId="8" applyFont="1" applyBorder="1"/>
    <xf numFmtId="0" fontId="78" fillId="0" borderId="84" xfId="8" applyFont="1" applyBorder="1"/>
    <xf numFmtId="0" fontId="40" fillId="0" borderId="84" xfId="8" applyFont="1" applyBorder="1"/>
    <xf numFmtId="0" fontId="40" fillId="0" borderId="84" xfId="8" applyFont="1" applyBorder="1" applyAlignment="1">
      <alignment horizontal="right" vertical="center"/>
    </xf>
    <xf numFmtId="0" fontId="66" fillId="0" borderId="1" xfId="20"/>
    <xf numFmtId="0" fontId="66" fillId="0" borderId="1" xfId="20" applyAlignment="1">
      <alignment horizontal="left" vertical="center"/>
    </xf>
    <xf numFmtId="0" fontId="66" fillId="0" borderId="2" xfId="20" applyBorder="1"/>
    <xf numFmtId="0" fontId="66" fillId="0" borderId="3" xfId="20" applyBorder="1"/>
    <xf numFmtId="0" fontId="66" fillId="0" borderId="4" xfId="20" applyBorder="1"/>
    <xf numFmtId="0" fontId="15" fillId="0" borderId="1" xfId="20" applyFont="1" applyAlignment="1">
      <alignment horizontal="left" vertical="center"/>
    </xf>
    <xf numFmtId="0" fontId="26" fillId="0" borderId="1" xfId="20" applyFont="1" applyAlignment="1">
      <alignment horizontal="left" vertical="center"/>
    </xf>
    <xf numFmtId="0" fontId="1" fillId="0" borderId="1" xfId="20" applyFont="1" applyAlignment="1">
      <alignment horizontal="left" vertical="center"/>
    </xf>
    <xf numFmtId="0" fontId="66" fillId="0" borderId="1" xfId="20" applyAlignment="1">
      <alignment vertical="center"/>
    </xf>
    <xf numFmtId="0" fontId="66" fillId="0" borderId="4" xfId="20" applyBorder="1" applyAlignment="1">
      <alignment vertical="center"/>
    </xf>
    <xf numFmtId="0" fontId="2" fillId="0" borderId="1" xfId="20" applyFont="1" applyAlignment="1">
      <alignment horizontal="left" vertical="center"/>
    </xf>
    <xf numFmtId="165" fontId="2" fillId="0" borderId="1" xfId="20" applyNumberFormat="1" applyFont="1" applyAlignment="1">
      <alignment horizontal="left" vertical="center"/>
    </xf>
    <xf numFmtId="0" fontId="2" fillId="10" borderId="1" xfId="20" applyFont="1" applyFill="1" applyAlignment="1" applyProtection="1">
      <alignment horizontal="left" vertical="center"/>
      <protection locked="0"/>
    </xf>
    <xf numFmtId="0" fontId="66" fillId="0" borderId="1" xfId="20" applyAlignment="1">
      <alignment vertical="center" wrapText="1"/>
    </xf>
    <xf numFmtId="0" fontId="66" fillId="0" borderId="4" xfId="20" applyBorder="1" applyAlignment="1">
      <alignment vertical="center" wrapText="1"/>
    </xf>
    <xf numFmtId="0" fontId="2" fillId="0" borderId="1" xfId="20" applyFont="1" applyAlignment="1">
      <alignment horizontal="left" vertical="center" wrapText="1"/>
    </xf>
    <xf numFmtId="0" fontId="66" fillId="0" borderId="13" xfId="20" applyBorder="1" applyAlignment="1">
      <alignment vertical="center"/>
    </xf>
    <xf numFmtId="0" fontId="16" fillId="0" borderId="1" xfId="20" applyFont="1" applyAlignment="1">
      <alignment horizontal="left" vertical="center"/>
    </xf>
    <xf numFmtId="4" fontId="21" fillId="0" borderId="1" xfId="20" applyNumberFormat="1" applyFont="1" applyAlignment="1">
      <alignment vertical="center"/>
    </xf>
    <xf numFmtId="0" fontId="1" fillId="0" borderId="1" xfId="20" applyFont="1" applyAlignment="1">
      <alignment horizontal="right" vertical="center"/>
    </xf>
    <xf numFmtId="0" fontId="18" fillId="0" borderId="1" xfId="20" applyFont="1" applyAlignment="1">
      <alignment horizontal="left" vertical="center"/>
    </xf>
    <xf numFmtId="4" fontId="1" fillId="0" borderId="1" xfId="20" applyNumberFormat="1" applyFont="1" applyAlignment="1">
      <alignment vertical="center"/>
    </xf>
    <xf numFmtId="164" fontId="1" fillId="0" borderId="1" xfId="20" applyNumberFormat="1" applyFont="1" applyAlignment="1">
      <alignment horizontal="right" vertical="center"/>
    </xf>
    <xf numFmtId="0" fontId="66" fillId="4" borderId="1" xfId="20" applyFill="1" applyAlignment="1">
      <alignment vertical="center"/>
    </xf>
    <xf numFmtId="0" fontId="4" fillId="4" borderId="7" xfId="20" applyFont="1" applyFill="1" applyBorder="1" applyAlignment="1">
      <alignment horizontal="left" vertical="center"/>
    </xf>
    <xf numFmtId="0" fontId="66" fillId="4" borderId="8" xfId="20" applyFill="1" applyBorder="1" applyAlignment="1">
      <alignment vertical="center"/>
    </xf>
    <xf numFmtId="0" fontId="4" fillId="4" borderId="8" xfId="20" applyFont="1" applyFill="1" applyBorder="1" applyAlignment="1">
      <alignment horizontal="right" vertical="center"/>
    </xf>
    <xf numFmtId="0" fontId="4" fillId="4" borderId="8" xfId="20" applyFont="1" applyFill="1" applyBorder="1" applyAlignment="1">
      <alignment horizontal="center" vertical="center"/>
    </xf>
    <xf numFmtId="4" fontId="4" fillId="4" borderId="8" xfId="20" applyNumberFormat="1" applyFont="1" applyFill="1" applyBorder="1" applyAlignment="1">
      <alignment vertical="center"/>
    </xf>
    <xf numFmtId="0" fontId="66" fillId="4" borderId="9" xfId="20" applyFill="1" applyBorder="1" applyAlignment="1">
      <alignment vertical="center"/>
    </xf>
    <xf numFmtId="0" fontId="66" fillId="0" borderId="10" xfId="20" applyBorder="1" applyAlignment="1">
      <alignment vertical="center"/>
    </xf>
    <xf numFmtId="0" fontId="66" fillId="0" borderId="11" xfId="20" applyBorder="1" applyAlignment="1">
      <alignment vertical="center"/>
    </xf>
    <xf numFmtId="0" fontId="66" fillId="0" borderId="2" xfId="20" applyBorder="1" applyAlignment="1">
      <alignment vertical="center"/>
    </xf>
    <xf numFmtId="0" fontId="66" fillId="0" borderId="3" xfId="20" applyBorder="1" applyAlignment="1">
      <alignment vertical="center"/>
    </xf>
    <xf numFmtId="0" fontId="19" fillId="4" borderId="1" xfId="20" applyFont="1" applyFill="1" applyAlignment="1">
      <alignment horizontal="left" vertical="center"/>
    </xf>
    <xf numFmtId="0" fontId="19" fillId="4" borderId="1" xfId="20" applyFont="1" applyFill="1" applyAlignment="1">
      <alignment horizontal="right" vertical="center"/>
    </xf>
    <xf numFmtId="0" fontId="27" fillId="0" borderId="1" xfId="20" applyFont="1" applyAlignment="1">
      <alignment horizontal="left" vertical="center"/>
    </xf>
    <xf numFmtId="0" fontId="6" fillId="0" borderId="1" xfId="20" applyFont="1" applyAlignment="1">
      <alignment vertical="center"/>
    </xf>
    <xf numFmtId="0" fontId="6" fillId="0" borderId="4" xfId="20" applyFont="1" applyBorder="1" applyAlignment="1">
      <alignment vertical="center"/>
    </xf>
    <xf numFmtId="0" fontId="6" fillId="0" borderId="21" xfId="20" applyFont="1" applyBorder="1" applyAlignment="1">
      <alignment horizontal="left" vertical="center"/>
    </xf>
    <xf numFmtId="0" fontId="6" fillId="0" borderId="21" xfId="20" applyFont="1" applyBorder="1" applyAlignment="1">
      <alignment vertical="center"/>
    </xf>
    <xf numFmtId="4" fontId="6" fillId="0" borderId="21" xfId="20" applyNumberFormat="1" applyFont="1" applyBorder="1" applyAlignment="1">
      <alignment vertical="center"/>
    </xf>
    <xf numFmtId="0" fontId="7" fillId="0" borderId="1" xfId="20" applyFont="1" applyAlignment="1">
      <alignment vertical="center"/>
    </xf>
    <xf numFmtId="0" fontId="7" fillId="0" borderId="4" xfId="20" applyFont="1" applyBorder="1" applyAlignment="1">
      <alignment vertical="center"/>
    </xf>
    <xf numFmtId="0" fontId="7" fillId="0" borderId="21" xfId="20" applyFont="1" applyBorder="1" applyAlignment="1">
      <alignment horizontal="left" vertical="center"/>
    </xf>
    <xf numFmtId="0" fontId="7" fillId="0" borderId="21" xfId="20" applyFont="1" applyBorder="1" applyAlignment="1">
      <alignment vertical="center"/>
    </xf>
    <xf numFmtId="4" fontId="7" fillId="0" borderId="21" xfId="20" applyNumberFormat="1" applyFont="1" applyBorder="1" applyAlignment="1">
      <alignment vertical="center"/>
    </xf>
    <xf numFmtId="0" fontId="66" fillId="0" borderId="1" xfId="20" applyAlignment="1">
      <alignment horizontal="center" vertical="center" wrapText="1"/>
    </xf>
    <xf numFmtId="0" fontId="66" fillId="0" borderId="4" xfId="20" applyBorder="1" applyAlignment="1">
      <alignment horizontal="center" vertical="center" wrapText="1"/>
    </xf>
    <xf numFmtId="0" fontId="19" fillId="4" borderId="17" xfId="20" applyFont="1" applyFill="1" applyBorder="1" applyAlignment="1">
      <alignment horizontal="center" vertical="center" wrapText="1"/>
    </xf>
    <xf numFmtId="0" fontId="19" fillId="4" borderId="18" xfId="20" applyFont="1" applyFill="1" applyBorder="1" applyAlignment="1">
      <alignment horizontal="center" vertical="center" wrapText="1"/>
    </xf>
    <xf numFmtId="0" fontId="19" fillId="4" borderId="19" xfId="20" applyFont="1" applyFill="1" applyBorder="1" applyAlignment="1">
      <alignment horizontal="center" vertical="center" wrapText="1"/>
    </xf>
    <xf numFmtId="0" fontId="20" fillId="0" borderId="17" xfId="20" applyFont="1" applyBorder="1" applyAlignment="1">
      <alignment horizontal="center" vertical="center" wrapText="1"/>
    </xf>
    <xf numFmtId="0" fontId="20" fillId="0" borderId="18" xfId="20" applyFont="1" applyBorder="1" applyAlignment="1">
      <alignment horizontal="center" vertical="center" wrapText="1"/>
    </xf>
    <xf numFmtId="0" fontId="20" fillId="0" borderId="19" xfId="20" applyFont="1" applyBorder="1" applyAlignment="1">
      <alignment horizontal="center" vertical="center" wrapText="1"/>
    </xf>
    <xf numFmtId="0" fontId="21" fillId="0" borderId="1" xfId="20" applyFont="1" applyAlignment="1">
      <alignment horizontal="left" vertical="center"/>
    </xf>
    <xf numFmtId="4" fontId="21" fillId="0" borderId="1" xfId="20" applyNumberFormat="1" applyFont="1"/>
    <xf numFmtId="0" fontId="66" fillId="0" borderId="12" xfId="20" applyBorder="1" applyAlignment="1">
      <alignment vertical="center"/>
    </xf>
    <xf numFmtId="166" fontId="28" fillId="0" borderId="13" xfId="20" applyNumberFormat="1" applyFont="1" applyBorder="1"/>
    <xf numFmtId="166" fontId="28" fillId="0" borderId="14" xfId="20" applyNumberFormat="1" applyFont="1" applyBorder="1"/>
    <xf numFmtId="4" fontId="29" fillId="0" borderId="1" xfId="20" applyNumberFormat="1" applyFont="1" applyAlignment="1">
      <alignment vertical="center"/>
    </xf>
    <xf numFmtId="0" fontId="8" fillId="0" borderId="1" xfId="20" applyFont="1"/>
    <xf numFmtId="0" fontId="8" fillId="0" borderId="4" xfId="20" applyFont="1" applyBorder="1"/>
    <xf numFmtId="0" fontId="8" fillId="0" borderId="1" xfId="20" applyFont="1" applyAlignment="1">
      <alignment horizontal="left"/>
    </xf>
    <xf numFmtId="0" fontId="6" fillId="0" borderId="1" xfId="20" applyFont="1" applyAlignment="1">
      <alignment horizontal="left"/>
    </xf>
    <xf numFmtId="0" fontId="8" fillId="0" borderId="1" xfId="20" applyFont="1" applyProtection="1">
      <protection locked="0"/>
    </xf>
    <xf numFmtId="4" fontId="6" fillId="0" borderId="1" xfId="20" applyNumberFormat="1" applyFont="1"/>
    <xf numFmtId="0" fontId="8" fillId="0" borderId="15" xfId="20" applyFont="1" applyBorder="1"/>
    <xf numFmtId="166" fontId="8" fillId="0" borderId="1" xfId="20" applyNumberFormat="1" applyFont="1"/>
    <xf numFmtId="166" fontId="8" fillId="0" borderId="16" xfId="20" applyNumberFormat="1" applyFont="1" applyBorder="1"/>
    <xf numFmtId="0" fontId="8" fillId="0" borderId="1" xfId="20" applyFont="1" applyAlignment="1">
      <alignment horizontal="center"/>
    </xf>
    <xf numFmtId="4" fontId="8" fillId="0" borderId="1" xfId="20" applyNumberFormat="1" applyFont="1" applyAlignment="1">
      <alignment vertical="center"/>
    </xf>
    <xf numFmtId="0" fontId="7" fillId="0" borderId="1" xfId="20" applyFont="1" applyAlignment="1">
      <alignment horizontal="left"/>
    </xf>
    <xf numFmtId="4" fontId="7" fillId="0" borderId="1" xfId="20" applyNumberFormat="1" applyFont="1"/>
    <xf numFmtId="0" fontId="66" fillId="0" borderId="4" xfId="20" applyBorder="1" applyAlignment="1" applyProtection="1">
      <alignment vertical="center"/>
      <protection locked="0"/>
    </xf>
    <xf numFmtId="0" fontId="19" fillId="0" borderId="23" xfId="20" applyFont="1" applyBorder="1" applyAlignment="1" applyProtection="1">
      <alignment horizontal="center" vertical="center"/>
      <protection locked="0"/>
    </xf>
    <xf numFmtId="49" fontId="19" fillId="0" borderId="23" xfId="20" applyNumberFormat="1" applyFont="1" applyBorder="1" applyAlignment="1" applyProtection="1">
      <alignment horizontal="left" vertical="center" wrapText="1"/>
      <protection locked="0"/>
    </xf>
    <xf numFmtId="0" fontId="19" fillId="0" borderId="23" xfId="20" applyFont="1" applyBorder="1" applyAlignment="1" applyProtection="1">
      <alignment horizontal="left" vertical="center" wrapText="1"/>
      <protection locked="0"/>
    </xf>
    <xf numFmtId="0" fontId="19" fillId="0" borderId="23" xfId="20" applyFont="1" applyBorder="1" applyAlignment="1" applyProtection="1">
      <alignment horizontal="center" vertical="center" wrapText="1"/>
      <protection locked="0"/>
    </xf>
    <xf numFmtId="167" fontId="19" fillId="0" borderId="23" xfId="20" applyNumberFormat="1" applyFont="1" applyBorder="1" applyAlignment="1" applyProtection="1">
      <alignment vertical="center"/>
      <protection locked="0"/>
    </xf>
    <xf numFmtId="4" fontId="19" fillId="10" borderId="23" xfId="20" applyNumberFormat="1" applyFont="1" applyFill="1" applyBorder="1" applyAlignment="1" applyProtection="1">
      <alignment vertical="center"/>
      <protection locked="0"/>
    </xf>
    <xf numFmtId="4" fontId="19" fillId="0" borderId="23" xfId="20" applyNumberFormat="1" applyFont="1" applyBorder="1" applyAlignment="1" applyProtection="1">
      <alignment vertical="center"/>
      <protection locked="0"/>
    </xf>
    <xf numFmtId="0" fontId="20" fillId="10" borderId="15" xfId="20" applyFont="1" applyFill="1" applyBorder="1" applyAlignment="1" applyProtection="1">
      <alignment horizontal="left" vertical="center"/>
      <protection locked="0"/>
    </xf>
    <xf numFmtId="0" fontId="20" fillId="0" borderId="1" xfId="20" applyFont="1" applyAlignment="1">
      <alignment horizontal="center" vertical="center"/>
    </xf>
    <xf numFmtId="166" fontId="20" fillId="0" borderId="1" xfId="20" applyNumberFormat="1" applyFont="1" applyAlignment="1">
      <alignment vertical="center"/>
    </xf>
    <xf numFmtId="166" fontId="20" fillId="0" borderId="16" xfId="20" applyNumberFormat="1" applyFont="1" applyBorder="1" applyAlignment="1">
      <alignment vertical="center"/>
    </xf>
    <xf numFmtId="0" fontId="19" fillId="0" borderId="1" xfId="20" applyFont="1" applyAlignment="1">
      <alignment horizontal="left" vertical="center"/>
    </xf>
    <xf numFmtId="4" fontId="66" fillId="0" borderId="1" xfId="20" applyNumberFormat="1" applyAlignment="1">
      <alignment vertical="center"/>
    </xf>
    <xf numFmtId="0" fontId="30" fillId="0" borderId="1" xfId="20" applyFont="1" applyAlignment="1">
      <alignment horizontal="left" vertical="center"/>
    </xf>
    <xf numFmtId="0" fontId="31" fillId="0" borderId="1" xfId="15" applyFont="1" applyAlignment="1">
      <alignment vertical="center" wrapText="1"/>
    </xf>
    <xf numFmtId="0" fontId="66" fillId="0" borderId="1" xfId="20" applyAlignment="1" applyProtection="1">
      <alignment vertical="center"/>
      <protection locked="0"/>
    </xf>
    <xf numFmtId="0" fontId="66" fillId="0" borderId="15" xfId="20" applyBorder="1" applyAlignment="1">
      <alignment vertical="center"/>
    </xf>
    <xf numFmtId="0" fontId="66" fillId="0" borderId="16" xfId="20" applyBorder="1" applyAlignment="1">
      <alignment vertical="center"/>
    </xf>
    <xf numFmtId="0" fontId="9" fillId="0" borderId="1" xfId="20" applyFont="1" applyAlignment="1">
      <alignment vertical="center"/>
    </xf>
    <xf numFmtId="0" fontId="9" fillId="0" borderId="4" xfId="20" applyFont="1" applyBorder="1" applyAlignment="1">
      <alignment vertical="center"/>
    </xf>
    <xf numFmtId="0" fontId="32" fillId="0" borderId="1" xfId="20" applyFont="1" applyAlignment="1">
      <alignment horizontal="left" vertical="center"/>
    </xf>
    <xf numFmtId="0" fontId="9" fillId="0" borderId="1" xfId="20" applyFont="1" applyAlignment="1">
      <alignment horizontal="left" vertical="center"/>
    </xf>
    <xf numFmtId="0" fontId="9" fillId="0" borderId="1" xfId="20" applyFont="1" applyAlignment="1">
      <alignment horizontal="left" vertical="center" wrapText="1"/>
    </xf>
    <xf numFmtId="0" fontId="9" fillId="0" borderId="1" xfId="20" applyFont="1" applyAlignment="1" applyProtection="1">
      <alignment vertical="center"/>
      <protection locked="0"/>
    </xf>
    <xf numFmtId="0" fontId="9" fillId="0" borderId="15" xfId="20" applyFont="1" applyBorder="1" applyAlignment="1">
      <alignment vertical="center"/>
    </xf>
    <xf numFmtId="0" fontId="9" fillId="0" borderId="16" xfId="20" applyFont="1" applyBorder="1" applyAlignment="1">
      <alignment vertical="center"/>
    </xf>
    <xf numFmtId="0" fontId="10" fillId="0" borderId="1" xfId="20" applyFont="1" applyAlignment="1">
      <alignment vertical="center"/>
    </xf>
    <xf numFmtId="0" fontId="10" fillId="0" borderId="4" xfId="20" applyFont="1" applyBorder="1" applyAlignment="1">
      <alignment vertical="center"/>
    </xf>
    <xf numFmtId="0" fontId="10" fillId="0" borderId="1" xfId="20" applyFont="1" applyAlignment="1">
      <alignment horizontal="left" vertical="center"/>
    </xf>
    <xf numFmtId="0" fontId="10" fillId="0" borderId="1" xfId="20" applyFont="1" applyAlignment="1">
      <alignment horizontal="left" vertical="center" wrapText="1"/>
    </xf>
    <xf numFmtId="167" fontId="10" fillId="0" borderId="1" xfId="20" applyNumberFormat="1" applyFont="1" applyAlignment="1">
      <alignment vertical="center"/>
    </xf>
    <xf numFmtId="0" fontId="10" fillId="0" borderId="1" xfId="20" applyFont="1" applyAlignment="1" applyProtection="1">
      <alignment vertical="center"/>
      <protection locked="0"/>
    </xf>
    <xf numFmtId="0" fontId="10" fillId="0" borderId="15" xfId="20" applyFont="1" applyBorder="1" applyAlignment="1">
      <alignment vertical="center"/>
    </xf>
    <xf numFmtId="0" fontId="10" fillId="0" borderId="16" xfId="20" applyFont="1" applyBorder="1" applyAlignment="1">
      <alignment vertical="center"/>
    </xf>
    <xf numFmtId="0" fontId="11" fillId="0" borderId="1" xfId="20" applyFont="1" applyAlignment="1">
      <alignment vertical="center"/>
    </xf>
    <xf numFmtId="0" fontId="11" fillId="0" borderId="4" xfId="20" applyFont="1" applyBorder="1" applyAlignment="1">
      <alignment vertical="center"/>
    </xf>
    <xf numFmtId="0" fontId="11" fillId="0" borderId="1" xfId="20" applyFont="1" applyAlignment="1">
      <alignment horizontal="left" vertical="center"/>
    </xf>
    <xf numFmtId="0" fontId="11" fillId="0" borderId="1" xfId="20" applyFont="1" applyAlignment="1">
      <alignment horizontal="left" vertical="center" wrapText="1"/>
    </xf>
    <xf numFmtId="167" fontId="11" fillId="0" borderId="1" xfId="20" applyNumberFormat="1" applyFont="1" applyAlignment="1">
      <alignment vertical="center"/>
    </xf>
    <xf numFmtId="0" fontId="11" fillId="0" borderId="1" xfId="20" applyFont="1" applyAlignment="1" applyProtection="1">
      <alignment vertical="center"/>
      <protection locked="0"/>
    </xf>
    <xf numFmtId="0" fontId="11" fillId="0" borderId="15" xfId="20" applyFont="1" applyBorder="1" applyAlignment="1">
      <alignment vertical="center"/>
    </xf>
    <xf numFmtId="0" fontId="11" fillId="0" borderId="16" xfId="20" applyFont="1" applyBorder="1" applyAlignment="1">
      <alignment vertical="center"/>
    </xf>
    <xf numFmtId="0" fontId="33" fillId="0" borderId="23" xfId="20" applyFont="1" applyBorder="1" applyAlignment="1" applyProtection="1">
      <alignment horizontal="center" vertical="center"/>
      <protection locked="0"/>
    </xf>
    <xf numFmtId="49" fontId="33" fillId="0" borderId="23" xfId="20" applyNumberFormat="1" applyFont="1" applyBorder="1" applyAlignment="1" applyProtection="1">
      <alignment horizontal="left" vertical="center" wrapText="1"/>
      <protection locked="0"/>
    </xf>
    <xf numFmtId="0" fontId="33" fillId="0" borderId="23" xfId="20" applyFont="1" applyBorder="1" applyAlignment="1" applyProtection="1">
      <alignment horizontal="left" vertical="center" wrapText="1"/>
      <protection locked="0"/>
    </xf>
    <xf numFmtId="0" fontId="33" fillId="0" borderId="23" xfId="20" applyFont="1" applyBorder="1" applyAlignment="1" applyProtection="1">
      <alignment horizontal="center" vertical="center" wrapText="1"/>
      <protection locked="0"/>
    </xf>
    <xf numFmtId="167" fontId="33" fillId="0" borderId="23" xfId="20" applyNumberFormat="1" applyFont="1" applyBorder="1" applyAlignment="1" applyProtection="1">
      <alignment vertical="center"/>
      <protection locked="0"/>
    </xf>
    <xf numFmtId="4" fontId="33" fillId="10" borderId="23" xfId="20" applyNumberFormat="1" applyFont="1" applyFill="1" applyBorder="1" applyAlignment="1" applyProtection="1">
      <alignment vertical="center"/>
      <protection locked="0"/>
    </xf>
    <xf numFmtId="4" fontId="33" fillId="0" borderId="23" xfId="20" applyNumberFormat="1" applyFont="1" applyBorder="1" applyAlignment="1" applyProtection="1">
      <alignment vertical="center"/>
      <protection locked="0"/>
    </xf>
    <xf numFmtId="0" fontId="34" fillId="0" borderId="4" xfId="20" applyFont="1" applyBorder="1" applyAlignment="1">
      <alignment vertical="center"/>
    </xf>
    <xf numFmtId="0" fontId="33" fillId="10" borderId="15" xfId="20" applyFont="1" applyFill="1" applyBorder="1" applyAlignment="1" applyProtection="1">
      <alignment horizontal="left" vertical="center"/>
      <protection locked="0"/>
    </xf>
    <xf numFmtId="0" fontId="33" fillId="0" borderId="1" xfId="20" applyFont="1" applyAlignment="1">
      <alignment horizontal="center" vertical="center"/>
    </xf>
    <xf numFmtId="0" fontId="66" fillId="0" borderId="20" xfId="20" applyBorder="1" applyAlignment="1">
      <alignment vertical="center"/>
    </xf>
    <xf numFmtId="0" fontId="66" fillId="0" borderId="21" xfId="20" applyBorder="1" applyAlignment="1">
      <alignment vertical="center"/>
    </xf>
    <xf numFmtId="0" fontId="66" fillId="0" borderId="22" xfId="2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73" fillId="7" borderId="1" xfId="24" applyFill="1">
      <alignment horizontal="left" vertical="center" wrapText="1"/>
    </xf>
    <xf numFmtId="0" fontId="51" fillId="7" borderId="1" xfId="8" applyFill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41" fillId="0" borderId="59" xfId="2" applyNumberFormat="1" applyFont="1" applyBorder="1" applyAlignment="1" applyProtection="1">
      <alignment horizontal="center"/>
      <protection locked="0"/>
    </xf>
    <xf numFmtId="4" fontId="41" fillId="0" borderId="58" xfId="2" applyNumberFormat="1" applyFont="1" applyBorder="1" applyAlignment="1" applyProtection="1">
      <alignment horizontal="center"/>
      <protection locked="0"/>
    </xf>
    <xf numFmtId="0" fontId="3" fillId="0" borderId="1" xfId="20" applyFont="1" applyAlignment="1">
      <alignment horizontal="left" vertical="center" wrapText="1"/>
    </xf>
    <xf numFmtId="0" fontId="66" fillId="0" borderId="1" xfId="20" applyAlignment="1">
      <alignment vertical="center"/>
    </xf>
    <xf numFmtId="0" fontId="1" fillId="0" borderId="1" xfId="20" applyFont="1" applyAlignment="1">
      <alignment horizontal="left" vertical="center" wrapText="1"/>
    </xf>
    <xf numFmtId="0" fontId="1" fillId="0" borderId="1" xfId="20" applyFont="1" applyAlignment="1">
      <alignment horizontal="left" vertical="center"/>
    </xf>
    <xf numFmtId="0" fontId="14" fillId="2" borderId="1" xfId="20" applyFont="1" applyFill="1" applyAlignment="1">
      <alignment horizontal="center" vertical="center"/>
    </xf>
    <xf numFmtId="0" fontId="66" fillId="0" borderId="1" xfId="20"/>
    <xf numFmtId="0" fontId="2" fillId="10" borderId="1" xfId="20" applyFont="1" applyFill="1" applyAlignment="1" applyProtection="1">
      <alignment horizontal="left" vertical="center"/>
      <protection locked="0"/>
    </xf>
    <xf numFmtId="0" fontId="2" fillId="0" borderId="1" xfId="20" applyFont="1" applyAlignment="1">
      <alignment horizontal="left" vertical="center"/>
    </xf>
    <xf numFmtId="0" fontId="2" fillId="0" borderId="1" xfId="20" applyFont="1" applyAlignment="1">
      <alignment horizontal="left" vertical="center" wrapText="1"/>
    </xf>
    <xf numFmtId="0" fontId="72" fillId="7" borderId="1" xfId="23" applyFill="1" applyAlignment="1">
      <alignment horizontal="right" vertical="center" wrapText="1"/>
    </xf>
    <xf numFmtId="0" fontId="51" fillId="7" borderId="1" xfId="8" applyFill="1" applyAlignment="1">
      <alignment horizontal="right"/>
    </xf>
    <xf numFmtId="0" fontId="71" fillId="6" borderId="80" xfId="22" applyFill="1" applyBorder="1">
      <alignment horizontal="center" vertical="center" wrapText="1"/>
    </xf>
    <xf numFmtId="0" fontId="71" fillId="6" borderId="83" xfId="22" applyFill="1" applyBorder="1">
      <alignment horizontal="center" vertical="center" wrapText="1"/>
    </xf>
    <xf numFmtId="0" fontId="71" fillId="6" borderId="84" xfId="22" applyFill="1" applyBorder="1">
      <alignment horizontal="center" vertical="center" wrapText="1"/>
    </xf>
    <xf numFmtId="0" fontId="71" fillId="6" borderId="82" xfId="22" applyFill="1" applyBorder="1">
      <alignment horizontal="center" vertical="center" wrapText="1"/>
    </xf>
    <xf numFmtId="4" fontId="25" fillId="0" borderId="0" xfId="0" applyNumberFormat="1" applyFont="1" applyAlignment="1">
      <alignment horizontal="right" vertical="center"/>
    </xf>
  </cellXfs>
  <cellStyles count="27">
    <cellStyle name="Hypertextový odkaz" xfId="1" builtinId="8"/>
    <cellStyle name="Hypertextový odkaz 2" xfId="15" xr:uid="{9B8AF5F3-A0A7-402F-8CC1-243315541687}"/>
    <cellStyle name="NadpisRekapitulaceSoupisPraciStyle" xfId="12" xr:uid="{9DEF2742-115B-4E86-9194-026B84B75994}"/>
    <cellStyle name="NadpisRekapitulaceSoupisPraciStyle 2" xfId="24" xr:uid="{6D88CF5A-09F6-485B-A1FA-CC15EE6947DF}"/>
    <cellStyle name="NadpisySloupcuStyle" xfId="10" xr:uid="{750A424F-5B4A-4825-A250-D335609DCED3}"/>
    <cellStyle name="NadpisySloupcuStyle 2" xfId="22" xr:uid="{A490977D-8A29-4CD6-9421-A23B6B676AB1}"/>
    <cellStyle name="Normální" xfId="0" builtinId="0" customBuiltin="1"/>
    <cellStyle name="Normální 10" xfId="20" xr:uid="{FC68AEBF-91C6-4A2E-8097-256733E65510}"/>
    <cellStyle name="Normální 11" xfId="21" xr:uid="{B4B2622F-A976-4950-B395-A8A703A8E1DD}"/>
    <cellStyle name="Normální 12" xfId="19" xr:uid="{C815352E-1B7B-43F8-A6A7-59A7886A4566}"/>
    <cellStyle name="Normální 2" xfId="2" xr:uid="{F69DF428-949E-410A-A245-F570C9296C98}"/>
    <cellStyle name="normální 2 2" xfId="5" xr:uid="{288DF3E3-D0D8-4D7C-BF11-5736EFEAA401}"/>
    <cellStyle name="normální 21" xfId="6" xr:uid="{8281346A-1D23-4A97-9BA6-B09B8A8774E9}"/>
    <cellStyle name="Normální 3" xfId="8" xr:uid="{FA3EC27B-3642-42EC-98C7-435CCE37F494}"/>
    <cellStyle name="normální 4" xfId="3" xr:uid="{6B1667E5-2EFE-4B3E-9999-754927687184}"/>
    <cellStyle name="Normální 5" xfId="14" xr:uid="{8B666148-BE1F-4870-A15D-DE2517F9B877}"/>
    <cellStyle name="Normální 6" xfId="16" xr:uid="{5D4023A2-73A3-4229-B2F8-188A379FFF53}"/>
    <cellStyle name="Normální 7" xfId="17" xr:uid="{1844CB1D-9111-4678-BDFD-B85A71D039AD}"/>
    <cellStyle name="normální 8" xfId="4" xr:uid="{F1DFB319-0674-46A3-A616-3766981D67DD}"/>
    <cellStyle name="Normální 9" xfId="18" xr:uid="{797B7A3B-445F-4183-9446-0075E398EA91}"/>
    <cellStyle name="normální_Kalkulace_UT" xfId="7" xr:uid="{A3720A20-6397-428F-90F5-99E7C2D214B3}"/>
    <cellStyle name="NormalStyle" xfId="9" xr:uid="{E91F86B2-5563-4276-8BD9-67CD8FF2B434}"/>
    <cellStyle name="NormalStyle 2" xfId="25" xr:uid="{012DC442-EB41-49F2-B3C8-92C28A05A441}"/>
    <cellStyle name="RekapitulaceCenyStyle" xfId="11" xr:uid="{8781E2AD-06C3-426F-AE8D-65F18B24688F}"/>
    <cellStyle name="RekapitulaceCenyStyle 2" xfId="26" xr:uid="{4ED286C3-E2AB-4592-A0F4-F9161C38379D}"/>
    <cellStyle name="StavbaRozpocetHeaderStyle" xfId="13" xr:uid="{A8208C83-B3EC-4B53-94E7-2170A0189B0B}"/>
    <cellStyle name="StavbaRozpocetHeaderStyle 2" xfId="23" xr:uid="{D1A01E03-7B01-4526-9FC0-47E759512C3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54B80D16-86E6-4836-95C7-B1B0E743049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C48B4BBC-C1E1-40D0-8179-C47B1B169A7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90A400C0-E6A3-4CAD-9B62-144D650C3C8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0B751D8-0551-4F81-B05E-CB3E7AEEE52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A6B1B4E6-80BE-4C4B-A5C1-789E00DF8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9CF71F31-48BB-48CB-BB94-5C932444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7D9895EF-D714-4C09-9748-835CD126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3D0B50B1-C4B4-4027-8022-D8405678D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5592AA81-4AE3-411F-A6DE-A4FDCBD9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DF764FB6-57B1-4D0C-A0B8-DADF81AF8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5BD12421-B121-4A34-A082-5BDCF2CC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10BB62AA-072F-40BB-B888-8B68F2DB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361950" cy="361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KCE\202057_%20SV%20PROPOJEN&#205;%20OKRU&#381;N&#205;%20A%20NA%20HROUD&#193;CH\09_EXP\231219_DPS%20komplet%20k%20tisku\Rozpo&#269;et\Nymburk_Okruzni_Rozpocet-KOMUNIKACE.xlsx" TargetMode="External"/><Relationship Id="rId1" Type="http://schemas.openxmlformats.org/officeDocument/2006/relationships/externalLinkPath" Target="Nymburk_Okruzni_Rozpocet-KOMUNIK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101001N"/>
      <sheetName val="101001U"/>
      <sheetName val="101101.1"/>
      <sheetName val="101101.2"/>
      <sheetName val="101101.3"/>
      <sheetName val="101101.4"/>
    </sheetNames>
    <sheetDataSet>
      <sheetData sheetId="0" refreshError="1"/>
      <sheetData sheetId="1">
        <row r="1">
          <cell r="A1" t="str">
            <v>EstiCon</v>
          </cell>
        </row>
      </sheetData>
      <sheetData sheetId="2">
        <row r="1">
          <cell r="A1" t="str">
            <v>EstiCon</v>
          </cell>
        </row>
      </sheetData>
      <sheetData sheetId="3">
        <row r="1">
          <cell r="A1" t="str">
            <v>EstiCon</v>
          </cell>
        </row>
      </sheetData>
      <sheetData sheetId="4">
        <row r="1">
          <cell r="A1" t="str">
            <v>EstiCon</v>
          </cell>
        </row>
      </sheetData>
      <sheetData sheetId="5">
        <row r="1">
          <cell r="A1" t="str">
            <v>EstiCon</v>
          </cell>
        </row>
      </sheetData>
      <sheetData sheetId="6">
        <row r="1">
          <cell r="A1" t="str">
            <v>EstiCon</v>
          </cell>
        </row>
        <row r="5">
          <cell r="E5" t="str">
            <v>Komunikace km 0,000 - 0,098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751119" TargetMode="External"/><Relationship Id="rId18" Type="http://schemas.openxmlformats.org/officeDocument/2006/relationships/hyperlink" Target="https://podminky.urs.cz/item/CS_URS_2023_02/171201231" TargetMode="External"/><Relationship Id="rId26" Type="http://schemas.openxmlformats.org/officeDocument/2006/relationships/hyperlink" Target="https://podminky.urs.cz/item/CS_URS_2023_02/857264122" TargetMode="External"/><Relationship Id="rId39" Type="http://schemas.openxmlformats.org/officeDocument/2006/relationships/hyperlink" Target="https://podminky.urs.cz/item/CS_URS_2023_02/877251118" TargetMode="External"/><Relationship Id="rId21" Type="http://schemas.openxmlformats.org/officeDocument/2006/relationships/hyperlink" Target="https://podminky.urs.cz/item/CS_URS_2023_02/175151101" TargetMode="External"/><Relationship Id="rId34" Type="http://schemas.openxmlformats.org/officeDocument/2006/relationships/hyperlink" Target="https://podminky.urs.cz/item/CS_URS_2023_02/899913142" TargetMode="External"/><Relationship Id="rId42" Type="http://schemas.openxmlformats.org/officeDocument/2006/relationships/hyperlink" Target="https://podminky.urs.cz/item/CS_URS_2023_02/891241112" TargetMode="External"/><Relationship Id="rId47" Type="http://schemas.openxmlformats.org/officeDocument/2006/relationships/hyperlink" Target="https://podminky.urs.cz/item/CS_URS_2023_02/892271111" TargetMode="External"/><Relationship Id="rId50" Type="http://schemas.openxmlformats.org/officeDocument/2006/relationships/hyperlink" Target="https://podminky.urs.cz/item/CS_URS_2023_02/892353122" TargetMode="External"/><Relationship Id="rId55" Type="http://schemas.openxmlformats.org/officeDocument/2006/relationships/hyperlink" Target="https://podminky.urs.cz/item/CS_URS_2023_02/899722112" TargetMode="External"/><Relationship Id="rId7" Type="http://schemas.openxmlformats.org/officeDocument/2006/relationships/hyperlink" Target="https://podminky.urs.cz/item/CS_URS_2023_02/139001101" TargetMode="External"/><Relationship Id="rId12" Type="http://schemas.openxmlformats.org/officeDocument/2006/relationships/hyperlink" Target="https://podminky.urs.cz/item/CS_URS_2023_02/162751117" TargetMode="External"/><Relationship Id="rId17" Type="http://schemas.openxmlformats.org/officeDocument/2006/relationships/hyperlink" Target="https://podminky.urs.cz/item/CS_URS_2023_02/167151112" TargetMode="External"/><Relationship Id="rId25" Type="http://schemas.openxmlformats.org/officeDocument/2006/relationships/hyperlink" Target="https://podminky.urs.cz/item/CS_URS_2023_02/857242122" TargetMode="External"/><Relationship Id="rId33" Type="http://schemas.openxmlformats.org/officeDocument/2006/relationships/hyperlink" Target="https://podminky.urs.cz/item/CS_URS_2023_02/899911231" TargetMode="External"/><Relationship Id="rId38" Type="http://schemas.openxmlformats.org/officeDocument/2006/relationships/hyperlink" Target="https://podminky.urs.cz/item/CS_URS_2023_02/877251110" TargetMode="External"/><Relationship Id="rId46" Type="http://schemas.openxmlformats.org/officeDocument/2006/relationships/hyperlink" Target="https://podminky.urs.cz/item/CS_URS_2023_02/892241111" TargetMode="External"/><Relationship Id="rId2" Type="http://schemas.openxmlformats.org/officeDocument/2006/relationships/hyperlink" Target="https://podminky.urs.cz/item/CS_URS_2023_02/119001405" TargetMode="External"/><Relationship Id="rId16" Type="http://schemas.openxmlformats.org/officeDocument/2006/relationships/hyperlink" Target="https://podminky.urs.cz/item/CS_URS_2023_02/167151111" TargetMode="External"/><Relationship Id="rId20" Type="http://schemas.openxmlformats.org/officeDocument/2006/relationships/hyperlink" Target="https://podminky.urs.cz/item/CS_URS_2023_02/174151101" TargetMode="External"/><Relationship Id="rId29" Type="http://schemas.openxmlformats.org/officeDocument/2006/relationships/hyperlink" Target="https://podminky.urs.cz/item/CS_URS_2023_02/871241151" TargetMode="External"/><Relationship Id="rId41" Type="http://schemas.openxmlformats.org/officeDocument/2006/relationships/hyperlink" Target="https://podminky.urs.cz/item/CS_URS_2023_02/877321118" TargetMode="External"/><Relationship Id="rId54" Type="http://schemas.openxmlformats.org/officeDocument/2006/relationships/hyperlink" Target="https://podminky.urs.cz/item/CS_URS_2023_02/899721111" TargetMode="External"/><Relationship Id="rId1" Type="http://schemas.openxmlformats.org/officeDocument/2006/relationships/hyperlink" Target="https://podminky.urs.cz/item/CS_URS_2023_02/119001401" TargetMode="External"/><Relationship Id="rId6" Type="http://schemas.openxmlformats.org/officeDocument/2006/relationships/hyperlink" Target="https://podminky.urs.cz/item/CS_URS_2023_02/132354206" TargetMode="External"/><Relationship Id="rId11" Type="http://schemas.openxmlformats.org/officeDocument/2006/relationships/hyperlink" Target="https://podminky.urs.cz/item/CS_URS_2023_02/162351124" TargetMode="External"/><Relationship Id="rId24" Type="http://schemas.openxmlformats.org/officeDocument/2006/relationships/hyperlink" Target="https://podminky.urs.cz/item/CS_URS_2023_02/452353101" TargetMode="External"/><Relationship Id="rId32" Type="http://schemas.openxmlformats.org/officeDocument/2006/relationships/hyperlink" Target="https://podminky.urs.cz/item/CS_URS_2023_02/871351152" TargetMode="External"/><Relationship Id="rId37" Type="http://schemas.openxmlformats.org/officeDocument/2006/relationships/hyperlink" Target="https://podminky.urs.cz/item/CS_URS_2023_02/877251101" TargetMode="External"/><Relationship Id="rId40" Type="http://schemas.openxmlformats.org/officeDocument/2006/relationships/hyperlink" Target="https://podminky.urs.cz/item/CS_URS_2023_02/877321101" TargetMode="External"/><Relationship Id="rId45" Type="http://schemas.openxmlformats.org/officeDocument/2006/relationships/hyperlink" Target="https://podminky.urs.cz/item/CS_URS_2023_02/891311112" TargetMode="External"/><Relationship Id="rId53" Type="http://schemas.openxmlformats.org/officeDocument/2006/relationships/hyperlink" Target="https://podminky.urs.cz/item/CS_URS_2023_02/899713111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3_02/132254206" TargetMode="External"/><Relationship Id="rId15" Type="http://schemas.openxmlformats.org/officeDocument/2006/relationships/hyperlink" Target="https://podminky.urs.cz/item/CS_URS_2023_02/162751139" TargetMode="External"/><Relationship Id="rId23" Type="http://schemas.openxmlformats.org/officeDocument/2006/relationships/hyperlink" Target="https://podminky.urs.cz/item/CS_URS_2023_02/452313141" TargetMode="External"/><Relationship Id="rId28" Type="http://schemas.openxmlformats.org/officeDocument/2006/relationships/hyperlink" Target="https://podminky.urs.cz/item/CS_URS_2023_02/857314122" TargetMode="External"/><Relationship Id="rId36" Type="http://schemas.openxmlformats.org/officeDocument/2006/relationships/hyperlink" Target="https://podminky.urs.cz/item/CS_URS_2023_02/877241118" TargetMode="External"/><Relationship Id="rId49" Type="http://schemas.openxmlformats.org/officeDocument/2006/relationships/hyperlink" Target="https://podminky.urs.cz/item/CS_URS_2023_02/892273122" TargetMode="External"/><Relationship Id="rId57" Type="http://schemas.openxmlformats.org/officeDocument/2006/relationships/hyperlink" Target="https://podminky.urs.cz/item/CS_URS_2023_02/998276124" TargetMode="External"/><Relationship Id="rId10" Type="http://schemas.openxmlformats.org/officeDocument/2006/relationships/hyperlink" Target="https://podminky.urs.cz/item/CS_URS_2023_02/162351104" TargetMode="External"/><Relationship Id="rId19" Type="http://schemas.openxmlformats.org/officeDocument/2006/relationships/hyperlink" Target="https://podminky.urs.cz/item/CS_URS_2023_02/171251201" TargetMode="External"/><Relationship Id="rId31" Type="http://schemas.openxmlformats.org/officeDocument/2006/relationships/hyperlink" Target="https://podminky.urs.cz/item/CS_URS_2023_02/871321151" TargetMode="External"/><Relationship Id="rId44" Type="http://schemas.openxmlformats.org/officeDocument/2006/relationships/hyperlink" Target="https://podminky.urs.cz/item/CS_URS_2023_02/891261112" TargetMode="External"/><Relationship Id="rId52" Type="http://schemas.openxmlformats.org/officeDocument/2006/relationships/hyperlink" Target="https://podminky.urs.cz/item/CS_URS_2023_02/899401113" TargetMode="External"/><Relationship Id="rId4" Type="http://schemas.openxmlformats.org/officeDocument/2006/relationships/hyperlink" Target="https://podminky.urs.cz/item/CS_URS_2023_02/132154206" TargetMode="External"/><Relationship Id="rId9" Type="http://schemas.openxmlformats.org/officeDocument/2006/relationships/hyperlink" Target="https://podminky.urs.cz/item/CS_URS_2023_02/151101111" TargetMode="External"/><Relationship Id="rId14" Type="http://schemas.openxmlformats.org/officeDocument/2006/relationships/hyperlink" Target="https://podminky.urs.cz/item/CS_URS_2023_02/162751137" TargetMode="External"/><Relationship Id="rId22" Type="http://schemas.openxmlformats.org/officeDocument/2006/relationships/hyperlink" Target="https://podminky.urs.cz/item/CS_URS_2023_02/451572111" TargetMode="External"/><Relationship Id="rId27" Type="http://schemas.openxmlformats.org/officeDocument/2006/relationships/hyperlink" Target="https://podminky.urs.cz/item/CS_URS_2023_02/857312122" TargetMode="External"/><Relationship Id="rId30" Type="http://schemas.openxmlformats.org/officeDocument/2006/relationships/hyperlink" Target="https://podminky.urs.cz/item/CS_URS_2023_02/871251151" TargetMode="External"/><Relationship Id="rId35" Type="http://schemas.openxmlformats.org/officeDocument/2006/relationships/hyperlink" Target="https://podminky.urs.cz/item/CS_URS_2023_02/877241101" TargetMode="External"/><Relationship Id="rId43" Type="http://schemas.openxmlformats.org/officeDocument/2006/relationships/hyperlink" Target="https://podminky.urs.cz/item/CS_URS_2023_02/891247112" TargetMode="External"/><Relationship Id="rId48" Type="http://schemas.openxmlformats.org/officeDocument/2006/relationships/hyperlink" Target="https://podminky.urs.cz/item/CS_URS_2023_02/892351111" TargetMode="External"/><Relationship Id="rId56" Type="http://schemas.openxmlformats.org/officeDocument/2006/relationships/hyperlink" Target="https://podminky.urs.cz/item/CS_URS_2023_02/998276101" TargetMode="External"/><Relationship Id="rId8" Type="http://schemas.openxmlformats.org/officeDocument/2006/relationships/hyperlink" Target="https://podminky.urs.cz/item/CS_URS_2023_02/151101101" TargetMode="External"/><Relationship Id="rId51" Type="http://schemas.openxmlformats.org/officeDocument/2006/relationships/hyperlink" Target="https://podminky.urs.cz/item/CS_URS_2023_02/899401112" TargetMode="External"/><Relationship Id="rId3" Type="http://schemas.openxmlformats.org/officeDocument/2006/relationships/hyperlink" Target="https://podminky.urs.cz/item/CS_URS_2023_02/11900142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7151112" TargetMode="External"/><Relationship Id="rId18" Type="http://schemas.openxmlformats.org/officeDocument/2006/relationships/hyperlink" Target="https://podminky.urs.cz/item/CS_URS_2023_02/451572111" TargetMode="External"/><Relationship Id="rId26" Type="http://schemas.openxmlformats.org/officeDocument/2006/relationships/hyperlink" Target="https://podminky.urs.cz/item/CS_URS_2023_02/871321151" TargetMode="External"/><Relationship Id="rId39" Type="http://schemas.openxmlformats.org/officeDocument/2006/relationships/hyperlink" Target="https://podminky.urs.cz/item/CS_URS_2023_02/892241111" TargetMode="External"/><Relationship Id="rId3" Type="http://schemas.openxmlformats.org/officeDocument/2006/relationships/hyperlink" Target="https://podminky.urs.cz/item/CS_URS_2023_02/132354206" TargetMode="External"/><Relationship Id="rId21" Type="http://schemas.openxmlformats.org/officeDocument/2006/relationships/hyperlink" Target="https://podminky.urs.cz/item/CS_URS_2023_02/857264122" TargetMode="External"/><Relationship Id="rId34" Type="http://schemas.openxmlformats.org/officeDocument/2006/relationships/hyperlink" Target="https://podminky.urs.cz/item/CS_URS_2023_02/877321118" TargetMode="External"/><Relationship Id="rId42" Type="http://schemas.openxmlformats.org/officeDocument/2006/relationships/hyperlink" Target="https://podminky.urs.cz/item/CS_URS_2023_02/892273122" TargetMode="External"/><Relationship Id="rId47" Type="http://schemas.openxmlformats.org/officeDocument/2006/relationships/hyperlink" Target="https://podminky.urs.cz/item/CS_URS_2023_02/899721111" TargetMode="External"/><Relationship Id="rId50" Type="http://schemas.openxmlformats.org/officeDocument/2006/relationships/hyperlink" Target="https://podminky.urs.cz/item/CS_URS_2023_02/998276124" TargetMode="External"/><Relationship Id="rId7" Type="http://schemas.openxmlformats.org/officeDocument/2006/relationships/hyperlink" Target="https://podminky.urs.cz/item/CS_URS_2023_02/162351124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75151101" TargetMode="External"/><Relationship Id="rId25" Type="http://schemas.openxmlformats.org/officeDocument/2006/relationships/hyperlink" Target="https://podminky.urs.cz/item/CS_URS_2023_02/871251151" TargetMode="External"/><Relationship Id="rId33" Type="http://schemas.openxmlformats.org/officeDocument/2006/relationships/hyperlink" Target="https://podminky.urs.cz/item/CS_URS_2023_02/877321101" TargetMode="External"/><Relationship Id="rId38" Type="http://schemas.openxmlformats.org/officeDocument/2006/relationships/hyperlink" Target="https://podminky.urs.cz/item/CS_URS_2023_02/891311112" TargetMode="External"/><Relationship Id="rId46" Type="http://schemas.openxmlformats.org/officeDocument/2006/relationships/hyperlink" Target="https://podminky.urs.cz/item/CS_URS_2023_02/899713111" TargetMode="External"/><Relationship Id="rId2" Type="http://schemas.openxmlformats.org/officeDocument/2006/relationships/hyperlink" Target="https://podminky.urs.cz/item/CS_URS_2023_02/132254206" TargetMode="External"/><Relationship Id="rId16" Type="http://schemas.openxmlformats.org/officeDocument/2006/relationships/hyperlink" Target="https://podminky.urs.cz/item/CS_URS_2023_02/174151101" TargetMode="External"/><Relationship Id="rId20" Type="http://schemas.openxmlformats.org/officeDocument/2006/relationships/hyperlink" Target="https://podminky.urs.cz/item/CS_URS_2023_02/857242122" TargetMode="External"/><Relationship Id="rId29" Type="http://schemas.openxmlformats.org/officeDocument/2006/relationships/hyperlink" Target="https://podminky.urs.cz/item/CS_URS_2023_02/877241101" TargetMode="External"/><Relationship Id="rId41" Type="http://schemas.openxmlformats.org/officeDocument/2006/relationships/hyperlink" Target="https://podminky.urs.cz/item/CS_URS_2023_02/892351111" TargetMode="External"/><Relationship Id="rId1" Type="http://schemas.openxmlformats.org/officeDocument/2006/relationships/hyperlink" Target="https://podminky.urs.cz/item/CS_URS_2023_02/132154206" TargetMode="External"/><Relationship Id="rId6" Type="http://schemas.openxmlformats.org/officeDocument/2006/relationships/hyperlink" Target="https://podminky.urs.cz/item/CS_URS_2023_02/162351104" TargetMode="External"/><Relationship Id="rId11" Type="http://schemas.openxmlformats.org/officeDocument/2006/relationships/hyperlink" Target="https://podminky.urs.cz/item/CS_URS_2023_02/162751139" TargetMode="External"/><Relationship Id="rId24" Type="http://schemas.openxmlformats.org/officeDocument/2006/relationships/hyperlink" Target="https://podminky.urs.cz/item/CS_URS_2023_02/871241151" TargetMode="External"/><Relationship Id="rId32" Type="http://schemas.openxmlformats.org/officeDocument/2006/relationships/hyperlink" Target="https://podminky.urs.cz/item/CS_URS_2023_02/877251118" TargetMode="External"/><Relationship Id="rId37" Type="http://schemas.openxmlformats.org/officeDocument/2006/relationships/hyperlink" Target="https://podminky.urs.cz/item/CS_URS_2023_02/891261112" TargetMode="External"/><Relationship Id="rId40" Type="http://schemas.openxmlformats.org/officeDocument/2006/relationships/hyperlink" Target="https://podminky.urs.cz/item/CS_URS_2023_02/892271111" TargetMode="External"/><Relationship Id="rId45" Type="http://schemas.openxmlformats.org/officeDocument/2006/relationships/hyperlink" Target="https://podminky.urs.cz/item/CS_URS_2023_02/899401113" TargetMode="External"/><Relationship Id="rId5" Type="http://schemas.openxmlformats.org/officeDocument/2006/relationships/hyperlink" Target="https://podminky.urs.cz/item/CS_URS_2023_02/151101111" TargetMode="External"/><Relationship Id="rId15" Type="http://schemas.openxmlformats.org/officeDocument/2006/relationships/hyperlink" Target="https://podminky.urs.cz/item/CS_URS_2023_02/171251201" TargetMode="External"/><Relationship Id="rId23" Type="http://schemas.openxmlformats.org/officeDocument/2006/relationships/hyperlink" Target="https://podminky.urs.cz/item/CS_URS_2023_02/857314122" TargetMode="External"/><Relationship Id="rId28" Type="http://schemas.openxmlformats.org/officeDocument/2006/relationships/hyperlink" Target="https://podminky.urs.cz/item/CS_URS_2023_02/899913142" TargetMode="External"/><Relationship Id="rId36" Type="http://schemas.openxmlformats.org/officeDocument/2006/relationships/hyperlink" Target="https://podminky.urs.cz/item/CS_URS_2023_02/891247112" TargetMode="External"/><Relationship Id="rId49" Type="http://schemas.openxmlformats.org/officeDocument/2006/relationships/hyperlink" Target="https://podminky.urs.cz/item/CS_URS_2023_02/998276101" TargetMode="External"/><Relationship Id="rId10" Type="http://schemas.openxmlformats.org/officeDocument/2006/relationships/hyperlink" Target="https://podminky.urs.cz/item/CS_URS_2023_02/162751137" TargetMode="External"/><Relationship Id="rId19" Type="http://schemas.openxmlformats.org/officeDocument/2006/relationships/hyperlink" Target="https://podminky.urs.cz/item/CS_URS_2023_02/452353101" TargetMode="External"/><Relationship Id="rId31" Type="http://schemas.openxmlformats.org/officeDocument/2006/relationships/hyperlink" Target="https://podminky.urs.cz/item/CS_URS_2023_02/877251110" TargetMode="External"/><Relationship Id="rId44" Type="http://schemas.openxmlformats.org/officeDocument/2006/relationships/hyperlink" Target="https://podminky.urs.cz/item/CS_URS_2023_02/899401112" TargetMode="External"/><Relationship Id="rId52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151101101" TargetMode="External"/><Relationship Id="rId9" Type="http://schemas.openxmlformats.org/officeDocument/2006/relationships/hyperlink" Target="https://podminky.urs.cz/item/CS_URS_2023_02/162751119" TargetMode="External"/><Relationship Id="rId14" Type="http://schemas.openxmlformats.org/officeDocument/2006/relationships/hyperlink" Target="https://podminky.urs.cz/item/CS_URS_2023_02/171201231" TargetMode="External"/><Relationship Id="rId22" Type="http://schemas.openxmlformats.org/officeDocument/2006/relationships/hyperlink" Target="https://podminky.urs.cz/item/CS_URS_2023_02/857312122" TargetMode="External"/><Relationship Id="rId27" Type="http://schemas.openxmlformats.org/officeDocument/2006/relationships/hyperlink" Target="https://podminky.urs.cz/item/CS_URS_2023_02/899911231" TargetMode="External"/><Relationship Id="rId30" Type="http://schemas.openxmlformats.org/officeDocument/2006/relationships/hyperlink" Target="https://podminky.urs.cz/item/CS_URS_2023_02/877251101" TargetMode="External"/><Relationship Id="rId35" Type="http://schemas.openxmlformats.org/officeDocument/2006/relationships/hyperlink" Target="https://podminky.urs.cz/item/CS_URS_2023_02/891241112" TargetMode="External"/><Relationship Id="rId43" Type="http://schemas.openxmlformats.org/officeDocument/2006/relationships/hyperlink" Target="https://podminky.urs.cz/item/CS_URS_2023_02/892353122" TargetMode="External"/><Relationship Id="rId48" Type="http://schemas.openxmlformats.org/officeDocument/2006/relationships/hyperlink" Target="https://podminky.urs.cz/item/CS_URS_2023_02/899722112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877241118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751137" TargetMode="External"/><Relationship Id="rId18" Type="http://schemas.openxmlformats.org/officeDocument/2006/relationships/hyperlink" Target="https://podminky.urs.cz/item/CS_URS_2023_02/171251201" TargetMode="External"/><Relationship Id="rId26" Type="http://schemas.openxmlformats.org/officeDocument/2006/relationships/hyperlink" Target="https://podminky.urs.cz/item/CS_URS_2023_02/452321131" TargetMode="External"/><Relationship Id="rId39" Type="http://schemas.openxmlformats.org/officeDocument/2006/relationships/hyperlink" Target="https://podminky.urs.cz/item/CS_URS_2023_02/871355302" TargetMode="External"/><Relationship Id="rId21" Type="http://schemas.openxmlformats.org/officeDocument/2006/relationships/hyperlink" Target="https://podminky.urs.cz/item/CS_URS_2023_02/359901211" TargetMode="External"/><Relationship Id="rId34" Type="http://schemas.openxmlformats.org/officeDocument/2006/relationships/hyperlink" Target="https://podminky.urs.cz/item/CS_URS_2023_02/857312122" TargetMode="External"/><Relationship Id="rId42" Type="http://schemas.openxmlformats.org/officeDocument/2006/relationships/hyperlink" Target="https://podminky.urs.cz/item/CS_URS_2023_02/877245201" TargetMode="External"/><Relationship Id="rId47" Type="http://schemas.openxmlformats.org/officeDocument/2006/relationships/hyperlink" Target="https://podminky.urs.cz/item/CS_URS_2023_02/877325212" TargetMode="External"/><Relationship Id="rId50" Type="http://schemas.openxmlformats.org/officeDocument/2006/relationships/hyperlink" Target="https://podminky.urs.cz/item/CS_URS_2023_02/891242122" TargetMode="External"/><Relationship Id="rId55" Type="http://schemas.openxmlformats.org/officeDocument/2006/relationships/hyperlink" Target="https://podminky.urs.cz/item/CS_URS_2023_02/894411311" TargetMode="External"/><Relationship Id="rId63" Type="http://schemas.openxmlformats.org/officeDocument/2006/relationships/hyperlink" Target="https://podminky.urs.cz/item/CS_URS_2023_02/899911231" TargetMode="External"/><Relationship Id="rId68" Type="http://schemas.openxmlformats.org/officeDocument/2006/relationships/hyperlink" Target="https://podminky.urs.cz/item/CS_URS_2023_02/715174012" TargetMode="External"/><Relationship Id="rId7" Type="http://schemas.openxmlformats.org/officeDocument/2006/relationships/hyperlink" Target="https://podminky.urs.cz/item/CS_URS_2023_02/151101101" TargetMode="External"/><Relationship Id="rId71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19001421" TargetMode="External"/><Relationship Id="rId16" Type="http://schemas.openxmlformats.org/officeDocument/2006/relationships/hyperlink" Target="https://podminky.urs.cz/item/CS_URS_2023_02/167151112" TargetMode="External"/><Relationship Id="rId29" Type="http://schemas.openxmlformats.org/officeDocument/2006/relationships/hyperlink" Target="https://podminky.urs.cz/item/CS_URS_2023_02/452368211" TargetMode="External"/><Relationship Id="rId1" Type="http://schemas.openxmlformats.org/officeDocument/2006/relationships/hyperlink" Target="https://podminky.urs.cz/item/CS_URS_2023_02/119001405" TargetMode="External"/><Relationship Id="rId6" Type="http://schemas.openxmlformats.org/officeDocument/2006/relationships/hyperlink" Target="https://podminky.urs.cz/item/CS_URS_2023_02/139001101" TargetMode="External"/><Relationship Id="rId11" Type="http://schemas.openxmlformats.org/officeDocument/2006/relationships/hyperlink" Target="https://podminky.urs.cz/item/CS_URS_2023_02/162751117" TargetMode="External"/><Relationship Id="rId24" Type="http://schemas.openxmlformats.org/officeDocument/2006/relationships/hyperlink" Target="https://podminky.urs.cz/item/CS_URS_2023_02/452312131" TargetMode="External"/><Relationship Id="rId32" Type="http://schemas.openxmlformats.org/officeDocument/2006/relationships/hyperlink" Target="https://podminky.urs.cz/item/CS_URS_2023_02/837362221" TargetMode="External"/><Relationship Id="rId37" Type="http://schemas.openxmlformats.org/officeDocument/2006/relationships/hyperlink" Target="https://podminky.urs.cz/item/CS_URS_2023_02/871255301" TargetMode="External"/><Relationship Id="rId40" Type="http://schemas.openxmlformats.org/officeDocument/2006/relationships/hyperlink" Target="https://podminky.urs.cz/item/CS_URS_2023_02/877215201" TargetMode="External"/><Relationship Id="rId45" Type="http://schemas.openxmlformats.org/officeDocument/2006/relationships/hyperlink" Target="https://podminky.urs.cz/item/CS_URS_2023_02/877325201" TargetMode="External"/><Relationship Id="rId53" Type="http://schemas.openxmlformats.org/officeDocument/2006/relationships/hyperlink" Target="https://podminky.urs.cz/item/CS_URS_2023_02/892241111" TargetMode="External"/><Relationship Id="rId58" Type="http://schemas.openxmlformats.org/officeDocument/2006/relationships/hyperlink" Target="https://podminky.urs.cz/item/CS_URS_2023_02/899103112" TargetMode="External"/><Relationship Id="rId66" Type="http://schemas.openxmlformats.org/officeDocument/2006/relationships/hyperlink" Target="https://podminky.urs.cz/item/CS_URS_2023_02/998276124" TargetMode="External"/><Relationship Id="rId5" Type="http://schemas.openxmlformats.org/officeDocument/2006/relationships/hyperlink" Target="https://podminky.urs.cz/item/CS_URS_2023_02/132354206" TargetMode="External"/><Relationship Id="rId15" Type="http://schemas.openxmlformats.org/officeDocument/2006/relationships/hyperlink" Target="https://podminky.urs.cz/item/CS_URS_2023_02/167151111" TargetMode="External"/><Relationship Id="rId23" Type="http://schemas.openxmlformats.org/officeDocument/2006/relationships/hyperlink" Target="https://podminky.urs.cz/item/CS_URS_2023_02/451572111" TargetMode="External"/><Relationship Id="rId28" Type="http://schemas.openxmlformats.org/officeDocument/2006/relationships/hyperlink" Target="https://podminky.urs.cz/item/CS_URS_2023_02/452353101" TargetMode="External"/><Relationship Id="rId36" Type="http://schemas.openxmlformats.org/officeDocument/2006/relationships/hyperlink" Target="https://podminky.urs.cz/item/CS_URS_2023_02/871255301S" TargetMode="External"/><Relationship Id="rId49" Type="http://schemas.openxmlformats.org/officeDocument/2006/relationships/hyperlink" Target="https://podminky.urs.cz/item/CS_URS_2023_02/891212122" TargetMode="External"/><Relationship Id="rId57" Type="http://schemas.openxmlformats.org/officeDocument/2006/relationships/hyperlink" Target="https://podminky.urs.cz/item/CS_URS_2023_02/894414211" TargetMode="External"/><Relationship Id="rId61" Type="http://schemas.openxmlformats.org/officeDocument/2006/relationships/hyperlink" Target="https://podminky.urs.cz/item/CS_URS_2023_02/899721111" TargetMode="External"/><Relationship Id="rId10" Type="http://schemas.openxmlformats.org/officeDocument/2006/relationships/hyperlink" Target="https://podminky.urs.cz/item/CS_URS_2023_02/162351124" TargetMode="External"/><Relationship Id="rId19" Type="http://schemas.openxmlformats.org/officeDocument/2006/relationships/hyperlink" Target="https://podminky.urs.cz/item/CS_URS_2023_02/174151101" TargetMode="External"/><Relationship Id="rId31" Type="http://schemas.openxmlformats.org/officeDocument/2006/relationships/hyperlink" Target="https://podminky.urs.cz/item/CS_URS_2023_02/831362121" TargetMode="External"/><Relationship Id="rId44" Type="http://schemas.openxmlformats.org/officeDocument/2006/relationships/hyperlink" Target="https://podminky.urs.cz/item/CS_URS_2023_02/877310310" TargetMode="External"/><Relationship Id="rId52" Type="http://schemas.openxmlformats.org/officeDocument/2006/relationships/hyperlink" Target="https://podminky.urs.cz/item/CS_URS_2023_02/891312122" TargetMode="External"/><Relationship Id="rId60" Type="http://schemas.openxmlformats.org/officeDocument/2006/relationships/hyperlink" Target="https://podminky.urs.cz/item/CS_URS_2023_02/899713111" TargetMode="External"/><Relationship Id="rId65" Type="http://schemas.openxmlformats.org/officeDocument/2006/relationships/hyperlink" Target="https://podminky.urs.cz/item/CS_URS_2023_02/998276101" TargetMode="External"/><Relationship Id="rId4" Type="http://schemas.openxmlformats.org/officeDocument/2006/relationships/hyperlink" Target="https://podminky.urs.cz/item/CS_URS_2023_02/132254206" TargetMode="External"/><Relationship Id="rId9" Type="http://schemas.openxmlformats.org/officeDocument/2006/relationships/hyperlink" Target="https://podminky.urs.cz/item/CS_URS_2023_02/162351104" TargetMode="External"/><Relationship Id="rId14" Type="http://schemas.openxmlformats.org/officeDocument/2006/relationships/hyperlink" Target="https://podminky.urs.cz/item/CS_URS_2023_02/162751139" TargetMode="External"/><Relationship Id="rId22" Type="http://schemas.openxmlformats.org/officeDocument/2006/relationships/hyperlink" Target="https://podminky.urs.cz/item/CS_URS_2023_02/451541111" TargetMode="External"/><Relationship Id="rId27" Type="http://schemas.openxmlformats.org/officeDocument/2006/relationships/hyperlink" Target="https://podminky.urs.cz/item/CS_URS_2023_02/452351101" TargetMode="External"/><Relationship Id="rId30" Type="http://schemas.openxmlformats.org/officeDocument/2006/relationships/hyperlink" Target="https://podminky.urs.cz/item/CS_URS_2023_02/452112111" TargetMode="External"/><Relationship Id="rId35" Type="http://schemas.openxmlformats.org/officeDocument/2006/relationships/hyperlink" Target="https://podminky.urs.cz/item/CS_URS_2023_02/857314122" TargetMode="External"/><Relationship Id="rId43" Type="http://schemas.openxmlformats.org/officeDocument/2006/relationships/hyperlink" Target="https://podminky.urs.cz/item/CS_URS_2023_02/877245218" TargetMode="External"/><Relationship Id="rId48" Type="http://schemas.openxmlformats.org/officeDocument/2006/relationships/hyperlink" Target="https://podminky.urs.cz/item/CS_URS_2023_02/877325218" TargetMode="External"/><Relationship Id="rId56" Type="http://schemas.openxmlformats.org/officeDocument/2006/relationships/hyperlink" Target="https://podminky.urs.cz/item/CS_URS_2023_02/894414111" TargetMode="External"/><Relationship Id="rId64" Type="http://schemas.openxmlformats.org/officeDocument/2006/relationships/hyperlink" Target="https://podminky.urs.cz/item/CS_URS_2023_02/899913134" TargetMode="External"/><Relationship Id="rId69" Type="http://schemas.openxmlformats.org/officeDocument/2006/relationships/hyperlink" Target="https://podminky.urs.cz/item/CS_URS_2023_02/998715101" TargetMode="External"/><Relationship Id="rId8" Type="http://schemas.openxmlformats.org/officeDocument/2006/relationships/hyperlink" Target="https://podminky.urs.cz/item/CS_URS_2023_02/151101111" TargetMode="External"/><Relationship Id="rId51" Type="http://schemas.openxmlformats.org/officeDocument/2006/relationships/hyperlink" Target="https://podminky.urs.cz/item/CS_URS_2023_02/891262122" TargetMode="External"/><Relationship Id="rId3" Type="http://schemas.openxmlformats.org/officeDocument/2006/relationships/hyperlink" Target="https://podminky.urs.cz/item/CS_URS_2023_02/132154206" TargetMode="External"/><Relationship Id="rId12" Type="http://schemas.openxmlformats.org/officeDocument/2006/relationships/hyperlink" Target="https://podminky.urs.cz/item/CS_URS_2023_02/162751119" TargetMode="External"/><Relationship Id="rId17" Type="http://schemas.openxmlformats.org/officeDocument/2006/relationships/hyperlink" Target="https://podminky.urs.cz/item/CS_URS_2023_02/171201231" TargetMode="External"/><Relationship Id="rId25" Type="http://schemas.openxmlformats.org/officeDocument/2006/relationships/hyperlink" Target="https://podminky.urs.cz/item/CS_URS_2023_02/452313141" TargetMode="External"/><Relationship Id="rId33" Type="http://schemas.openxmlformats.org/officeDocument/2006/relationships/hyperlink" Target="https://podminky.urs.cz/item/CS_URS_2023_02/857262122" TargetMode="External"/><Relationship Id="rId38" Type="http://schemas.openxmlformats.org/officeDocument/2006/relationships/hyperlink" Target="https://podminky.urs.cz/item/CS_URS_2023_02/871325301" TargetMode="External"/><Relationship Id="rId46" Type="http://schemas.openxmlformats.org/officeDocument/2006/relationships/hyperlink" Target="https://podminky.urs.cz/item/CS_URS_2023_02/877325210" TargetMode="External"/><Relationship Id="rId59" Type="http://schemas.openxmlformats.org/officeDocument/2006/relationships/hyperlink" Target="https://podminky.urs.cz/item/CS_URS_2023_02/899401112" TargetMode="External"/><Relationship Id="rId67" Type="http://schemas.openxmlformats.org/officeDocument/2006/relationships/hyperlink" Target="https://podminky.urs.cz/item/CS_URS_2023_02/711786166" TargetMode="External"/><Relationship Id="rId20" Type="http://schemas.openxmlformats.org/officeDocument/2006/relationships/hyperlink" Target="https://podminky.urs.cz/item/CS_URS_2023_02/175151101" TargetMode="External"/><Relationship Id="rId41" Type="http://schemas.openxmlformats.org/officeDocument/2006/relationships/hyperlink" Target="https://podminky.urs.cz/item/CS_URS_2023_02/877215218" TargetMode="External"/><Relationship Id="rId54" Type="http://schemas.openxmlformats.org/officeDocument/2006/relationships/hyperlink" Target="https://podminky.urs.cz/item/CS_URS_2023_02/892351111" TargetMode="External"/><Relationship Id="rId62" Type="http://schemas.openxmlformats.org/officeDocument/2006/relationships/hyperlink" Target="https://podminky.urs.cz/item/CS_URS_2023_02/899722111" TargetMode="External"/><Relationship Id="rId70" Type="http://schemas.openxmlformats.org/officeDocument/2006/relationships/hyperlink" Target="https://podminky.urs.cz/item/CS_URS_2023_02/99871519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7151112" TargetMode="External"/><Relationship Id="rId18" Type="http://schemas.openxmlformats.org/officeDocument/2006/relationships/hyperlink" Target="https://podminky.urs.cz/item/CS_URS_2023_02/359901211" TargetMode="External"/><Relationship Id="rId26" Type="http://schemas.openxmlformats.org/officeDocument/2006/relationships/hyperlink" Target="https://podminky.urs.cz/item/CS_URS_2023_02/831362121" TargetMode="External"/><Relationship Id="rId39" Type="http://schemas.openxmlformats.org/officeDocument/2006/relationships/hyperlink" Target="https://podminky.urs.cz/item/CS_URS_2023_02/877325201" TargetMode="External"/><Relationship Id="rId21" Type="http://schemas.openxmlformats.org/officeDocument/2006/relationships/hyperlink" Target="https://podminky.urs.cz/item/CS_URS_2023_02/452312131" TargetMode="External"/><Relationship Id="rId34" Type="http://schemas.openxmlformats.org/officeDocument/2006/relationships/hyperlink" Target="https://podminky.urs.cz/item/CS_URS_2023_02/871355302" TargetMode="External"/><Relationship Id="rId42" Type="http://schemas.openxmlformats.org/officeDocument/2006/relationships/hyperlink" Target="https://podminky.urs.cz/item/CS_URS_2023_02/891242122" TargetMode="External"/><Relationship Id="rId47" Type="http://schemas.openxmlformats.org/officeDocument/2006/relationships/hyperlink" Target="https://podminky.urs.cz/item/CS_URS_2023_02/894411311" TargetMode="External"/><Relationship Id="rId50" Type="http://schemas.openxmlformats.org/officeDocument/2006/relationships/hyperlink" Target="https://podminky.urs.cz/item/CS_URS_2023_02/899103112" TargetMode="External"/><Relationship Id="rId55" Type="http://schemas.openxmlformats.org/officeDocument/2006/relationships/hyperlink" Target="https://podminky.urs.cz/item/CS_URS_2023_02/899911231" TargetMode="External"/><Relationship Id="rId63" Type="http://schemas.openxmlformats.org/officeDocument/2006/relationships/drawing" Target="../drawings/drawing5.xml"/><Relationship Id="rId7" Type="http://schemas.openxmlformats.org/officeDocument/2006/relationships/hyperlink" Target="https://podminky.urs.cz/item/CS_URS_2023_02/162351124" TargetMode="External"/><Relationship Id="rId2" Type="http://schemas.openxmlformats.org/officeDocument/2006/relationships/hyperlink" Target="https://podminky.urs.cz/item/CS_URS_2023_02/132254206" TargetMode="External"/><Relationship Id="rId16" Type="http://schemas.openxmlformats.org/officeDocument/2006/relationships/hyperlink" Target="https://podminky.urs.cz/item/CS_URS_2023_02/174151101" TargetMode="External"/><Relationship Id="rId20" Type="http://schemas.openxmlformats.org/officeDocument/2006/relationships/hyperlink" Target="https://podminky.urs.cz/item/CS_URS_2023_02/451572111" TargetMode="External"/><Relationship Id="rId29" Type="http://schemas.openxmlformats.org/officeDocument/2006/relationships/hyperlink" Target="https://podminky.urs.cz/item/CS_URS_2023_02/857312122" TargetMode="External"/><Relationship Id="rId41" Type="http://schemas.openxmlformats.org/officeDocument/2006/relationships/hyperlink" Target="https://podminky.urs.cz/item/CS_URS_2023_02/891212122" TargetMode="External"/><Relationship Id="rId54" Type="http://schemas.openxmlformats.org/officeDocument/2006/relationships/hyperlink" Target="https://podminky.urs.cz/item/CS_URS_2023_02/899722111" TargetMode="External"/><Relationship Id="rId62" Type="http://schemas.openxmlformats.org/officeDocument/2006/relationships/hyperlink" Target="https://podminky.urs.cz/item/CS_URS_2023_02/998715193" TargetMode="External"/><Relationship Id="rId1" Type="http://schemas.openxmlformats.org/officeDocument/2006/relationships/hyperlink" Target="https://podminky.urs.cz/item/CS_URS_2023_02/132154206" TargetMode="External"/><Relationship Id="rId6" Type="http://schemas.openxmlformats.org/officeDocument/2006/relationships/hyperlink" Target="https://podminky.urs.cz/item/CS_URS_2023_02/162351104" TargetMode="External"/><Relationship Id="rId11" Type="http://schemas.openxmlformats.org/officeDocument/2006/relationships/hyperlink" Target="https://podminky.urs.cz/item/CS_URS_2023_02/162751139" TargetMode="External"/><Relationship Id="rId24" Type="http://schemas.openxmlformats.org/officeDocument/2006/relationships/hyperlink" Target="https://podminky.urs.cz/item/CS_URS_2023_02/452353101" TargetMode="External"/><Relationship Id="rId32" Type="http://schemas.openxmlformats.org/officeDocument/2006/relationships/hyperlink" Target="https://podminky.urs.cz/item/CS_URS_2023_02/871255301" TargetMode="External"/><Relationship Id="rId37" Type="http://schemas.openxmlformats.org/officeDocument/2006/relationships/hyperlink" Target="https://podminky.urs.cz/item/CS_URS_2023_02/877245218" TargetMode="External"/><Relationship Id="rId40" Type="http://schemas.openxmlformats.org/officeDocument/2006/relationships/hyperlink" Target="https://podminky.urs.cz/item/CS_URS_2023_02/877325210" TargetMode="External"/><Relationship Id="rId45" Type="http://schemas.openxmlformats.org/officeDocument/2006/relationships/hyperlink" Target="https://podminky.urs.cz/item/CS_URS_2023_02/892241111" TargetMode="External"/><Relationship Id="rId53" Type="http://schemas.openxmlformats.org/officeDocument/2006/relationships/hyperlink" Target="https://podminky.urs.cz/item/CS_URS_2023_02/899721111" TargetMode="External"/><Relationship Id="rId58" Type="http://schemas.openxmlformats.org/officeDocument/2006/relationships/hyperlink" Target="https://podminky.urs.cz/item/CS_URS_2023_02/998276124" TargetMode="External"/><Relationship Id="rId5" Type="http://schemas.openxmlformats.org/officeDocument/2006/relationships/hyperlink" Target="https://podminky.urs.cz/item/CS_URS_2023_02/151101111" TargetMode="External"/><Relationship Id="rId15" Type="http://schemas.openxmlformats.org/officeDocument/2006/relationships/hyperlink" Target="https://podminky.urs.cz/item/CS_URS_2023_02/171251201" TargetMode="External"/><Relationship Id="rId23" Type="http://schemas.openxmlformats.org/officeDocument/2006/relationships/hyperlink" Target="https://podminky.urs.cz/item/CS_URS_2023_02/452351101" TargetMode="External"/><Relationship Id="rId28" Type="http://schemas.openxmlformats.org/officeDocument/2006/relationships/hyperlink" Target="https://podminky.urs.cz/item/CS_URS_2023_02/857262122" TargetMode="External"/><Relationship Id="rId36" Type="http://schemas.openxmlformats.org/officeDocument/2006/relationships/hyperlink" Target="https://podminky.urs.cz/item/CS_URS_2023_02/877245201" TargetMode="External"/><Relationship Id="rId49" Type="http://schemas.openxmlformats.org/officeDocument/2006/relationships/hyperlink" Target="https://podminky.urs.cz/item/CS_URS_2023_02/894414211" TargetMode="External"/><Relationship Id="rId57" Type="http://schemas.openxmlformats.org/officeDocument/2006/relationships/hyperlink" Target="https://podminky.urs.cz/item/CS_URS_2023_02/998276101" TargetMode="External"/><Relationship Id="rId61" Type="http://schemas.openxmlformats.org/officeDocument/2006/relationships/hyperlink" Target="https://podminky.urs.cz/item/CS_URS_2023_02/998715101" TargetMode="External"/><Relationship Id="rId10" Type="http://schemas.openxmlformats.org/officeDocument/2006/relationships/hyperlink" Target="https://podminky.urs.cz/item/CS_URS_2023_02/162751137" TargetMode="External"/><Relationship Id="rId19" Type="http://schemas.openxmlformats.org/officeDocument/2006/relationships/hyperlink" Target="https://podminky.urs.cz/item/CS_URS_2023_02/451541111" TargetMode="External"/><Relationship Id="rId31" Type="http://schemas.openxmlformats.org/officeDocument/2006/relationships/hyperlink" Target="https://podminky.urs.cz/item/CS_URS_2023_02/871255301S" TargetMode="External"/><Relationship Id="rId44" Type="http://schemas.openxmlformats.org/officeDocument/2006/relationships/hyperlink" Target="https://podminky.urs.cz/item/CS_URS_2023_02/891312122" TargetMode="External"/><Relationship Id="rId52" Type="http://schemas.openxmlformats.org/officeDocument/2006/relationships/hyperlink" Target="https://podminky.urs.cz/item/CS_URS_2023_02/899713111" TargetMode="External"/><Relationship Id="rId60" Type="http://schemas.openxmlformats.org/officeDocument/2006/relationships/hyperlink" Target="https://podminky.urs.cz/item/CS_URS_2023_02/715174012" TargetMode="External"/><Relationship Id="rId4" Type="http://schemas.openxmlformats.org/officeDocument/2006/relationships/hyperlink" Target="https://podminky.urs.cz/item/CS_URS_2023_02/151101101" TargetMode="External"/><Relationship Id="rId9" Type="http://schemas.openxmlformats.org/officeDocument/2006/relationships/hyperlink" Target="https://podminky.urs.cz/item/CS_URS_2023_02/162751119" TargetMode="External"/><Relationship Id="rId14" Type="http://schemas.openxmlformats.org/officeDocument/2006/relationships/hyperlink" Target="https://podminky.urs.cz/item/CS_URS_2023_02/171201231" TargetMode="External"/><Relationship Id="rId22" Type="http://schemas.openxmlformats.org/officeDocument/2006/relationships/hyperlink" Target="https://podminky.urs.cz/item/CS_URS_2023_02/452321131" TargetMode="External"/><Relationship Id="rId27" Type="http://schemas.openxmlformats.org/officeDocument/2006/relationships/hyperlink" Target="https://podminky.urs.cz/item/CS_URS_2023_02/837362221" TargetMode="External"/><Relationship Id="rId30" Type="http://schemas.openxmlformats.org/officeDocument/2006/relationships/hyperlink" Target="https://podminky.urs.cz/item/CS_URS_2023_02/857314122" TargetMode="External"/><Relationship Id="rId35" Type="http://schemas.openxmlformats.org/officeDocument/2006/relationships/hyperlink" Target="https://podminky.urs.cz/item/CS_URS_2023_02/877215201" TargetMode="External"/><Relationship Id="rId43" Type="http://schemas.openxmlformats.org/officeDocument/2006/relationships/hyperlink" Target="https://podminky.urs.cz/item/CS_URS_2023_02/891262122" TargetMode="External"/><Relationship Id="rId48" Type="http://schemas.openxmlformats.org/officeDocument/2006/relationships/hyperlink" Target="https://podminky.urs.cz/item/CS_URS_2023_02/894414111" TargetMode="External"/><Relationship Id="rId56" Type="http://schemas.openxmlformats.org/officeDocument/2006/relationships/hyperlink" Target="https://podminky.urs.cz/item/CS_URS_2023_02/899913134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899401112" TargetMode="External"/><Relationship Id="rId3" Type="http://schemas.openxmlformats.org/officeDocument/2006/relationships/hyperlink" Target="https://podminky.urs.cz/item/CS_URS_2023_02/132354206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75151101" TargetMode="External"/><Relationship Id="rId25" Type="http://schemas.openxmlformats.org/officeDocument/2006/relationships/hyperlink" Target="https://podminky.urs.cz/item/CS_URS_2023_02/452112111" TargetMode="External"/><Relationship Id="rId33" Type="http://schemas.openxmlformats.org/officeDocument/2006/relationships/hyperlink" Target="https://podminky.urs.cz/item/CS_URS_2023_02/871325301" TargetMode="External"/><Relationship Id="rId38" Type="http://schemas.openxmlformats.org/officeDocument/2006/relationships/hyperlink" Target="https://podminky.urs.cz/item/CS_URS_2023_02/877310310" TargetMode="External"/><Relationship Id="rId46" Type="http://schemas.openxmlformats.org/officeDocument/2006/relationships/hyperlink" Target="https://podminky.urs.cz/item/CS_URS_2023_02/892351111" TargetMode="External"/><Relationship Id="rId59" Type="http://schemas.openxmlformats.org/officeDocument/2006/relationships/hyperlink" Target="https://podminky.urs.cz/item/CS_URS_2023_02/71178616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39001101" TargetMode="External"/><Relationship Id="rId18" Type="http://schemas.openxmlformats.org/officeDocument/2006/relationships/hyperlink" Target="https://podminky.urs.cz/item/CS_URS_2023_02/162751117" TargetMode="External"/><Relationship Id="rId26" Type="http://schemas.openxmlformats.org/officeDocument/2006/relationships/hyperlink" Target="https://podminky.urs.cz/item/CS_URS_2023_02/171251201" TargetMode="External"/><Relationship Id="rId39" Type="http://schemas.openxmlformats.org/officeDocument/2006/relationships/hyperlink" Target="https://podminky.urs.cz/item/CS_URS_2023_02/871370420" TargetMode="External"/><Relationship Id="rId3" Type="http://schemas.openxmlformats.org/officeDocument/2006/relationships/hyperlink" Target="https://podminky.urs.cz/item/CS_URS_2023_02/119001421" TargetMode="External"/><Relationship Id="rId21" Type="http://schemas.openxmlformats.org/officeDocument/2006/relationships/hyperlink" Target="https://podminky.urs.cz/item/CS_URS_2023_02/162751139" TargetMode="External"/><Relationship Id="rId34" Type="http://schemas.openxmlformats.org/officeDocument/2006/relationships/hyperlink" Target="https://podminky.urs.cz/item/CS_URS_2023_02/452351101" TargetMode="External"/><Relationship Id="rId42" Type="http://schemas.openxmlformats.org/officeDocument/2006/relationships/hyperlink" Target="https://podminky.urs.cz/item/CS_URS_2023_02/894411311" TargetMode="External"/><Relationship Id="rId47" Type="http://schemas.openxmlformats.org/officeDocument/2006/relationships/hyperlink" Target="https://podminky.urs.cz/item/CS_URS_2023_02/919726122" TargetMode="External"/><Relationship Id="rId50" Type="http://schemas.openxmlformats.org/officeDocument/2006/relationships/hyperlink" Target="https://podminky.urs.cz/item/CS_URS_2023_02/998276124" TargetMode="External"/><Relationship Id="rId7" Type="http://schemas.openxmlformats.org/officeDocument/2006/relationships/hyperlink" Target="https://podminky.urs.cz/item/CS_URS_2023_02/131251206" TargetMode="External"/><Relationship Id="rId12" Type="http://schemas.openxmlformats.org/officeDocument/2006/relationships/hyperlink" Target="https://podminky.urs.cz/item/CS_URS_2023_02/132354206" TargetMode="External"/><Relationship Id="rId17" Type="http://schemas.openxmlformats.org/officeDocument/2006/relationships/hyperlink" Target="https://podminky.urs.cz/item/CS_URS_2023_02/162351124" TargetMode="External"/><Relationship Id="rId25" Type="http://schemas.openxmlformats.org/officeDocument/2006/relationships/hyperlink" Target="https://podminky.urs.cz/item/CS_URS_2023_02/171201231" TargetMode="External"/><Relationship Id="rId33" Type="http://schemas.openxmlformats.org/officeDocument/2006/relationships/hyperlink" Target="https://podminky.urs.cz/item/CS_URS_2023_02/452321131" TargetMode="External"/><Relationship Id="rId38" Type="http://schemas.openxmlformats.org/officeDocument/2006/relationships/hyperlink" Target="https://podminky.urs.cz/item/CS_URS_2023_02/871350420" TargetMode="External"/><Relationship Id="rId46" Type="http://schemas.openxmlformats.org/officeDocument/2006/relationships/hyperlink" Target="https://podminky.urs.cz/item/CS_URS_2023_02/899722112" TargetMode="External"/><Relationship Id="rId2" Type="http://schemas.openxmlformats.org/officeDocument/2006/relationships/hyperlink" Target="https://podminky.urs.cz/item/CS_URS_2023_02/119001405" TargetMode="External"/><Relationship Id="rId16" Type="http://schemas.openxmlformats.org/officeDocument/2006/relationships/hyperlink" Target="https://podminky.urs.cz/item/CS_URS_2023_02/162351104" TargetMode="External"/><Relationship Id="rId20" Type="http://schemas.openxmlformats.org/officeDocument/2006/relationships/hyperlink" Target="https://podminky.urs.cz/item/CS_URS_2023_02/162751137" TargetMode="External"/><Relationship Id="rId29" Type="http://schemas.openxmlformats.org/officeDocument/2006/relationships/hyperlink" Target="https://podminky.urs.cz/item/CS_URS_2023_02/181351115" TargetMode="External"/><Relationship Id="rId41" Type="http://schemas.openxmlformats.org/officeDocument/2006/relationships/hyperlink" Target="https://podminky.urs.cz/item/CS_URS_2023_02/892372121" TargetMode="External"/><Relationship Id="rId1" Type="http://schemas.openxmlformats.org/officeDocument/2006/relationships/hyperlink" Target="https://podminky.urs.cz/item/CS_URS_2023_02/116951201" TargetMode="External"/><Relationship Id="rId6" Type="http://schemas.openxmlformats.org/officeDocument/2006/relationships/hyperlink" Target="https://podminky.urs.cz/item/CS_URS_2023_02/131251106" TargetMode="External"/><Relationship Id="rId11" Type="http://schemas.openxmlformats.org/officeDocument/2006/relationships/hyperlink" Target="https://podminky.urs.cz/item/CS_URS_2023_02/132254206" TargetMode="External"/><Relationship Id="rId24" Type="http://schemas.openxmlformats.org/officeDocument/2006/relationships/hyperlink" Target="https://podminky.urs.cz/item/CS_URS_2023_02/171153101" TargetMode="External"/><Relationship Id="rId32" Type="http://schemas.openxmlformats.org/officeDocument/2006/relationships/hyperlink" Target="https://podminky.urs.cz/item/CS_URS_2023_02/451572111" TargetMode="External"/><Relationship Id="rId37" Type="http://schemas.openxmlformats.org/officeDocument/2006/relationships/hyperlink" Target="https://podminky.urs.cz/item/CS_URS_2023_02/452112111" TargetMode="External"/><Relationship Id="rId40" Type="http://schemas.openxmlformats.org/officeDocument/2006/relationships/hyperlink" Target="https://podminky.urs.cz/item/CS_URS_2023_02/877350410" TargetMode="External"/><Relationship Id="rId45" Type="http://schemas.openxmlformats.org/officeDocument/2006/relationships/hyperlink" Target="https://podminky.urs.cz/item/CS_URS_2023_02/899103112" TargetMode="External"/><Relationship Id="rId5" Type="http://schemas.openxmlformats.org/officeDocument/2006/relationships/hyperlink" Target="https://podminky.urs.cz/item/CS_URS_2023_02/131151206" TargetMode="External"/><Relationship Id="rId15" Type="http://schemas.openxmlformats.org/officeDocument/2006/relationships/hyperlink" Target="https://podminky.urs.cz/item/CS_URS_2023_02/151101111" TargetMode="External"/><Relationship Id="rId23" Type="http://schemas.openxmlformats.org/officeDocument/2006/relationships/hyperlink" Target="https://podminky.urs.cz/item/CS_URS_2023_02/167151112" TargetMode="External"/><Relationship Id="rId28" Type="http://schemas.openxmlformats.org/officeDocument/2006/relationships/hyperlink" Target="https://podminky.urs.cz/item/CS_URS_2023_02/175151101" TargetMode="External"/><Relationship Id="rId36" Type="http://schemas.openxmlformats.org/officeDocument/2006/relationships/hyperlink" Target="https://podminky.urs.cz/item/CS_URS_2023_02/452112122" TargetMode="External"/><Relationship Id="rId49" Type="http://schemas.openxmlformats.org/officeDocument/2006/relationships/hyperlink" Target="https://podminky.urs.cz/item/CS_URS_2023_02/998276101" TargetMode="External"/><Relationship Id="rId10" Type="http://schemas.openxmlformats.org/officeDocument/2006/relationships/hyperlink" Target="https://podminky.urs.cz/item/CS_URS_2023_02/132154206" TargetMode="External"/><Relationship Id="rId19" Type="http://schemas.openxmlformats.org/officeDocument/2006/relationships/hyperlink" Target="https://podminky.urs.cz/item/CS_URS_2023_02/162751119" TargetMode="External"/><Relationship Id="rId31" Type="http://schemas.openxmlformats.org/officeDocument/2006/relationships/hyperlink" Target="https://podminky.urs.cz/item/CS_URS_2023_02/451541111" TargetMode="External"/><Relationship Id="rId44" Type="http://schemas.openxmlformats.org/officeDocument/2006/relationships/hyperlink" Target="https://podminky.urs.cz/item/CS_URS_2023_02/894414211" TargetMode="External"/><Relationship Id="rId52" Type="http://schemas.openxmlformats.org/officeDocument/2006/relationships/drawing" Target="../drawings/drawing6.xml"/><Relationship Id="rId4" Type="http://schemas.openxmlformats.org/officeDocument/2006/relationships/hyperlink" Target="https://podminky.urs.cz/item/CS_URS_2023_02/131151106" TargetMode="External"/><Relationship Id="rId9" Type="http://schemas.openxmlformats.org/officeDocument/2006/relationships/hyperlink" Target="https://podminky.urs.cz/item/CS_URS_2023_02/131351206" TargetMode="External"/><Relationship Id="rId14" Type="http://schemas.openxmlformats.org/officeDocument/2006/relationships/hyperlink" Target="https://podminky.urs.cz/item/CS_URS_2023_02/151101101" TargetMode="External"/><Relationship Id="rId22" Type="http://schemas.openxmlformats.org/officeDocument/2006/relationships/hyperlink" Target="https://podminky.urs.cz/item/CS_URS_2023_02/167151111" TargetMode="External"/><Relationship Id="rId27" Type="http://schemas.openxmlformats.org/officeDocument/2006/relationships/hyperlink" Target="https://podminky.urs.cz/item/CS_URS_2023_02/174151101" TargetMode="External"/><Relationship Id="rId30" Type="http://schemas.openxmlformats.org/officeDocument/2006/relationships/hyperlink" Target="https://podminky.urs.cz/item/CS_URS_2023_02/359901211" TargetMode="External"/><Relationship Id="rId35" Type="http://schemas.openxmlformats.org/officeDocument/2006/relationships/hyperlink" Target="https://podminky.urs.cz/item/CS_URS_2023_02/452368211" TargetMode="External"/><Relationship Id="rId43" Type="http://schemas.openxmlformats.org/officeDocument/2006/relationships/hyperlink" Target="https://podminky.urs.cz/item/CS_URS_2023_02/894414111" TargetMode="External"/><Relationship Id="rId48" Type="http://schemas.openxmlformats.org/officeDocument/2006/relationships/hyperlink" Target="https://podminky.urs.cz/item/CS_URS_2023_02/977151131" TargetMode="External"/><Relationship Id="rId8" Type="http://schemas.openxmlformats.org/officeDocument/2006/relationships/hyperlink" Target="https://podminky.urs.cz/item/CS_URS_2023_02/131351106" TargetMode="External"/><Relationship Id="rId51" Type="http://schemas.openxmlformats.org/officeDocument/2006/relationships/hyperlink" Target="https://podminky.urs.cz/item/CS_URS_2023_02/71178616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31351206" TargetMode="External"/><Relationship Id="rId13" Type="http://schemas.openxmlformats.org/officeDocument/2006/relationships/hyperlink" Target="https://podminky.urs.cz/item/CS_URS_2023_02/151101101" TargetMode="External"/><Relationship Id="rId18" Type="http://schemas.openxmlformats.org/officeDocument/2006/relationships/hyperlink" Target="https://podminky.urs.cz/item/CS_URS_2023_02/162751119" TargetMode="External"/><Relationship Id="rId26" Type="http://schemas.openxmlformats.org/officeDocument/2006/relationships/hyperlink" Target="https://podminky.urs.cz/item/CS_URS_2023_02/174151101" TargetMode="External"/><Relationship Id="rId39" Type="http://schemas.openxmlformats.org/officeDocument/2006/relationships/hyperlink" Target="https://podminky.urs.cz/item/CS_URS_2023_02/894414111" TargetMode="External"/><Relationship Id="rId3" Type="http://schemas.openxmlformats.org/officeDocument/2006/relationships/hyperlink" Target="https://podminky.urs.cz/item/CS_URS_2023_02/131151106" TargetMode="External"/><Relationship Id="rId21" Type="http://schemas.openxmlformats.org/officeDocument/2006/relationships/hyperlink" Target="https://podminky.urs.cz/item/CS_URS_2023_02/167151111" TargetMode="External"/><Relationship Id="rId34" Type="http://schemas.openxmlformats.org/officeDocument/2006/relationships/hyperlink" Target="https://podminky.urs.cz/item/CS_URS_2023_02/871350420" TargetMode="External"/><Relationship Id="rId42" Type="http://schemas.openxmlformats.org/officeDocument/2006/relationships/hyperlink" Target="https://podminky.urs.cz/item/CS_URS_2023_02/919726122" TargetMode="External"/><Relationship Id="rId7" Type="http://schemas.openxmlformats.org/officeDocument/2006/relationships/hyperlink" Target="https://podminky.urs.cz/item/CS_URS_2023_02/131351106" TargetMode="External"/><Relationship Id="rId12" Type="http://schemas.openxmlformats.org/officeDocument/2006/relationships/hyperlink" Target="https://podminky.urs.cz/item/CS_URS_2023_02/139001101" TargetMode="External"/><Relationship Id="rId17" Type="http://schemas.openxmlformats.org/officeDocument/2006/relationships/hyperlink" Target="https://podminky.urs.cz/item/CS_URS_2023_02/162751117" TargetMode="External"/><Relationship Id="rId25" Type="http://schemas.openxmlformats.org/officeDocument/2006/relationships/hyperlink" Target="https://podminky.urs.cz/item/CS_URS_2023_02/171251201" TargetMode="External"/><Relationship Id="rId33" Type="http://schemas.openxmlformats.org/officeDocument/2006/relationships/hyperlink" Target="https://podminky.urs.cz/item/CS_URS_2023_02/452112111" TargetMode="External"/><Relationship Id="rId38" Type="http://schemas.openxmlformats.org/officeDocument/2006/relationships/hyperlink" Target="https://podminky.urs.cz/item/CS_URS_2023_02/894411311" TargetMode="External"/><Relationship Id="rId2" Type="http://schemas.openxmlformats.org/officeDocument/2006/relationships/hyperlink" Target="https://podminky.urs.cz/item/CS_URS_2023_02/119001405" TargetMode="External"/><Relationship Id="rId16" Type="http://schemas.openxmlformats.org/officeDocument/2006/relationships/hyperlink" Target="https://podminky.urs.cz/item/CS_URS_2023_02/162351124" TargetMode="External"/><Relationship Id="rId20" Type="http://schemas.openxmlformats.org/officeDocument/2006/relationships/hyperlink" Target="https://podminky.urs.cz/item/CS_URS_2023_02/162751139" TargetMode="External"/><Relationship Id="rId29" Type="http://schemas.openxmlformats.org/officeDocument/2006/relationships/hyperlink" Target="https://podminky.urs.cz/item/CS_URS_2023_02/359901211" TargetMode="External"/><Relationship Id="rId41" Type="http://schemas.openxmlformats.org/officeDocument/2006/relationships/hyperlink" Target="https://podminky.urs.cz/item/CS_URS_2023_02/899722112" TargetMode="External"/><Relationship Id="rId1" Type="http://schemas.openxmlformats.org/officeDocument/2006/relationships/hyperlink" Target="https://podminky.urs.cz/item/CS_URS_2023_02/116951201" TargetMode="External"/><Relationship Id="rId6" Type="http://schemas.openxmlformats.org/officeDocument/2006/relationships/hyperlink" Target="https://podminky.urs.cz/item/CS_URS_2023_02/131251206" TargetMode="External"/><Relationship Id="rId11" Type="http://schemas.openxmlformats.org/officeDocument/2006/relationships/hyperlink" Target="https://podminky.urs.cz/item/CS_URS_2023_02/132354206" TargetMode="External"/><Relationship Id="rId24" Type="http://schemas.openxmlformats.org/officeDocument/2006/relationships/hyperlink" Target="https://podminky.urs.cz/item/CS_URS_2023_02/171201231" TargetMode="External"/><Relationship Id="rId32" Type="http://schemas.openxmlformats.org/officeDocument/2006/relationships/hyperlink" Target="https://podminky.urs.cz/item/CS_URS_2023_02/452321131" TargetMode="External"/><Relationship Id="rId37" Type="http://schemas.openxmlformats.org/officeDocument/2006/relationships/hyperlink" Target="https://podminky.urs.cz/item/CS_URS_2023_02/892372121" TargetMode="External"/><Relationship Id="rId40" Type="http://schemas.openxmlformats.org/officeDocument/2006/relationships/hyperlink" Target="https://podminky.urs.cz/item/CS_URS_2023_02/894414211" TargetMode="External"/><Relationship Id="rId45" Type="http://schemas.openxmlformats.org/officeDocument/2006/relationships/drawing" Target="../drawings/drawing7.xml"/><Relationship Id="rId5" Type="http://schemas.openxmlformats.org/officeDocument/2006/relationships/hyperlink" Target="https://podminky.urs.cz/item/CS_URS_2023_02/131251106" TargetMode="External"/><Relationship Id="rId15" Type="http://schemas.openxmlformats.org/officeDocument/2006/relationships/hyperlink" Target="https://podminky.urs.cz/item/CS_URS_2023_02/162351104" TargetMode="External"/><Relationship Id="rId23" Type="http://schemas.openxmlformats.org/officeDocument/2006/relationships/hyperlink" Target="https://podminky.urs.cz/item/CS_URS_2023_02/171153101" TargetMode="External"/><Relationship Id="rId28" Type="http://schemas.openxmlformats.org/officeDocument/2006/relationships/hyperlink" Target="https://podminky.urs.cz/item/CS_URS_2023_02/181351115" TargetMode="External"/><Relationship Id="rId36" Type="http://schemas.openxmlformats.org/officeDocument/2006/relationships/hyperlink" Target="https://podminky.urs.cz/item/CS_URS_2023_02/877350410" TargetMode="External"/><Relationship Id="rId10" Type="http://schemas.openxmlformats.org/officeDocument/2006/relationships/hyperlink" Target="https://podminky.urs.cz/item/CS_URS_2023_02/132254206" TargetMode="External"/><Relationship Id="rId19" Type="http://schemas.openxmlformats.org/officeDocument/2006/relationships/hyperlink" Target="https://podminky.urs.cz/item/CS_URS_2023_02/162751137" TargetMode="External"/><Relationship Id="rId31" Type="http://schemas.openxmlformats.org/officeDocument/2006/relationships/hyperlink" Target="https://podminky.urs.cz/item/CS_URS_2023_02/451572111" TargetMode="External"/><Relationship Id="rId44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31151206" TargetMode="External"/><Relationship Id="rId9" Type="http://schemas.openxmlformats.org/officeDocument/2006/relationships/hyperlink" Target="https://podminky.urs.cz/item/CS_URS_2023_02/132154206" TargetMode="External"/><Relationship Id="rId14" Type="http://schemas.openxmlformats.org/officeDocument/2006/relationships/hyperlink" Target="https://podminky.urs.cz/item/CS_URS_2023_02/151101111" TargetMode="External"/><Relationship Id="rId22" Type="http://schemas.openxmlformats.org/officeDocument/2006/relationships/hyperlink" Target="https://podminky.urs.cz/item/CS_URS_2023_02/167151112" TargetMode="External"/><Relationship Id="rId27" Type="http://schemas.openxmlformats.org/officeDocument/2006/relationships/hyperlink" Target="https://podminky.urs.cz/item/CS_URS_2023_02/175151101" TargetMode="External"/><Relationship Id="rId30" Type="http://schemas.openxmlformats.org/officeDocument/2006/relationships/hyperlink" Target="https://podminky.urs.cz/item/CS_URS_2023_02/451541111" TargetMode="External"/><Relationship Id="rId35" Type="http://schemas.openxmlformats.org/officeDocument/2006/relationships/hyperlink" Target="https://podminky.urs.cz/item/CS_URS_2023_02/871370420" TargetMode="External"/><Relationship Id="rId43" Type="http://schemas.openxmlformats.org/officeDocument/2006/relationships/hyperlink" Target="https://podminky.urs.cz/item/CS_URS_2023_02/99827610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37" TargetMode="External"/><Relationship Id="rId13" Type="http://schemas.openxmlformats.org/officeDocument/2006/relationships/hyperlink" Target="https://podminky.urs.cz/item/CS_URS_2023_02/171251201" TargetMode="External"/><Relationship Id="rId18" Type="http://schemas.openxmlformats.org/officeDocument/2006/relationships/hyperlink" Target="https://podminky.urs.cz/item/CS_URS_2023_02/452351101" TargetMode="External"/><Relationship Id="rId26" Type="http://schemas.openxmlformats.org/officeDocument/2006/relationships/hyperlink" Target="https://podminky.urs.cz/item/CS_URS_2023_02/460841113" TargetMode="External"/><Relationship Id="rId3" Type="http://schemas.openxmlformats.org/officeDocument/2006/relationships/hyperlink" Target="https://podminky.urs.cz/item/CS_URS_2023_02/132354206" TargetMode="External"/><Relationship Id="rId21" Type="http://schemas.openxmlformats.org/officeDocument/2006/relationships/hyperlink" Target="https://podminky.urs.cz/item/CS_URS_2023_02/899722111" TargetMode="External"/><Relationship Id="rId34" Type="http://schemas.openxmlformats.org/officeDocument/2006/relationships/drawing" Target="../drawings/drawing8.xml"/><Relationship Id="rId7" Type="http://schemas.openxmlformats.org/officeDocument/2006/relationships/hyperlink" Target="https://podminky.urs.cz/item/CS_URS_2023_02/162751119" TargetMode="External"/><Relationship Id="rId12" Type="http://schemas.openxmlformats.org/officeDocument/2006/relationships/hyperlink" Target="https://podminky.urs.cz/item/CS_URS_2023_02/171201231" TargetMode="External"/><Relationship Id="rId17" Type="http://schemas.openxmlformats.org/officeDocument/2006/relationships/hyperlink" Target="https://podminky.urs.cz/item/CS_URS_2023_02/452321131" TargetMode="External"/><Relationship Id="rId25" Type="http://schemas.openxmlformats.org/officeDocument/2006/relationships/hyperlink" Target="https://podminky.urs.cz/item/CS_URS_2023_02/460771113" TargetMode="External"/><Relationship Id="rId33" Type="http://schemas.openxmlformats.org/officeDocument/2006/relationships/hyperlink" Target="https://podminky.urs.cz/item/CS_URS_2023_02/469981111" TargetMode="External"/><Relationship Id="rId2" Type="http://schemas.openxmlformats.org/officeDocument/2006/relationships/hyperlink" Target="https://podminky.urs.cz/item/CS_URS_2023_02/132254206" TargetMode="External"/><Relationship Id="rId16" Type="http://schemas.openxmlformats.org/officeDocument/2006/relationships/hyperlink" Target="https://podminky.urs.cz/item/CS_URS_2023_02/452312131" TargetMode="External"/><Relationship Id="rId20" Type="http://schemas.openxmlformats.org/officeDocument/2006/relationships/hyperlink" Target="https://podminky.urs.cz/item/CS_URS_2023_02/452368211" TargetMode="External"/><Relationship Id="rId29" Type="http://schemas.openxmlformats.org/officeDocument/2006/relationships/hyperlink" Target="https://podminky.urs.cz/item/CS_URS_2023_02/460841142" TargetMode="External"/><Relationship Id="rId1" Type="http://schemas.openxmlformats.org/officeDocument/2006/relationships/hyperlink" Target="https://podminky.urs.cz/item/CS_URS_2023_02/132154206" TargetMode="External"/><Relationship Id="rId6" Type="http://schemas.openxmlformats.org/officeDocument/2006/relationships/hyperlink" Target="https://podminky.urs.cz/item/CS_URS_2023_02/162751117" TargetMode="External"/><Relationship Id="rId11" Type="http://schemas.openxmlformats.org/officeDocument/2006/relationships/hyperlink" Target="https://podminky.urs.cz/item/CS_URS_2023_02/167151112" TargetMode="External"/><Relationship Id="rId24" Type="http://schemas.openxmlformats.org/officeDocument/2006/relationships/hyperlink" Target="https://podminky.urs.cz/item/CS_URS_2023_02/220060401" TargetMode="External"/><Relationship Id="rId32" Type="http://schemas.openxmlformats.org/officeDocument/2006/relationships/hyperlink" Target="https://podminky.urs.cz/item/CS_URS_2023_02/460841811" TargetMode="External"/><Relationship Id="rId5" Type="http://schemas.openxmlformats.org/officeDocument/2006/relationships/hyperlink" Target="https://podminky.urs.cz/item/CS_URS_2023_02/162351124" TargetMode="External"/><Relationship Id="rId15" Type="http://schemas.openxmlformats.org/officeDocument/2006/relationships/hyperlink" Target="https://podminky.urs.cz/item/CS_URS_2023_02/451572111" TargetMode="External"/><Relationship Id="rId23" Type="http://schemas.openxmlformats.org/officeDocument/2006/relationships/hyperlink" Target="https://podminky.urs.cz/item/CS_URS_2023_02/998276124" TargetMode="External"/><Relationship Id="rId28" Type="http://schemas.openxmlformats.org/officeDocument/2006/relationships/hyperlink" Target="https://podminky.urs.cz/item/CS_URS_2023_02/460841141" TargetMode="External"/><Relationship Id="rId10" Type="http://schemas.openxmlformats.org/officeDocument/2006/relationships/hyperlink" Target="https://podminky.urs.cz/item/CS_URS_2023_02/167151111" TargetMode="External"/><Relationship Id="rId19" Type="http://schemas.openxmlformats.org/officeDocument/2006/relationships/hyperlink" Target="https://podminky.urs.cz/item/CS_URS_2023_02/452353101" TargetMode="External"/><Relationship Id="rId31" Type="http://schemas.openxmlformats.org/officeDocument/2006/relationships/hyperlink" Target="https://podminky.urs.cz/item/CS_URS_2023_02/460841152" TargetMode="External"/><Relationship Id="rId4" Type="http://schemas.openxmlformats.org/officeDocument/2006/relationships/hyperlink" Target="https://podminky.urs.cz/item/CS_URS_2023_02/162351104" TargetMode="External"/><Relationship Id="rId9" Type="http://schemas.openxmlformats.org/officeDocument/2006/relationships/hyperlink" Target="https://podminky.urs.cz/item/CS_URS_2023_02/162751139" TargetMode="External"/><Relationship Id="rId14" Type="http://schemas.openxmlformats.org/officeDocument/2006/relationships/hyperlink" Target="https://podminky.urs.cz/item/CS_URS_2023_02/175151101" TargetMode="External"/><Relationship Id="rId22" Type="http://schemas.openxmlformats.org/officeDocument/2006/relationships/hyperlink" Target="https://podminky.urs.cz/item/CS_URS_2023_02/998276101" TargetMode="External"/><Relationship Id="rId27" Type="http://schemas.openxmlformats.org/officeDocument/2006/relationships/hyperlink" Target="https://podminky.urs.cz/item/CS_URS_2023_02/460841114" TargetMode="External"/><Relationship Id="rId30" Type="http://schemas.openxmlformats.org/officeDocument/2006/relationships/hyperlink" Target="https://podminky.urs.cz/item/CS_URS_2023_02/46084115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BZ70"/>
  <sheetViews>
    <sheetView showGridLines="0" tabSelected="1" topLeftCell="A28" workbookViewId="0">
      <selection activeCell="AL73" sqref="AL7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2" width="2.6640625" customWidth="1"/>
    <col min="33" max="33" width="18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6.6640625" customWidth="1"/>
    <col min="45" max="45" width="18.83203125" bestFit="1" customWidth="1"/>
    <col min="58" max="78" width="9.33203125" hidden="1"/>
  </cols>
  <sheetData>
    <row r="1" spans="1:61" x14ac:dyDescent="0.2">
      <c r="A1" s="16" t="s">
        <v>0</v>
      </c>
      <c r="BG1" s="16" t="s">
        <v>2</v>
      </c>
      <c r="BH1" s="16" t="s">
        <v>2</v>
      </c>
      <c r="BI1" s="16" t="s">
        <v>3</v>
      </c>
    </row>
    <row r="2" spans="1:61" ht="36.950000000000003" customHeight="1" x14ac:dyDescent="0.2">
      <c r="AR2" s="387" t="s">
        <v>4</v>
      </c>
      <c r="BF2" s="17" t="s">
        <v>5</v>
      </c>
      <c r="BG2" s="17" t="s">
        <v>6</v>
      </c>
    </row>
    <row r="3" spans="1:6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F3" s="17" t="s">
        <v>5</v>
      </c>
      <c r="BG3" s="17" t="s">
        <v>7</v>
      </c>
    </row>
    <row r="4" spans="1:61" ht="24.95" customHeight="1" x14ac:dyDescent="0.2">
      <c r="B4" s="20"/>
      <c r="D4" s="21" t="s">
        <v>8</v>
      </c>
      <c r="AR4" s="20"/>
      <c r="BF4" s="17" t="s">
        <v>10</v>
      </c>
    </row>
    <row r="5" spans="1:61" ht="12" customHeight="1" x14ac:dyDescent="0.2">
      <c r="B5" s="20"/>
      <c r="D5" s="22" t="s">
        <v>11</v>
      </c>
      <c r="K5" s="652" t="s">
        <v>12</v>
      </c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R5" s="20"/>
      <c r="BF5" s="17" t="s">
        <v>5</v>
      </c>
    </row>
    <row r="6" spans="1:61" ht="36.950000000000003" customHeight="1" x14ac:dyDescent="0.2">
      <c r="B6" s="20"/>
      <c r="D6" s="24" t="s">
        <v>13</v>
      </c>
      <c r="K6" s="654" t="s">
        <v>14</v>
      </c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53"/>
      <c r="AN6" s="653"/>
      <c r="AO6" s="653"/>
      <c r="AR6" s="20"/>
      <c r="BF6" s="17" t="s">
        <v>5</v>
      </c>
    </row>
    <row r="7" spans="1:61" ht="12" customHeight="1" x14ac:dyDescent="0.2">
      <c r="B7" s="20"/>
      <c r="D7" s="25" t="s">
        <v>15</v>
      </c>
      <c r="K7" s="23" t="s">
        <v>1</v>
      </c>
      <c r="AK7" s="25" t="s">
        <v>16</v>
      </c>
      <c r="AN7" s="23" t="s">
        <v>1</v>
      </c>
      <c r="AR7" s="20"/>
      <c r="BF7" s="17" t="s">
        <v>5</v>
      </c>
    </row>
    <row r="8" spans="1:61" ht="12" customHeight="1" x14ac:dyDescent="0.2">
      <c r="B8" s="20"/>
      <c r="D8" s="25" t="s">
        <v>17</v>
      </c>
      <c r="K8" s="23" t="s">
        <v>18</v>
      </c>
      <c r="AK8" s="25" t="s">
        <v>19</v>
      </c>
      <c r="AN8" s="23" t="s">
        <v>20</v>
      </c>
      <c r="AR8" s="20"/>
      <c r="BF8" s="17" t="s">
        <v>5</v>
      </c>
    </row>
    <row r="9" spans="1:61" ht="14.45" customHeight="1" x14ac:dyDescent="0.2">
      <c r="B9" s="20"/>
      <c r="AR9" s="20"/>
      <c r="BF9" s="17" t="s">
        <v>5</v>
      </c>
    </row>
    <row r="10" spans="1:61" ht="12" customHeight="1" x14ac:dyDescent="0.2">
      <c r="B10" s="20"/>
      <c r="D10" s="25" t="s">
        <v>21</v>
      </c>
      <c r="AK10" s="25" t="s">
        <v>22</v>
      </c>
      <c r="AN10" s="23" t="s">
        <v>1</v>
      </c>
      <c r="AR10" s="20"/>
      <c r="BF10" s="17" t="s">
        <v>5</v>
      </c>
    </row>
    <row r="11" spans="1:61" ht="18.399999999999999" customHeight="1" x14ac:dyDescent="0.2">
      <c r="B11" s="20"/>
      <c r="E11" s="23" t="s">
        <v>23</v>
      </c>
      <c r="AK11" s="25" t="s">
        <v>24</v>
      </c>
      <c r="AN11" s="23" t="s">
        <v>1</v>
      </c>
      <c r="AR11" s="20"/>
      <c r="BF11" s="17" t="s">
        <v>5</v>
      </c>
    </row>
    <row r="12" spans="1:61" ht="6.95" customHeight="1" x14ac:dyDescent="0.2">
      <c r="B12" s="20"/>
      <c r="AR12" s="20"/>
      <c r="BF12" s="17" t="s">
        <v>5</v>
      </c>
    </row>
    <row r="13" spans="1:61" ht="12" customHeight="1" x14ac:dyDescent="0.2">
      <c r="B13" s="20"/>
      <c r="D13" s="25" t="s">
        <v>25</v>
      </c>
      <c r="AK13" s="25" t="s">
        <v>22</v>
      </c>
      <c r="AN13" s="23" t="s">
        <v>1</v>
      </c>
      <c r="AR13" s="20"/>
      <c r="BF13" s="17" t="s">
        <v>5</v>
      </c>
    </row>
    <row r="14" spans="1:61" ht="12.75" x14ac:dyDescent="0.2">
      <c r="B14" s="20"/>
      <c r="E14" s="23" t="s">
        <v>23</v>
      </c>
      <c r="AK14" s="25" t="s">
        <v>24</v>
      </c>
      <c r="AN14" s="23" t="s">
        <v>1</v>
      </c>
      <c r="AR14" s="20"/>
      <c r="BF14" s="17" t="s">
        <v>5</v>
      </c>
    </row>
    <row r="15" spans="1:61" ht="6.95" customHeight="1" x14ac:dyDescent="0.2">
      <c r="B15" s="20"/>
      <c r="AR15" s="20"/>
      <c r="BF15" s="17" t="s">
        <v>2</v>
      </c>
    </row>
    <row r="16" spans="1:61" ht="12" customHeight="1" x14ac:dyDescent="0.2">
      <c r="B16" s="20"/>
      <c r="D16" s="25" t="s">
        <v>26</v>
      </c>
      <c r="AK16" s="25" t="s">
        <v>22</v>
      </c>
      <c r="AN16" s="23" t="s">
        <v>27</v>
      </c>
      <c r="AR16" s="20"/>
      <c r="BF16" s="17" t="s">
        <v>2</v>
      </c>
    </row>
    <row r="17" spans="2:58" ht="18.399999999999999" customHeight="1" x14ac:dyDescent="0.2">
      <c r="B17" s="20"/>
      <c r="E17" s="23" t="s">
        <v>1831</v>
      </c>
      <c r="AK17" s="25" t="s">
        <v>24</v>
      </c>
      <c r="AN17" s="23" t="s">
        <v>29</v>
      </c>
      <c r="AR17" s="20"/>
      <c r="BF17" s="17" t="s">
        <v>30</v>
      </c>
    </row>
    <row r="18" spans="2:58" ht="18.399999999999999" customHeight="1" x14ac:dyDescent="0.2">
      <c r="B18" s="20"/>
      <c r="E18" s="23"/>
      <c r="AK18" s="25"/>
      <c r="AN18" s="23"/>
      <c r="AR18" s="20"/>
      <c r="BF18" s="17"/>
    </row>
    <row r="19" spans="2:58" ht="18.399999999999999" customHeight="1" x14ac:dyDescent="0.2">
      <c r="B19" s="20"/>
      <c r="E19" s="23" t="s">
        <v>1832</v>
      </c>
      <c r="AK19" s="25" t="s">
        <v>22</v>
      </c>
      <c r="AN19" s="23">
        <v>28250737</v>
      </c>
      <c r="AR19" s="20"/>
      <c r="BF19" s="17"/>
    </row>
    <row r="20" spans="2:58" ht="18.399999999999999" customHeight="1" x14ac:dyDescent="0.2">
      <c r="B20" s="20"/>
      <c r="E20" s="23"/>
      <c r="AK20" s="25" t="s">
        <v>24</v>
      </c>
      <c r="AN20" s="23" t="s">
        <v>1830</v>
      </c>
      <c r="AR20" s="20"/>
      <c r="BF20" s="17"/>
    </row>
    <row r="21" spans="2:58" ht="18.399999999999999" customHeight="1" x14ac:dyDescent="0.2">
      <c r="B21" s="20"/>
      <c r="E21" s="23"/>
      <c r="AK21" s="25"/>
      <c r="AN21" s="23"/>
      <c r="AR21" s="20"/>
      <c r="BF21" s="17"/>
    </row>
    <row r="22" spans="2:58" ht="18.399999999999999" customHeight="1" x14ac:dyDescent="0.2">
      <c r="B22" s="20"/>
      <c r="AK22" s="25"/>
      <c r="AN22" s="23"/>
      <c r="AR22" s="20"/>
      <c r="BF22" s="17"/>
    </row>
    <row r="23" spans="2:58" ht="6.95" customHeight="1" x14ac:dyDescent="0.2">
      <c r="B23" s="20"/>
      <c r="AR23" s="20"/>
      <c r="BF23" s="17" t="s">
        <v>5</v>
      </c>
    </row>
    <row r="24" spans="2:58" ht="12" customHeight="1" x14ac:dyDescent="0.2">
      <c r="B24" s="20"/>
      <c r="D24" s="25" t="s">
        <v>31</v>
      </c>
      <c r="AK24" s="25" t="s">
        <v>22</v>
      </c>
      <c r="AN24" s="23" t="s">
        <v>27</v>
      </c>
      <c r="AR24" s="20"/>
      <c r="BF24" s="17" t="s">
        <v>5</v>
      </c>
    </row>
    <row r="25" spans="2:58" ht="18.399999999999999" customHeight="1" x14ac:dyDescent="0.2">
      <c r="B25" s="20"/>
      <c r="E25" s="23" t="s">
        <v>28</v>
      </c>
      <c r="AK25" s="25" t="s">
        <v>24</v>
      </c>
      <c r="AN25" s="23" t="s">
        <v>29</v>
      </c>
      <c r="AR25" s="20"/>
      <c r="BF25" s="17" t="s">
        <v>2</v>
      </c>
    </row>
    <row r="26" spans="2:58" ht="18.399999999999999" customHeight="1" x14ac:dyDescent="0.2">
      <c r="B26" s="20"/>
      <c r="E26" s="23"/>
      <c r="AK26" s="25"/>
      <c r="AN26" s="23"/>
      <c r="AR26" s="20"/>
      <c r="BF26" s="17"/>
    </row>
    <row r="27" spans="2:58" ht="18.399999999999999" customHeight="1" x14ac:dyDescent="0.2">
      <c r="B27" s="20"/>
      <c r="E27" s="23" t="s">
        <v>1829</v>
      </c>
      <c r="AK27" s="25" t="s">
        <v>22</v>
      </c>
      <c r="AN27" s="23">
        <v>28250737</v>
      </c>
      <c r="AR27" s="20"/>
      <c r="BF27" s="17"/>
    </row>
    <row r="28" spans="2:58" ht="18.399999999999999" customHeight="1" x14ac:dyDescent="0.2">
      <c r="B28" s="20"/>
      <c r="E28" s="23"/>
      <c r="AK28" s="25" t="s">
        <v>24</v>
      </c>
      <c r="AN28" s="23" t="s">
        <v>1830</v>
      </c>
      <c r="AR28" s="20"/>
      <c r="BF28" s="17"/>
    </row>
    <row r="29" spans="2:58" ht="6.95" customHeight="1" x14ac:dyDescent="0.2">
      <c r="B29" s="20"/>
      <c r="AR29" s="20"/>
    </row>
    <row r="30" spans="2:58" ht="12" customHeight="1" x14ac:dyDescent="0.2">
      <c r="B30" s="20"/>
      <c r="D30" s="25" t="s">
        <v>32</v>
      </c>
      <c r="AR30" s="20"/>
    </row>
    <row r="31" spans="2:58" ht="47.25" customHeight="1" x14ac:dyDescent="0.2">
      <c r="B31" s="20"/>
      <c r="E31" s="655" t="s">
        <v>33</v>
      </c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5"/>
      <c r="AN31" s="655"/>
      <c r="AR31" s="20"/>
    </row>
    <row r="32" spans="2:58" ht="6.95" customHeight="1" x14ac:dyDescent="0.2">
      <c r="B32" s="20"/>
      <c r="AR32" s="20"/>
    </row>
    <row r="33" spans="2:44" ht="6.95" customHeight="1" x14ac:dyDescent="0.2">
      <c r="B33" s="2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R33" s="20"/>
    </row>
    <row r="34" spans="2:44" s="1" customFormat="1" ht="25.9" customHeight="1" x14ac:dyDescent="0.2">
      <c r="B34" s="28"/>
      <c r="D34" s="29" t="s">
        <v>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656">
        <f>ROUND(AG62,2)</f>
        <v>0</v>
      </c>
      <c r="AL34" s="657"/>
      <c r="AM34" s="657"/>
      <c r="AN34" s="657"/>
      <c r="AO34" s="657"/>
      <c r="AR34" s="28"/>
    </row>
    <row r="35" spans="2:44" s="1" customFormat="1" ht="6.95" customHeight="1" x14ac:dyDescent="0.2">
      <c r="B35" s="28"/>
      <c r="AR35" s="28"/>
    </row>
    <row r="36" spans="2:44" s="1" customFormat="1" ht="12.75" x14ac:dyDescent="0.2">
      <c r="B36" s="28"/>
      <c r="L36" s="658" t="s">
        <v>35</v>
      </c>
      <c r="M36" s="658"/>
      <c r="N36" s="658"/>
      <c r="O36" s="658"/>
      <c r="P36" s="658"/>
      <c r="W36" s="658" t="s">
        <v>36</v>
      </c>
      <c r="X36" s="658"/>
      <c r="Y36" s="658"/>
      <c r="Z36" s="658"/>
      <c r="AA36" s="658"/>
      <c r="AB36" s="658"/>
      <c r="AC36" s="658"/>
      <c r="AD36" s="658"/>
      <c r="AE36" s="658"/>
      <c r="AK36" s="658" t="s">
        <v>37</v>
      </c>
      <c r="AL36" s="658"/>
      <c r="AM36" s="658"/>
      <c r="AN36" s="658"/>
      <c r="AO36" s="658"/>
      <c r="AR36" s="28"/>
    </row>
    <row r="37" spans="2:44" s="2" customFormat="1" ht="14.45" customHeight="1" x14ac:dyDescent="0.2">
      <c r="B37" s="32"/>
      <c r="D37" s="25" t="s">
        <v>38</v>
      </c>
      <c r="F37" s="25" t="s">
        <v>39</v>
      </c>
      <c r="L37" s="659">
        <v>0.21</v>
      </c>
      <c r="M37" s="660"/>
      <c r="N37" s="660"/>
      <c r="O37" s="660"/>
      <c r="P37" s="660"/>
      <c r="W37" s="661">
        <f>AK34</f>
        <v>0</v>
      </c>
      <c r="X37" s="660"/>
      <c r="Y37" s="660"/>
      <c r="Z37" s="660"/>
      <c r="AA37" s="660"/>
      <c r="AB37" s="660"/>
      <c r="AC37" s="660"/>
      <c r="AD37" s="660"/>
      <c r="AE37" s="660"/>
      <c r="AK37" s="661">
        <f>ROUND(SUM(L37*W37),2)</f>
        <v>0</v>
      </c>
      <c r="AL37" s="660"/>
      <c r="AM37" s="660"/>
      <c r="AN37" s="660"/>
      <c r="AO37" s="660"/>
      <c r="AR37" s="32"/>
    </row>
    <row r="38" spans="2:44" s="2" customFormat="1" ht="14.45" customHeight="1" x14ac:dyDescent="0.2">
      <c r="B38" s="32"/>
      <c r="F38" s="25" t="s">
        <v>40</v>
      </c>
      <c r="L38" s="659">
        <v>0.15</v>
      </c>
      <c r="M38" s="660"/>
      <c r="N38" s="660"/>
      <c r="O38" s="660"/>
      <c r="P38" s="660"/>
      <c r="W38" s="661">
        <v>0</v>
      </c>
      <c r="X38" s="660"/>
      <c r="Y38" s="660"/>
      <c r="Z38" s="660"/>
      <c r="AA38" s="660"/>
      <c r="AB38" s="660"/>
      <c r="AC38" s="660"/>
      <c r="AD38" s="660"/>
      <c r="AE38" s="660"/>
      <c r="AK38" s="661">
        <v>0</v>
      </c>
      <c r="AL38" s="660"/>
      <c r="AM38" s="660"/>
      <c r="AN38" s="660"/>
      <c r="AO38" s="660"/>
      <c r="AR38" s="32"/>
    </row>
    <row r="39" spans="2:44" s="2" customFormat="1" ht="14.45" hidden="1" customHeight="1" x14ac:dyDescent="0.2">
      <c r="B39" s="32"/>
      <c r="F39" s="25" t="s">
        <v>41</v>
      </c>
      <c r="L39" s="659">
        <v>0.21</v>
      </c>
      <c r="M39" s="660"/>
      <c r="N39" s="660"/>
      <c r="O39" s="660"/>
      <c r="P39" s="660"/>
      <c r="W39" s="661" t="e">
        <f>ROUND(#REF!, 2)</f>
        <v>#REF!</v>
      </c>
      <c r="X39" s="660"/>
      <c r="Y39" s="660"/>
      <c r="Z39" s="660"/>
      <c r="AA39" s="660"/>
      <c r="AB39" s="660"/>
      <c r="AC39" s="660"/>
      <c r="AD39" s="660"/>
      <c r="AE39" s="660"/>
      <c r="AK39" s="661">
        <v>0</v>
      </c>
      <c r="AL39" s="660"/>
      <c r="AM39" s="660"/>
      <c r="AN39" s="660"/>
      <c r="AO39" s="660"/>
      <c r="AR39" s="32"/>
    </row>
    <row r="40" spans="2:44" s="2" customFormat="1" ht="14.45" hidden="1" customHeight="1" x14ac:dyDescent="0.2">
      <c r="B40" s="32"/>
      <c r="F40" s="25" t="s">
        <v>42</v>
      </c>
      <c r="L40" s="659">
        <v>0.15</v>
      </c>
      <c r="M40" s="660"/>
      <c r="N40" s="660"/>
      <c r="O40" s="660"/>
      <c r="P40" s="660"/>
      <c r="W40" s="661" t="e">
        <f>ROUND(#REF!, 2)</f>
        <v>#REF!</v>
      </c>
      <c r="X40" s="660"/>
      <c r="Y40" s="660"/>
      <c r="Z40" s="660"/>
      <c r="AA40" s="660"/>
      <c r="AB40" s="660"/>
      <c r="AC40" s="660"/>
      <c r="AD40" s="660"/>
      <c r="AE40" s="660"/>
      <c r="AK40" s="661">
        <v>0</v>
      </c>
      <c r="AL40" s="660"/>
      <c r="AM40" s="660"/>
      <c r="AN40" s="660"/>
      <c r="AO40" s="660"/>
      <c r="AR40" s="32"/>
    </row>
    <row r="41" spans="2:44" s="2" customFormat="1" ht="14.45" hidden="1" customHeight="1" x14ac:dyDescent="0.2">
      <c r="B41" s="32"/>
      <c r="F41" s="25" t="s">
        <v>43</v>
      </c>
      <c r="L41" s="659">
        <v>0</v>
      </c>
      <c r="M41" s="660"/>
      <c r="N41" s="660"/>
      <c r="O41" s="660"/>
      <c r="P41" s="660"/>
      <c r="W41" s="661" t="e">
        <f>ROUND(#REF!, 2)</f>
        <v>#REF!</v>
      </c>
      <c r="X41" s="660"/>
      <c r="Y41" s="660"/>
      <c r="Z41" s="660"/>
      <c r="AA41" s="660"/>
      <c r="AB41" s="660"/>
      <c r="AC41" s="660"/>
      <c r="AD41" s="660"/>
      <c r="AE41" s="660"/>
      <c r="AK41" s="661">
        <v>0</v>
      </c>
      <c r="AL41" s="660"/>
      <c r="AM41" s="660"/>
      <c r="AN41" s="660"/>
      <c r="AO41" s="660"/>
      <c r="AR41" s="32"/>
    </row>
    <row r="42" spans="2:44" s="1" customFormat="1" ht="6.95" customHeight="1" x14ac:dyDescent="0.2">
      <c r="B42" s="28"/>
      <c r="AR42" s="28"/>
    </row>
    <row r="43" spans="2:44" s="1" customFormat="1" ht="25.9" customHeight="1" x14ac:dyDescent="0.2">
      <c r="B43" s="28"/>
      <c r="C43" s="33"/>
      <c r="D43" s="34" t="s">
        <v>44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 t="s">
        <v>45</v>
      </c>
      <c r="U43" s="35"/>
      <c r="V43" s="35"/>
      <c r="W43" s="35"/>
      <c r="X43" s="665" t="s">
        <v>46</v>
      </c>
      <c r="Y43" s="663"/>
      <c r="Z43" s="663"/>
      <c r="AA43" s="663"/>
      <c r="AB43" s="663"/>
      <c r="AC43" s="35"/>
      <c r="AD43" s="35"/>
      <c r="AE43" s="35"/>
      <c r="AF43" s="35"/>
      <c r="AG43" s="35"/>
      <c r="AH43" s="35"/>
      <c r="AI43" s="35"/>
      <c r="AJ43" s="35"/>
      <c r="AK43" s="662">
        <f>SUM(AK34:AK41)</f>
        <v>0</v>
      </c>
      <c r="AL43" s="663"/>
      <c r="AM43" s="663"/>
      <c r="AN43" s="663"/>
      <c r="AO43" s="664"/>
      <c r="AP43" s="33"/>
      <c r="AQ43" s="33"/>
      <c r="AR43" s="28"/>
    </row>
    <row r="44" spans="2:44" s="1" customFormat="1" ht="6.95" customHeight="1" x14ac:dyDescent="0.2">
      <c r="B44" s="28"/>
      <c r="AR44" s="28"/>
    </row>
    <row r="45" spans="2:44" s="1" customFormat="1" ht="6.95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28"/>
    </row>
    <row r="49" spans="1:78" s="1" customFormat="1" ht="6.95" customHeight="1" x14ac:dyDescent="0.2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28"/>
    </row>
    <row r="50" spans="1:78" s="1" customFormat="1" ht="24.95" customHeight="1" x14ac:dyDescent="0.2">
      <c r="B50" s="28"/>
      <c r="C50" s="21" t="s">
        <v>47</v>
      </c>
      <c r="AR50" s="28"/>
    </row>
    <row r="51" spans="1:78" s="1" customFormat="1" ht="6.95" customHeight="1" x14ac:dyDescent="0.2">
      <c r="B51" s="28"/>
      <c r="AR51" s="28"/>
    </row>
    <row r="52" spans="1:78" s="3" customFormat="1" ht="12" customHeight="1" x14ac:dyDescent="0.2">
      <c r="B52" s="41"/>
      <c r="C52" s="25" t="s">
        <v>11</v>
      </c>
      <c r="L52" s="3" t="str">
        <f>K5</f>
        <v>2023-024</v>
      </c>
      <c r="AR52" s="41"/>
    </row>
    <row r="53" spans="1:78" s="4" customFormat="1" ht="36.950000000000003" customHeight="1" x14ac:dyDescent="0.2">
      <c r="B53" s="42"/>
      <c r="C53" s="43" t="s">
        <v>13</v>
      </c>
      <c r="L53" s="638" t="str">
        <f>K6</f>
        <v>Propojení Okružní x Na hroudách</v>
      </c>
      <c r="M53" s="639"/>
      <c r="N53" s="639"/>
      <c r="O53" s="639"/>
      <c r="P53" s="639"/>
      <c r="Q53" s="639"/>
      <c r="R53" s="639"/>
      <c r="S53" s="639"/>
      <c r="T53" s="639"/>
      <c r="U53" s="639"/>
      <c r="V53" s="639"/>
      <c r="W53" s="639"/>
      <c r="X53" s="639"/>
      <c r="Y53" s="639"/>
      <c r="Z53" s="639"/>
      <c r="AA53" s="639"/>
      <c r="AB53" s="639"/>
      <c r="AC53" s="639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R53" s="42"/>
    </row>
    <row r="54" spans="1:78" s="1" customFormat="1" ht="6.95" customHeight="1" x14ac:dyDescent="0.2">
      <c r="B54" s="28"/>
      <c r="AR54" s="28"/>
    </row>
    <row r="55" spans="1:78" s="1" customFormat="1" ht="12" customHeight="1" x14ac:dyDescent="0.2">
      <c r="B55" s="28"/>
      <c r="C55" s="25" t="s">
        <v>17</v>
      </c>
      <c r="L55" s="44" t="str">
        <f>IF(K8="","",K8)</f>
        <v>Nymburk</v>
      </c>
      <c r="AI55" s="25" t="s">
        <v>19</v>
      </c>
      <c r="AM55" s="640" t="str">
        <f>IF(AN8= "","",AN8)</f>
        <v>29. 11. 2023</v>
      </c>
      <c r="AN55" s="640"/>
      <c r="AR55" s="28"/>
    </row>
    <row r="56" spans="1:78" s="1" customFormat="1" ht="6.95" customHeight="1" x14ac:dyDescent="0.2">
      <c r="B56" s="28"/>
      <c r="AR56" s="28"/>
    </row>
    <row r="57" spans="1:78" s="1" customFormat="1" ht="51" customHeight="1" x14ac:dyDescent="0.2">
      <c r="B57" s="28"/>
      <c r="C57" s="25" t="s">
        <v>21</v>
      </c>
      <c r="L57" s="3" t="str">
        <f>IF(E11= "","",E11)</f>
        <v xml:space="preserve"> </v>
      </c>
      <c r="AI57" s="25" t="s">
        <v>26</v>
      </c>
      <c r="AM57" s="641" t="s">
        <v>1833</v>
      </c>
      <c r="AN57" s="642"/>
      <c r="AO57" s="642"/>
      <c r="AP57" s="642"/>
      <c r="AR57" s="28"/>
    </row>
    <row r="58" spans="1:78" s="1" customFormat="1" ht="58.5" customHeight="1" x14ac:dyDescent="0.2">
      <c r="B58" s="28"/>
      <c r="C58" s="25" t="s">
        <v>25</v>
      </c>
      <c r="L58" s="3" t="str">
        <f>IF(E14="","",E14)</f>
        <v xml:space="preserve"> </v>
      </c>
      <c r="AI58" s="25" t="s">
        <v>31</v>
      </c>
      <c r="AM58" s="641" t="s">
        <v>1833</v>
      </c>
      <c r="AN58" s="642"/>
      <c r="AO58" s="642"/>
      <c r="AP58" s="642"/>
      <c r="AR58" s="28"/>
    </row>
    <row r="59" spans="1:78" s="1" customFormat="1" ht="10.9" customHeight="1" x14ac:dyDescent="0.2">
      <c r="B59" s="28"/>
      <c r="AR59" s="28"/>
    </row>
    <row r="60" spans="1:78" s="1" customFormat="1" ht="29.25" customHeight="1" x14ac:dyDescent="0.2">
      <c r="B60" s="28"/>
      <c r="C60" s="646" t="s">
        <v>48</v>
      </c>
      <c r="D60" s="647"/>
      <c r="E60" s="647"/>
      <c r="F60" s="647"/>
      <c r="G60" s="647"/>
      <c r="H60" s="49"/>
      <c r="I60" s="648" t="s">
        <v>49</v>
      </c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47"/>
      <c r="W60" s="647"/>
      <c r="X60" s="647"/>
      <c r="Y60" s="647"/>
      <c r="Z60" s="647"/>
      <c r="AA60" s="647"/>
      <c r="AB60" s="647"/>
      <c r="AC60" s="647"/>
      <c r="AD60" s="647"/>
      <c r="AE60" s="647"/>
      <c r="AF60" s="647"/>
      <c r="AG60" s="649" t="s">
        <v>50</v>
      </c>
      <c r="AH60" s="647"/>
      <c r="AI60" s="647"/>
      <c r="AJ60" s="647"/>
      <c r="AK60" s="647"/>
      <c r="AL60" s="647"/>
      <c r="AM60" s="647"/>
      <c r="AN60" s="648" t="s">
        <v>51</v>
      </c>
      <c r="AO60" s="647"/>
      <c r="AP60" s="647"/>
      <c r="AQ60" s="50" t="s">
        <v>52</v>
      </c>
      <c r="AR60" s="28"/>
    </row>
    <row r="61" spans="1:78" s="1" customFormat="1" ht="10.9" customHeight="1" x14ac:dyDescent="0.2">
      <c r="B61" s="28"/>
      <c r="AR61" s="28"/>
    </row>
    <row r="62" spans="1:78" s="5" customFormat="1" ht="32.450000000000003" customHeight="1" x14ac:dyDescent="0.2">
      <c r="B62" s="55"/>
      <c r="C62" s="56" t="s">
        <v>53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650">
        <f>ROUND(SUM(AG63:AG68),2)</f>
        <v>0</v>
      </c>
      <c r="AH62" s="650"/>
      <c r="AI62" s="650"/>
      <c r="AJ62" s="650"/>
      <c r="AK62" s="650"/>
      <c r="AL62" s="650"/>
      <c r="AM62" s="650"/>
      <c r="AN62" s="651">
        <f>ROUND(SUM(AN63:AP68),2)</f>
        <v>0</v>
      </c>
      <c r="AO62" s="651"/>
      <c r="AP62" s="651"/>
      <c r="AQ62" s="59" t="s">
        <v>1</v>
      </c>
      <c r="AR62" s="28"/>
      <c r="AS62" s="1"/>
      <c r="BF62" s="60" t="s">
        <v>54</v>
      </c>
      <c r="BG62" s="60" t="s">
        <v>55</v>
      </c>
      <c r="BH62" s="61" t="s">
        <v>56</v>
      </c>
      <c r="BI62" s="60" t="s">
        <v>57</v>
      </c>
      <c r="BJ62" s="60" t="s">
        <v>3</v>
      </c>
      <c r="BK62" s="60" t="s">
        <v>58</v>
      </c>
      <c r="BY62" s="60" t="s">
        <v>1</v>
      </c>
    </row>
    <row r="63" spans="1:78" s="6" customFormat="1" ht="16.5" customHeight="1" x14ac:dyDescent="0.2">
      <c r="A63" s="62" t="s">
        <v>59</v>
      </c>
      <c r="B63" s="63"/>
      <c r="C63" s="64"/>
      <c r="D63" s="643" t="s">
        <v>60</v>
      </c>
      <c r="E63" s="643"/>
      <c r="F63" s="643"/>
      <c r="G63" s="643"/>
      <c r="H63" s="643"/>
      <c r="I63" s="65"/>
      <c r="J63" s="643" t="s">
        <v>61</v>
      </c>
      <c r="K63" s="643"/>
      <c r="L63" s="643"/>
      <c r="M63" s="643"/>
      <c r="N63" s="643"/>
      <c r="O63" s="643"/>
      <c r="P63" s="643"/>
      <c r="Q63" s="643"/>
      <c r="R63" s="643"/>
      <c r="S63" s="643"/>
      <c r="T63" s="643"/>
      <c r="U63" s="643"/>
      <c r="V63" s="643"/>
      <c r="W63" s="643"/>
      <c r="X63" s="643"/>
      <c r="Y63" s="643"/>
      <c r="Z63" s="643"/>
      <c r="AA63" s="643"/>
      <c r="AB63" s="643"/>
      <c r="AC63" s="643"/>
      <c r="AD63" s="643"/>
      <c r="AE63" s="643"/>
      <c r="AF63" s="643"/>
      <c r="AG63" s="644">
        <f>'Krycí list'!E22</f>
        <v>0</v>
      </c>
      <c r="AH63" s="645"/>
      <c r="AI63" s="645"/>
      <c r="AJ63" s="645"/>
      <c r="AK63" s="645"/>
      <c r="AL63" s="645"/>
      <c r="AM63" s="645"/>
      <c r="AN63" s="644">
        <f>'Krycí list'!G22</f>
        <v>0</v>
      </c>
      <c r="AO63" s="645"/>
      <c r="AP63" s="645"/>
      <c r="AQ63" s="66" t="s">
        <v>62</v>
      </c>
      <c r="AR63" s="28"/>
      <c r="AS63" s="1"/>
      <c r="BG63" s="67" t="s">
        <v>63</v>
      </c>
      <c r="BI63" s="67" t="s">
        <v>57</v>
      </c>
      <c r="BJ63" s="67" t="s">
        <v>64</v>
      </c>
      <c r="BK63" s="67" t="s">
        <v>3</v>
      </c>
      <c r="BY63" s="67" t="s">
        <v>1</v>
      </c>
      <c r="BZ63" s="67" t="s">
        <v>65</v>
      </c>
    </row>
    <row r="64" spans="1:78" s="6" customFormat="1" ht="16.5" customHeight="1" x14ac:dyDescent="0.2">
      <c r="A64" s="62" t="s">
        <v>59</v>
      </c>
      <c r="B64" s="63"/>
      <c r="C64" s="64"/>
      <c r="D64" s="643" t="s">
        <v>66</v>
      </c>
      <c r="E64" s="643"/>
      <c r="F64" s="643"/>
      <c r="G64" s="643"/>
      <c r="H64" s="643"/>
      <c r="I64" s="65"/>
      <c r="J64" s="643" t="s">
        <v>67</v>
      </c>
      <c r="K64" s="643"/>
      <c r="L64" s="643"/>
      <c r="M64" s="643"/>
      <c r="N64" s="643"/>
      <c r="O64" s="643"/>
      <c r="P64" s="643"/>
      <c r="Q64" s="643"/>
      <c r="R64" s="643"/>
      <c r="S64" s="643"/>
      <c r="T64" s="643"/>
      <c r="U64" s="643"/>
      <c r="V64" s="643"/>
      <c r="W64" s="643"/>
      <c r="X64" s="643"/>
      <c r="Y64" s="643"/>
      <c r="Z64" s="643"/>
      <c r="AA64" s="643"/>
      <c r="AB64" s="643"/>
      <c r="AC64" s="643"/>
      <c r="AD64" s="643"/>
      <c r="AE64" s="643"/>
      <c r="AF64" s="643"/>
      <c r="AG64" s="644">
        <f>'Krycí list'!E26</f>
        <v>0</v>
      </c>
      <c r="AH64" s="645"/>
      <c r="AI64" s="645"/>
      <c r="AJ64" s="645"/>
      <c r="AK64" s="645"/>
      <c r="AL64" s="645"/>
      <c r="AM64" s="645"/>
      <c r="AN64" s="644">
        <f>'Krycí list'!G26</f>
        <v>0</v>
      </c>
      <c r="AO64" s="645"/>
      <c r="AP64" s="645"/>
      <c r="AQ64" s="66" t="s">
        <v>62</v>
      </c>
      <c r="AR64" s="28"/>
      <c r="AS64" s="1"/>
      <c r="BG64" s="67" t="s">
        <v>63</v>
      </c>
      <c r="BI64" s="67" t="s">
        <v>57</v>
      </c>
      <c r="BJ64" s="67" t="s">
        <v>68</v>
      </c>
      <c r="BK64" s="67" t="s">
        <v>3</v>
      </c>
      <c r="BY64" s="67" t="s">
        <v>1</v>
      </c>
      <c r="BZ64" s="67" t="s">
        <v>65</v>
      </c>
    </row>
    <row r="65" spans="1:78" s="6" customFormat="1" ht="16.5" customHeight="1" x14ac:dyDescent="0.2">
      <c r="A65" s="62" t="s">
        <v>59</v>
      </c>
      <c r="B65" s="63"/>
      <c r="C65" s="64"/>
      <c r="D65" s="643" t="s">
        <v>69</v>
      </c>
      <c r="E65" s="643"/>
      <c r="F65" s="643"/>
      <c r="G65" s="643"/>
      <c r="H65" s="643"/>
      <c r="I65" s="65"/>
      <c r="J65" s="643" t="s">
        <v>70</v>
      </c>
      <c r="K65" s="643"/>
      <c r="L65" s="643"/>
      <c r="M65" s="643"/>
      <c r="N65" s="643"/>
      <c r="O65" s="643"/>
      <c r="P65" s="643"/>
      <c r="Q65" s="643"/>
      <c r="R65" s="643"/>
      <c r="S65" s="643"/>
      <c r="T65" s="643"/>
      <c r="U65" s="643"/>
      <c r="V65" s="643"/>
      <c r="W65" s="643"/>
      <c r="X65" s="643"/>
      <c r="Y65" s="643"/>
      <c r="Z65" s="643"/>
      <c r="AA65" s="643"/>
      <c r="AB65" s="643"/>
      <c r="AC65" s="643"/>
      <c r="AD65" s="643"/>
      <c r="AE65" s="643"/>
      <c r="AF65" s="643"/>
      <c r="AG65" s="644">
        <f>'Krycí list'!E30</f>
        <v>0</v>
      </c>
      <c r="AH65" s="645"/>
      <c r="AI65" s="645"/>
      <c r="AJ65" s="645"/>
      <c r="AK65" s="645"/>
      <c r="AL65" s="645"/>
      <c r="AM65" s="645"/>
      <c r="AN65" s="644">
        <f>'Krycí list'!G30</f>
        <v>0</v>
      </c>
      <c r="AO65" s="645"/>
      <c r="AP65" s="645"/>
      <c r="AQ65" s="66" t="s">
        <v>62</v>
      </c>
      <c r="AR65" s="28"/>
      <c r="AS65" s="1"/>
      <c r="BG65" s="67" t="s">
        <v>63</v>
      </c>
      <c r="BI65" s="67" t="s">
        <v>57</v>
      </c>
      <c r="BJ65" s="67" t="s">
        <v>71</v>
      </c>
      <c r="BK65" s="67" t="s">
        <v>3</v>
      </c>
      <c r="BY65" s="67" t="s">
        <v>1</v>
      </c>
      <c r="BZ65" s="67" t="s">
        <v>65</v>
      </c>
    </row>
    <row r="66" spans="1:78" s="6" customFormat="1" ht="16.5" customHeight="1" x14ac:dyDescent="0.2">
      <c r="A66" s="62"/>
      <c r="B66" s="63"/>
      <c r="C66" s="64"/>
      <c r="D66" s="643" t="s">
        <v>1372</v>
      </c>
      <c r="E66" s="643"/>
      <c r="F66" s="643"/>
      <c r="G66" s="643"/>
      <c r="H66" s="643"/>
      <c r="I66" s="65"/>
      <c r="J66" s="643" t="s">
        <v>1373</v>
      </c>
      <c r="K66" s="643"/>
      <c r="L66" s="643"/>
      <c r="M66" s="643"/>
      <c r="N66" s="643"/>
      <c r="O66" s="643"/>
      <c r="P66" s="643"/>
      <c r="Q66" s="643"/>
      <c r="R66" s="643"/>
      <c r="S66" s="643"/>
      <c r="T66" s="643"/>
      <c r="U66" s="643"/>
      <c r="V66" s="643"/>
      <c r="W66" s="643"/>
      <c r="X66" s="643"/>
      <c r="Y66" s="643"/>
      <c r="Z66" s="643"/>
      <c r="AA66" s="643"/>
      <c r="AB66" s="643"/>
      <c r="AC66" s="643"/>
      <c r="AD66" s="643"/>
      <c r="AE66" s="643"/>
      <c r="AF66" s="643"/>
      <c r="AG66" s="644">
        <f>'Krycí list'!E36</f>
        <v>0</v>
      </c>
      <c r="AH66" s="645"/>
      <c r="AI66" s="645"/>
      <c r="AJ66" s="645"/>
      <c r="AK66" s="645"/>
      <c r="AL66" s="645"/>
      <c r="AM66" s="645"/>
      <c r="AN66" s="644">
        <f>'Krycí list'!G36</f>
        <v>0</v>
      </c>
      <c r="AO66" s="645"/>
      <c r="AP66" s="645"/>
      <c r="AQ66" s="66"/>
      <c r="AR66" s="28"/>
      <c r="AS66" s="1"/>
      <c r="BG66" s="67"/>
      <c r="BI66" s="67"/>
      <c r="BJ66" s="67"/>
      <c r="BK66" s="67"/>
      <c r="BY66" s="67"/>
      <c r="BZ66" s="67"/>
    </row>
    <row r="67" spans="1:78" s="6" customFormat="1" ht="16.5" customHeight="1" x14ac:dyDescent="0.2">
      <c r="A67" s="62"/>
      <c r="B67" s="63"/>
      <c r="C67" s="64"/>
      <c r="D67" s="643">
        <v>101</v>
      </c>
      <c r="E67" s="643"/>
      <c r="F67" s="643"/>
      <c r="G67" s="643"/>
      <c r="H67" s="643"/>
      <c r="I67" s="65"/>
      <c r="J67" s="643" t="s">
        <v>1591</v>
      </c>
      <c r="K67" s="643"/>
      <c r="L67" s="643"/>
      <c r="M67" s="643"/>
      <c r="N67" s="643"/>
      <c r="O67" s="643"/>
      <c r="P67" s="643"/>
      <c r="Q67" s="643"/>
      <c r="R67" s="643"/>
      <c r="S67" s="643"/>
      <c r="T67" s="643"/>
      <c r="U67" s="643"/>
      <c r="V67" s="643"/>
      <c r="W67" s="643"/>
      <c r="X67" s="643"/>
      <c r="Y67" s="643"/>
      <c r="Z67" s="643"/>
      <c r="AA67" s="643"/>
      <c r="AB67" s="643"/>
      <c r="AC67" s="643"/>
      <c r="AD67" s="643"/>
      <c r="AE67" s="643"/>
      <c r="AF67" s="643"/>
      <c r="AG67" s="644">
        <f>'Krycí list'!E18</f>
        <v>0</v>
      </c>
      <c r="AH67" s="645"/>
      <c r="AI67" s="645"/>
      <c r="AJ67" s="645"/>
      <c r="AK67" s="645"/>
      <c r="AL67" s="645"/>
      <c r="AM67" s="645"/>
      <c r="AN67" s="644">
        <f>'Krycí list'!G18</f>
        <v>0</v>
      </c>
      <c r="AO67" s="645"/>
      <c r="AP67" s="645"/>
      <c r="AQ67" s="66"/>
      <c r="AR67" s="28"/>
      <c r="AS67" s="1"/>
      <c r="BG67" s="67"/>
      <c r="BI67" s="67"/>
      <c r="BJ67" s="67"/>
      <c r="BK67" s="67"/>
      <c r="BY67" s="67"/>
      <c r="BZ67" s="67"/>
    </row>
    <row r="68" spans="1:78" s="6" customFormat="1" ht="16.5" customHeight="1" x14ac:dyDescent="0.2">
      <c r="A68" s="62"/>
      <c r="B68" s="63"/>
      <c r="C68" s="64"/>
      <c r="D68" s="643" t="s">
        <v>1954</v>
      </c>
      <c r="E68" s="643"/>
      <c r="F68" s="643"/>
      <c r="G68" s="643"/>
      <c r="H68" s="643"/>
      <c r="I68" s="65"/>
      <c r="J68" s="643" t="s">
        <v>1955</v>
      </c>
      <c r="K68" s="643"/>
      <c r="L68" s="643"/>
      <c r="M68" s="643"/>
      <c r="N68" s="643"/>
      <c r="O68" s="643"/>
      <c r="P68" s="643"/>
      <c r="Q68" s="643"/>
      <c r="R68" s="643"/>
      <c r="S68" s="643"/>
      <c r="T68" s="643"/>
      <c r="U68" s="643"/>
      <c r="V68" s="643"/>
      <c r="W68" s="643"/>
      <c r="X68" s="643"/>
      <c r="Y68" s="643"/>
      <c r="Z68" s="643"/>
      <c r="AA68" s="643"/>
      <c r="AB68" s="643"/>
      <c r="AC68" s="643"/>
      <c r="AD68" s="643"/>
      <c r="AE68" s="643"/>
      <c r="AF68" s="643"/>
      <c r="AG68" s="689">
        <f>'Krycí list'!E39</f>
        <v>0</v>
      </c>
      <c r="AH68" s="689"/>
      <c r="AI68" s="689"/>
      <c r="AJ68" s="689"/>
      <c r="AK68" s="689"/>
      <c r="AL68" s="689"/>
      <c r="AM68" s="689"/>
      <c r="AN68" s="689">
        <f>'Krycí list'!G39</f>
        <v>0</v>
      </c>
      <c r="AO68" s="689"/>
      <c r="AP68" s="689"/>
      <c r="AQ68" s="66"/>
      <c r="AR68" s="28"/>
      <c r="AS68" s="1"/>
      <c r="BG68" s="67"/>
      <c r="BI68" s="67"/>
      <c r="BJ68" s="67"/>
      <c r="BK68" s="67"/>
      <c r="BY68" s="67"/>
      <c r="BZ68" s="67"/>
    </row>
    <row r="69" spans="1:78" s="1" customFormat="1" ht="30" customHeight="1" x14ac:dyDescent="0.2">
      <c r="B69" s="28"/>
      <c r="AR69" s="28"/>
    </row>
    <row r="70" spans="1:78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28"/>
    </row>
  </sheetData>
  <mergeCells count="58">
    <mergeCell ref="D68:H68"/>
    <mergeCell ref="J68:AF68"/>
    <mergeCell ref="AG68:AM68"/>
    <mergeCell ref="AN68:AP68"/>
    <mergeCell ref="D67:H67"/>
    <mergeCell ref="J67:AF67"/>
    <mergeCell ref="AG67:AM67"/>
    <mergeCell ref="AN67:AP67"/>
    <mergeCell ref="D66:H66"/>
    <mergeCell ref="J66:AF66"/>
    <mergeCell ref="AG66:AM66"/>
    <mergeCell ref="AN66:AP66"/>
    <mergeCell ref="L41:P41"/>
    <mergeCell ref="W41:AE41"/>
    <mergeCell ref="AK41:AO41"/>
    <mergeCell ref="AK43:AO43"/>
    <mergeCell ref="X43:AB43"/>
    <mergeCell ref="W39:AE39"/>
    <mergeCell ref="AK39:AO39"/>
    <mergeCell ref="L39:P39"/>
    <mergeCell ref="L40:P40"/>
    <mergeCell ref="W40:AE40"/>
    <mergeCell ref="AK40:AO40"/>
    <mergeCell ref="L37:P37"/>
    <mergeCell ref="W37:AE37"/>
    <mergeCell ref="AK37:AO37"/>
    <mergeCell ref="AK38:AO38"/>
    <mergeCell ref="L38:P38"/>
    <mergeCell ref="W38:AE38"/>
    <mergeCell ref="K5:AO5"/>
    <mergeCell ref="K6:AO6"/>
    <mergeCell ref="E31:AN31"/>
    <mergeCell ref="AK34:AO34"/>
    <mergeCell ref="L36:P36"/>
    <mergeCell ref="W36:AE36"/>
    <mergeCell ref="AK36:AO36"/>
    <mergeCell ref="D65:H65"/>
    <mergeCell ref="AN65:AP65"/>
    <mergeCell ref="C60:G60"/>
    <mergeCell ref="AN60:AP60"/>
    <mergeCell ref="AG60:AM60"/>
    <mergeCell ref="I60:AF60"/>
    <mergeCell ref="AN63:AP63"/>
    <mergeCell ref="D63:H63"/>
    <mergeCell ref="AG63:AM63"/>
    <mergeCell ref="J63:AF63"/>
    <mergeCell ref="AG62:AM62"/>
    <mergeCell ref="AN62:AP62"/>
    <mergeCell ref="J64:AF64"/>
    <mergeCell ref="D64:H64"/>
    <mergeCell ref="AN64:AP64"/>
    <mergeCell ref="AG64:AM64"/>
    <mergeCell ref="L53:AO53"/>
    <mergeCell ref="AM55:AN55"/>
    <mergeCell ref="AM57:AP57"/>
    <mergeCell ref="AM58:AP58"/>
    <mergeCell ref="J65:AF65"/>
    <mergeCell ref="AG65:AM65"/>
  </mergeCells>
  <phoneticPr fontId="0" type="noConversion"/>
  <hyperlinks>
    <hyperlink ref="A63" location="'SO 310 - Vodovod'!C2" display="/" xr:uid="{00000000-0004-0000-0000-000000000000}"/>
    <hyperlink ref="A64" location="'SO 320 - Splašková kanali...'!C2" display="/" xr:uid="{00000000-0004-0000-0000-000001000000}"/>
    <hyperlink ref="A65" location="'SO 330 - Odvodně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5167-1A34-4F07-BEA7-F53A99346CC8}">
  <sheetPr>
    <pageSetUpPr fitToPage="1"/>
  </sheetPr>
  <dimension ref="B2:G53"/>
  <sheetViews>
    <sheetView workbookViewId="0">
      <selection activeCell="G47" sqref="G47"/>
    </sheetView>
  </sheetViews>
  <sheetFormatPr defaultRowHeight="15" x14ac:dyDescent="0.25"/>
  <cols>
    <col min="1" max="1" width="3.5" style="364" customWidth="1"/>
    <col min="2" max="2" width="10.83203125" style="364" customWidth="1"/>
    <col min="3" max="3" width="37.83203125" style="364" customWidth="1"/>
    <col min="4" max="4" width="42.83203125" style="364" customWidth="1"/>
    <col min="5" max="7" width="24.1640625" style="364" customWidth="1"/>
    <col min="8" max="18" width="9.33203125" style="364"/>
    <col min="19" max="19" width="9.33203125" style="364" customWidth="1"/>
    <col min="20" max="16384" width="9.33203125" style="364"/>
  </cols>
  <sheetData>
    <row r="2" spans="2:7" ht="30.75" customHeight="1" x14ac:dyDescent="0.25">
      <c r="B2" s="465"/>
      <c r="C2" s="453" t="s">
        <v>1609</v>
      </c>
      <c r="D2" s="455"/>
      <c r="E2" s="365"/>
      <c r="F2" s="365"/>
      <c r="G2" s="365"/>
    </row>
    <row r="3" spans="2:7" x14ac:dyDescent="0.25">
      <c r="B3" s="465"/>
      <c r="C3" s="666" t="s">
        <v>1607</v>
      </c>
      <c r="D3" s="465"/>
      <c r="E3" s="365"/>
      <c r="F3" s="365"/>
      <c r="G3" s="365"/>
    </row>
    <row r="4" spans="2:7" x14ac:dyDescent="0.25">
      <c r="B4" s="465"/>
      <c r="C4" s="667"/>
      <c r="D4" s="465"/>
      <c r="E4" s="365"/>
      <c r="F4" s="365"/>
      <c r="G4" s="365"/>
    </row>
    <row r="5" spans="2:7" ht="20.25" x14ac:dyDescent="0.25">
      <c r="B5" s="465"/>
      <c r="C5" s="467" t="s">
        <v>1606</v>
      </c>
      <c r="D5" s="452"/>
      <c r="E5" s="466"/>
      <c r="F5" s="466"/>
      <c r="G5" s="466"/>
    </row>
    <row r="6" spans="2:7" x14ac:dyDescent="0.25">
      <c r="B6" s="465"/>
      <c r="C6" s="365"/>
      <c r="D6" s="365"/>
      <c r="E6" s="365"/>
      <c r="F6" s="365"/>
      <c r="G6" s="365"/>
    </row>
    <row r="7" spans="2:7" x14ac:dyDescent="0.25">
      <c r="B7" s="465"/>
      <c r="C7" s="365"/>
      <c r="D7" s="456" t="s">
        <v>1605</v>
      </c>
      <c r="E7" s="457">
        <f>SUM(E11:E17)</f>
        <v>0</v>
      </c>
      <c r="F7" s="365"/>
      <c r="G7" s="365"/>
    </row>
    <row r="8" spans="2:7" x14ac:dyDescent="0.25">
      <c r="B8" s="465"/>
      <c r="C8" s="365"/>
      <c r="D8" s="456" t="s">
        <v>1604</v>
      </c>
      <c r="E8" s="457">
        <f>SUM(G11:G17)</f>
        <v>0</v>
      </c>
      <c r="F8" s="365"/>
      <c r="G8" s="365"/>
    </row>
    <row r="9" spans="2:7" x14ac:dyDescent="0.25">
      <c r="B9" s="465"/>
      <c r="C9" s="365"/>
      <c r="D9" s="365"/>
      <c r="E9" s="365"/>
      <c r="F9" s="365"/>
      <c r="G9" s="365"/>
    </row>
    <row r="10" spans="2:7" x14ac:dyDescent="0.25">
      <c r="B10" s="447" t="s">
        <v>1371</v>
      </c>
      <c r="C10" s="447" t="s">
        <v>49</v>
      </c>
      <c r="D10" s="447"/>
      <c r="E10" s="447" t="s">
        <v>34</v>
      </c>
      <c r="F10" s="447" t="s">
        <v>38</v>
      </c>
      <c r="G10" s="447" t="s">
        <v>44</v>
      </c>
    </row>
    <row r="11" spans="2:7" x14ac:dyDescent="0.25">
      <c r="B11" s="462" t="s">
        <v>1941</v>
      </c>
      <c r="C11" s="458" t="s">
        <v>1603</v>
      </c>
      <c r="D11" s="458" t="s">
        <v>1602</v>
      </c>
      <c r="E11" s="459">
        <f>'Rekapitulace - 101 - Komunikace'!C10</f>
        <v>0</v>
      </c>
      <c r="F11" s="459">
        <f>E11*0.21</f>
        <v>0</v>
      </c>
      <c r="G11" s="459">
        <f t="shared" ref="G11:G17" si="0">E11+F11</f>
        <v>0</v>
      </c>
    </row>
    <row r="12" spans="2:7" x14ac:dyDescent="0.25">
      <c r="B12" s="463"/>
      <c r="C12" s="458" t="s">
        <v>1601</v>
      </c>
      <c r="D12" s="458" t="s">
        <v>1600</v>
      </c>
      <c r="E12" s="459">
        <f>'Rekapitulace - 101 - Komunikace'!C11</f>
        <v>0</v>
      </c>
      <c r="F12" s="459">
        <f t="shared" ref="F12:F16" si="1">E12*0.21</f>
        <v>0</v>
      </c>
      <c r="G12" s="459">
        <f t="shared" si="0"/>
        <v>0</v>
      </c>
    </row>
    <row r="13" spans="2:7" ht="25.5" x14ac:dyDescent="0.25">
      <c r="B13" s="463"/>
      <c r="C13" s="458" t="s">
        <v>1599</v>
      </c>
      <c r="D13" s="458" t="s">
        <v>1598</v>
      </c>
      <c r="E13" s="459">
        <f>'Rekapitulace - 101 - Komunikace'!C12</f>
        <v>0</v>
      </c>
      <c r="F13" s="459">
        <f t="shared" si="1"/>
        <v>0</v>
      </c>
      <c r="G13" s="459">
        <f t="shared" si="0"/>
        <v>0</v>
      </c>
    </row>
    <row r="14" spans="2:7" x14ac:dyDescent="0.25">
      <c r="B14" s="463"/>
      <c r="C14" s="458" t="s">
        <v>1597</v>
      </c>
      <c r="D14" s="458" t="s">
        <v>1596</v>
      </c>
      <c r="E14" s="459">
        <f>'Rekapitulace - 101 - Komunikace'!C13</f>
        <v>0</v>
      </c>
      <c r="F14" s="459">
        <f t="shared" si="1"/>
        <v>0</v>
      </c>
      <c r="G14" s="459">
        <f t="shared" si="0"/>
        <v>0</v>
      </c>
    </row>
    <row r="15" spans="2:7" x14ac:dyDescent="0.25">
      <c r="B15" s="463"/>
      <c r="C15" s="458" t="s">
        <v>1595</v>
      </c>
      <c r="D15" s="458" t="s">
        <v>1594</v>
      </c>
      <c r="E15" s="459">
        <f>'Rekapitulace - 101 - Komunikace'!C14</f>
        <v>0</v>
      </c>
      <c r="F15" s="459">
        <f t="shared" si="1"/>
        <v>0</v>
      </c>
      <c r="G15" s="459">
        <f t="shared" si="0"/>
        <v>0</v>
      </c>
    </row>
    <row r="16" spans="2:7" x14ac:dyDescent="0.25">
      <c r="B16" s="463"/>
      <c r="C16" s="458" t="s">
        <v>1593</v>
      </c>
      <c r="D16" s="458" t="str">
        <f>'[1]101101.4'!E5</f>
        <v>Komunikace km 0,000 - 0,098</v>
      </c>
      <c r="E16" s="459">
        <f>'Rekapitulace - 101 - Komunikace'!C15</f>
        <v>0</v>
      </c>
      <c r="F16" s="459">
        <f t="shared" si="1"/>
        <v>0</v>
      </c>
      <c r="G16" s="459">
        <f t="shared" si="0"/>
        <v>0</v>
      </c>
    </row>
    <row r="17" spans="2:7" x14ac:dyDescent="0.25">
      <c r="B17" s="464"/>
      <c r="C17" s="458" t="s">
        <v>1895</v>
      </c>
      <c r="D17" s="458" t="str">
        <f>'101101.5'!E5</f>
        <v>Komunikace km 0,098 - KÚ</v>
      </c>
      <c r="E17" s="459">
        <f>'Rekapitulace - 101 - Komunikace'!C16</f>
        <v>0</v>
      </c>
      <c r="F17" s="459">
        <f>SUMIFS('101101.5'!O:O,'101101.5'!A:A,"P")</f>
        <v>0</v>
      </c>
      <c r="G17" s="459">
        <f t="shared" si="0"/>
        <v>0</v>
      </c>
    </row>
    <row r="18" spans="2:7" x14ac:dyDescent="0.25">
      <c r="E18" s="468">
        <f>SUM(E11:E17)</f>
        <v>0</v>
      </c>
      <c r="F18" s="468">
        <f>SUM(F11:F17)</f>
        <v>0</v>
      </c>
      <c r="G18" s="468">
        <f>SUM(G11:G17)</f>
        <v>0</v>
      </c>
    </row>
    <row r="19" spans="2:7" x14ac:dyDescent="0.25">
      <c r="B19"/>
    </row>
    <row r="20" spans="2:7" x14ac:dyDescent="0.25">
      <c r="B20" s="500" t="s">
        <v>60</v>
      </c>
      <c r="C20" s="497">
        <v>310</v>
      </c>
      <c r="D20" s="481" t="s">
        <v>1943</v>
      </c>
      <c r="E20" s="479">
        <f>'SO 310 - Vodovod – 0-0,098'!J30</f>
        <v>0</v>
      </c>
      <c r="F20" s="479">
        <f>E20*0.21</f>
        <v>0</v>
      </c>
      <c r="G20" s="479">
        <f>E20+F20</f>
        <v>0</v>
      </c>
    </row>
    <row r="21" spans="2:7" x14ac:dyDescent="0.25">
      <c r="B21" s="501"/>
      <c r="C21" s="497">
        <v>310</v>
      </c>
      <c r="D21" s="481" t="s">
        <v>1942</v>
      </c>
      <c r="E21" s="479">
        <f>'SO 310 - Vodovod – 0,098-KÚ'!J30</f>
        <v>0</v>
      </c>
      <c r="F21" s="479">
        <f t="shared" ref="F21:F22" si="2">E21*0.21</f>
        <v>0</v>
      </c>
      <c r="G21" s="479">
        <f t="shared" ref="G21:G36" si="3">E21+F21</f>
        <v>0</v>
      </c>
    </row>
    <row r="22" spans="2:7" x14ac:dyDescent="0.25">
      <c r="B22" s="470"/>
      <c r="C22" s="461"/>
      <c r="D22" s="471"/>
      <c r="E22" s="480">
        <f>SUM(E20:E21)</f>
        <v>0</v>
      </c>
      <c r="F22" s="480">
        <f t="shared" si="2"/>
        <v>0</v>
      </c>
      <c r="G22" s="480">
        <f t="shared" si="3"/>
        <v>0</v>
      </c>
    </row>
    <row r="23" spans="2:7" x14ac:dyDescent="0.25">
      <c r="B23" s="470"/>
      <c r="C23" s="472"/>
      <c r="D23" s="473"/>
      <c r="E23" s="461"/>
      <c r="F23" s="482"/>
      <c r="G23" s="482"/>
    </row>
    <row r="24" spans="2:7" x14ac:dyDescent="0.25">
      <c r="B24" s="502" t="s">
        <v>66</v>
      </c>
      <c r="C24" s="498">
        <v>320</v>
      </c>
      <c r="D24" s="474" t="s">
        <v>1946</v>
      </c>
      <c r="E24" s="479">
        <f>'SO 320 - Spl. kan. – 0-0,098'!J30</f>
        <v>0</v>
      </c>
      <c r="F24" s="479">
        <f>E24*0.21</f>
        <v>0</v>
      </c>
      <c r="G24" s="479">
        <f t="shared" si="3"/>
        <v>0</v>
      </c>
    </row>
    <row r="25" spans="2:7" x14ac:dyDescent="0.25">
      <c r="B25" s="503"/>
      <c r="C25" s="498">
        <v>320</v>
      </c>
      <c r="D25" s="474" t="s">
        <v>1947</v>
      </c>
      <c r="E25" s="479">
        <f>'SO 320 - Spl. kan. – 0,098-KÚ'!J30</f>
        <v>0</v>
      </c>
      <c r="F25" s="479">
        <f t="shared" ref="F25:F36" si="4">E25*0.21</f>
        <v>0</v>
      </c>
      <c r="G25" s="479">
        <f t="shared" si="3"/>
        <v>0</v>
      </c>
    </row>
    <row r="26" spans="2:7" x14ac:dyDescent="0.25">
      <c r="B26" s="470"/>
      <c r="C26" s="472"/>
      <c r="D26" s="473"/>
      <c r="E26" s="480">
        <f>SUM(E24:E25)</f>
        <v>0</v>
      </c>
      <c r="F26" s="480">
        <f t="shared" si="4"/>
        <v>0</v>
      </c>
      <c r="G26" s="480">
        <f t="shared" si="3"/>
        <v>0</v>
      </c>
    </row>
    <row r="27" spans="2:7" x14ac:dyDescent="0.25">
      <c r="B27" s="470"/>
      <c r="C27" s="472"/>
      <c r="D27" s="473"/>
      <c r="E27" s="461"/>
      <c r="F27" s="482"/>
      <c r="G27" s="482"/>
    </row>
    <row r="28" spans="2:7" x14ac:dyDescent="0.25">
      <c r="B28" s="502" t="s">
        <v>69</v>
      </c>
      <c r="C28" s="498">
        <v>330</v>
      </c>
      <c r="D28" s="474" t="s">
        <v>1944</v>
      </c>
      <c r="E28" s="479">
        <f>'SO 330 - Odvodnění – 0-0,098'!J30</f>
        <v>0</v>
      </c>
      <c r="F28" s="479">
        <f t="shared" si="4"/>
        <v>0</v>
      </c>
      <c r="G28" s="479">
        <f t="shared" si="3"/>
        <v>0</v>
      </c>
    </row>
    <row r="29" spans="2:7" x14ac:dyDescent="0.25">
      <c r="B29" s="503"/>
      <c r="C29" s="498">
        <v>330</v>
      </c>
      <c r="D29" s="474" t="s">
        <v>1945</v>
      </c>
      <c r="E29" s="479">
        <f>'SO 330 - Odvodnění – 0,098-KÚ'!J30</f>
        <v>0</v>
      </c>
      <c r="F29" s="479">
        <f t="shared" si="4"/>
        <v>0</v>
      </c>
      <c r="G29" s="479">
        <f t="shared" si="3"/>
        <v>0</v>
      </c>
    </row>
    <row r="30" spans="2:7" x14ac:dyDescent="0.25">
      <c r="B30" s="470"/>
      <c r="C30" s="461"/>
      <c r="D30" s="471"/>
      <c r="E30" s="480">
        <f>SUM(E28:E29)</f>
        <v>0</v>
      </c>
      <c r="F30" s="480">
        <f t="shared" si="4"/>
        <v>0</v>
      </c>
      <c r="G30" s="480">
        <f t="shared" si="3"/>
        <v>0</v>
      </c>
    </row>
    <row r="31" spans="2:7" x14ac:dyDescent="0.25">
      <c r="B31" s="470"/>
      <c r="C31" s="475"/>
      <c r="D31" s="476"/>
      <c r="E31" s="461"/>
      <c r="F31" s="482"/>
      <c r="G31" s="482"/>
    </row>
    <row r="32" spans="2:7" x14ac:dyDescent="0.25">
      <c r="B32" s="502" t="s">
        <v>1372</v>
      </c>
      <c r="C32" s="499">
        <v>401</v>
      </c>
      <c r="D32" s="477" t="s">
        <v>1891</v>
      </c>
      <c r="E32" s="479">
        <f>'VO materiál – 0-0,098 '!G67</f>
        <v>0</v>
      </c>
      <c r="F32" s="479">
        <f t="shared" si="4"/>
        <v>0</v>
      </c>
      <c r="G32" s="479">
        <f t="shared" si="3"/>
        <v>0</v>
      </c>
    </row>
    <row r="33" spans="2:7" x14ac:dyDescent="0.25">
      <c r="B33" s="504"/>
      <c r="C33" s="499">
        <v>401</v>
      </c>
      <c r="D33" s="477" t="s">
        <v>1893</v>
      </c>
      <c r="E33" s="479">
        <f>'VO montáž – 0,098-KÚ'!G80</f>
        <v>0</v>
      </c>
      <c r="F33" s="479">
        <f t="shared" si="4"/>
        <v>0</v>
      </c>
      <c r="G33" s="479">
        <f t="shared" si="3"/>
        <v>0</v>
      </c>
    </row>
    <row r="34" spans="2:7" x14ac:dyDescent="0.25">
      <c r="B34" s="504"/>
      <c r="C34" s="499">
        <v>401</v>
      </c>
      <c r="D34" s="477" t="s">
        <v>1892</v>
      </c>
      <c r="E34" s="479">
        <f>'VO materiál – 0,098-KÚ'!G65</f>
        <v>0</v>
      </c>
      <c r="F34" s="479">
        <f t="shared" si="4"/>
        <v>0</v>
      </c>
      <c r="G34" s="479">
        <f t="shared" si="3"/>
        <v>0</v>
      </c>
    </row>
    <row r="35" spans="2:7" x14ac:dyDescent="0.25">
      <c r="B35" s="503"/>
      <c r="C35" s="499">
        <v>401</v>
      </c>
      <c r="D35" s="477" t="s">
        <v>1894</v>
      </c>
      <c r="E35" s="479">
        <f>'VO montáž – 0,098-KÚ'!G80</f>
        <v>0</v>
      </c>
      <c r="F35" s="479">
        <f t="shared" si="4"/>
        <v>0</v>
      </c>
      <c r="G35" s="479">
        <f t="shared" si="3"/>
        <v>0</v>
      </c>
    </row>
    <row r="36" spans="2:7" x14ac:dyDescent="0.25">
      <c r="B36" s="478"/>
      <c r="C36" s="469"/>
      <c r="D36" s="469"/>
      <c r="E36" s="480">
        <f>SUM(E32:E35)</f>
        <v>0</v>
      </c>
      <c r="F36" s="480">
        <f t="shared" si="4"/>
        <v>0</v>
      </c>
      <c r="G36" s="480">
        <f t="shared" si="3"/>
        <v>0</v>
      </c>
    </row>
    <row r="38" spans="2:7" x14ac:dyDescent="0.25">
      <c r="B38" s="505" t="s">
        <v>1954</v>
      </c>
      <c r="C38" s="506">
        <v>402</v>
      </c>
      <c r="D38" s="507" t="s">
        <v>1955</v>
      </c>
      <c r="E38" s="479">
        <f>'SO 402 - Kabelovod'!J30</f>
        <v>0</v>
      </c>
      <c r="F38" s="479">
        <f>E38*0.21</f>
        <v>0</v>
      </c>
      <c r="G38" s="479">
        <f>E38+F38</f>
        <v>0</v>
      </c>
    </row>
    <row r="39" spans="2:7" x14ac:dyDescent="0.25">
      <c r="E39" s="480">
        <f>E38</f>
        <v>0</v>
      </c>
      <c r="F39" s="480">
        <f>E39*0.21</f>
        <v>0</v>
      </c>
      <c r="G39" s="480">
        <f>E39+F39</f>
        <v>0</v>
      </c>
    </row>
    <row r="41" spans="2:7" x14ac:dyDescent="0.25">
      <c r="C41"/>
      <c r="D41"/>
    </row>
    <row r="42" spans="2:7" x14ac:dyDescent="0.25">
      <c r="C42"/>
      <c r="D42"/>
      <c r="E42" s="483">
        <f>E36+E30+E26+E22+E18+E39</f>
        <v>0</v>
      </c>
      <c r="F42" s="483">
        <f>F36+F30+F26+F22+F18+F39</f>
        <v>0</v>
      </c>
      <c r="G42" s="483">
        <f>G36+G30+G26+G22+G18+G39</f>
        <v>0</v>
      </c>
    </row>
    <row r="43" spans="2:7" x14ac:dyDescent="0.25">
      <c r="C43"/>
      <c r="D43"/>
      <c r="E43"/>
    </row>
    <row r="44" spans="2:7" x14ac:dyDescent="0.25">
      <c r="C44"/>
      <c r="D44"/>
      <c r="E44"/>
    </row>
    <row r="45" spans="2:7" x14ac:dyDescent="0.25">
      <c r="C45"/>
      <c r="D45"/>
      <c r="E45"/>
    </row>
    <row r="46" spans="2:7" x14ac:dyDescent="0.25">
      <c r="C46"/>
      <c r="D46"/>
      <c r="E46"/>
    </row>
    <row r="47" spans="2:7" x14ac:dyDescent="0.25">
      <c r="C47"/>
      <c r="D47"/>
      <c r="E47"/>
    </row>
    <row r="48" spans="2:7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</sheetData>
  <mergeCells count="1">
    <mergeCell ref="C3:C4"/>
  </mergeCells>
  <pageMargins left="0.7" right="0.7" top="0.78740157499999996" bottom="0.78740157499999996" header="0.3" footer="0.3"/>
  <pageSetup fitToHeigh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2"/>
  <sheetViews>
    <sheetView showGridLines="0" topLeftCell="A342" workbookViewId="0">
      <selection activeCell="F117" sqref="F11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671" t="s">
        <v>4</v>
      </c>
      <c r="M2" s="653"/>
      <c r="N2" s="653"/>
      <c r="O2" s="653"/>
      <c r="P2" s="653"/>
      <c r="Q2" s="653"/>
      <c r="R2" s="653"/>
      <c r="S2" s="653"/>
      <c r="T2" s="653"/>
      <c r="U2" s="653"/>
      <c r="V2" s="653"/>
      <c r="AT2" s="17" t="s">
        <v>64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65</v>
      </c>
    </row>
    <row r="4" spans="2:46" ht="24.95" customHeight="1" x14ac:dyDescent="0.2">
      <c r="B4" s="20"/>
      <c r="D4" s="21" t="s">
        <v>72</v>
      </c>
      <c r="L4" s="20"/>
      <c r="M4" s="68" t="s">
        <v>9</v>
      </c>
      <c r="AT4" s="17" t="s">
        <v>2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5" t="s">
        <v>13</v>
      </c>
      <c r="L6" s="20"/>
    </row>
    <row r="7" spans="2:46" ht="16.5" customHeight="1" x14ac:dyDescent="0.2">
      <c r="B7" s="20"/>
      <c r="E7" s="669" t="str">
        <f>Rekapitulace!K6</f>
        <v>Propojení Okružní x Na hroudách</v>
      </c>
      <c r="F7" s="670"/>
      <c r="G7" s="670"/>
      <c r="H7" s="670"/>
      <c r="L7" s="20"/>
    </row>
    <row r="8" spans="2:46" s="1" customFormat="1" ht="12" customHeight="1" x14ac:dyDescent="0.2">
      <c r="B8" s="28"/>
      <c r="D8" s="25" t="s">
        <v>73</v>
      </c>
      <c r="L8" s="28"/>
      <c r="W8"/>
      <c r="X8"/>
      <c r="Y8"/>
    </row>
    <row r="9" spans="2:46" s="1" customFormat="1" ht="16.5" customHeight="1" x14ac:dyDescent="0.2">
      <c r="B9" s="28"/>
      <c r="E9" s="638" t="s">
        <v>74</v>
      </c>
      <c r="F9" s="668"/>
      <c r="G9" s="668"/>
      <c r="H9" s="668"/>
      <c r="L9" s="28"/>
      <c r="W9"/>
      <c r="X9"/>
      <c r="Y9"/>
    </row>
    <row r="10" spans="2:46" s="1" customFormat="1" x14ac:dyDescent="0.2">
      <c r="B10" s="28"/>
      <c r="L10" s="28"/>
      <c r="W10"/>
      <c r="X10"/>
      <c r="Y10"/>
    </row>
    <row r="11" spans="2:46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W11"/>
      <c r="X11"/>
      <c r="Y11"/>
    </row>
    <row r="12" spans="2:46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W12"/>
      <c r="X12"/>
      <c r="Y12"/>
    </row>
    <row r="13" spans="2:46" s="1" customFormat="1" ht="10.9" customHeight="1" x14ac:dyDescent="0.2">
      <c r="B13" s="28"/>
      <c r="L13" s="28"/>
      <c r="W13"/>
      <c r="X13"/>
      <c r="Y13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W14"/>
      <c r="X14"/>
      <c r="Y14"/>
    </row>
    <row r="15" spans="2:46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W15"/>
      <c r="X15"/>
      <c r="Y15"/>
    </row>
    <row r="16" spans="2:46" s="1" customFormat="1" ht="6.95" customHeight="1" x14ac:dyDescent="0.2">
      <c r="B16" s="28"/>
      <c r="L16" s="28"/>
      <c r="W16"/>
      <c r="X16"/>
      <c r="Y16"/>
    </row>
    <row r="17" spans="2:25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W17"/>
      <c r="X17"/>
      <c r="Y17"/>
    </row>
    <row r="18" spans="2:25" s="1" customFormat="1" ht="18" customHeight="1" x14ac:dyDescent="0.2">
      <c r="B18" s="28"/>
      <c r="E18" s="652" t="str">
        <f>Rekapitulace!E14</f>
        <v xml:space="preserve"> </v>
      </c>
      <c r="F18" s="652"/>
      <c r="G18" s="652"/>
      <c r="H18" s="652"/>
      <c r="I18" s="25" t="s">
        <v>24</v>
      </c>
      <c r="J18" s="23" t="str">
        <f>Rekapitulace!AN14</f>
        <v/>
      </c>
      <c r="L18" s="28"/>
      <c r="W18"/>
      <c r="X18"/>
      <c r="Y18"/>
    </row>
    <row r="19" spans="2:25" s="1" customFormat="1" ht="6.95" customHeight="1" x14ac:dyDescent="0.2">
      <c r="B19" s="28"/>
      <c r="L19" s="28"/>
      <c r="W19"/>
      <c r="X19"/>
      <c r="Y19"/>
    </row>
    <row r="20" spans="2:25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W20"/>
      <c r="X20"/>
      <c r="Y20"/>
    </row>
    <row r="21" spans="2:25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W21"/>
      <c r="X21"/>
      <c r="Y21"/>
    </row>
    <row r="22" spans="2:25" s="1" customFormat="1" ht="6.95" customHeight="1" x14ac:dyDescent="0.2">
      <c r="B22" s="28"/>
      <c r="L22" s="28"/>
      <c r="W22"/>
      <c r="X22"/>
      <c r="Y22"/>
    </row>
    <row r="23" spans="2:25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W23"/>
      <c r="X23"/>
      <c r="Y23"/>
    </row>
    <row r="24" spans="2:25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W24"/>
      <c r="X24"/>
      <c r="Y24"/>
    </row>
    <row r="25" spans="2:25" s="1" customFormat="1" ht="6.95" customHeight="1" x14ac:dyDescent="0.2">
      <c r="B25" s="28"/>
      <c r="L25" s="28"/>
      <c r="W25"/>
      <c r="X25"/>
      <c r="Y25"/>
    </row>
    <row r="26" spans="2:25" s="1" customFormat="1" ht="12" customHeight="1" x14ac:dyDescent="0.2">
      <c r="B26" s="28"/>
      <c r="D26" s="25" t="s">
        <v>32</v>
      </c>
      <c r="L26" s="28"/>
      <c r="W26"/>
      <c r="X26"/>
      <c r="Y26"/>
    </row>
    <row r="27" spans="2:25" s="7" customFormat="1" ht="16.5" customHeight="1" x14ac:dyDescent="0.2">
      <c r="B27" s="69"/>
      <c r="E27" s="655" t="s">
        <v>1</v>
      </c>
      <c r="F27" s="655"/>
      <c r="G27" s="655"/>
      <c r="H27" s="655"/>
      <c r="L27" s="69"/>
      <c r="W27"/>
      <c r="X27"/>
      <c r="Y27"/>
    </row>
    <row r="28" spans="2:25" s="1" customFormat="1" ht="6.95" customHeight="1" x14ac:dyDescent="0.2">
      <c r="B28" s="28"/>
      <c r="L28" s="28"/>
      <c r="W28"/>
      <c r="X28"/>
      <c r="Y28"/>
    </row>
    <row r="29" spans="2:25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W29"/>
      <c r="X29"/>
      <c r="Y29"/>
    </row>
    <row r="30" spans="2:25" s="1" customFormat="1" ht="25.35" customHeight="1" x14ac:dyDescent="0.2">
      <c r="B30" s="28"/>
      <c r="D30" s="70" t="s">
        <v>34</v>
      </c>
      <c r="J30" s="58">
        <f>ROUND(J86, 2)</f>
        <v>0</v>
      </c>
      <c r="L30" s="28"/>
      <c r="W30"/>
      <c r="X30"/>
      <c r="Y30"/>
    </row>
    <row r="31" spans="2:25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W31"/>
      <c r="X31"/>
      <c r="Y31"/>
    </row>
    <row r="32" spans="2:25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W32"/>
      <c r="X32"/>
      <c r="Y32"/>
    </row>
    <row r="33" spans="2:25" s="1" customFormat="1" ht="14.45" customHeight="1" x14ac:dyDescent="0.2">
      <c r="B33" s="28"/>
      <c r="D33" s="47" t="s">
        <v>38</v>
      </c>
      <c r="E33" s="25" t="s">
        <v>39</v>
      </c>
      <c r="F33" s="71">
        <f>ROUND((SUM(BE86:BE361)),  2)</f>
        <v>0</v>
      </c>
      <c r="I33" s="72">
        <v>0.21</v>
      </c>
      <c r="J33" s="71">
        <f>ROUND(((SUM(BE86:BE361))*I33),  2)</f>
        <v>0</v>
      </c>
      <c r="L33" s="28"/>
      <c r="W33"/>
      <c r="X33"/>
      <c r="Y33"/>
    </row>
    <row r="34" spans="2:25" s="1" customFormat="1" ht="14.45" customHeight="1" x14ac:dyDescent="0.2">
      <c r="B34" s="28"/>
      <c r="E34" s="25" t="s">
        <v>40</v>
      </c>
      <c r="F34" s="71">
        <f>ROUND((SUM(BF86:BF361)),  2)</f>
        <v>0</v>
      </c>
      <c r="I34" s="72">
        <v>0.15</v>
      </c>
      <c r="J34" s="71">
        <f>ROUND(((SUM(BF86:BF361))*I34),  2)</f>
        <v>0</v>
      </c>
      <c r="L34" s="28"/>
      <c r="W34"/>
      <c r="X34"/>
      <c r="Y34"/>
    </row>
    <row r="35" spans="2:25" s="1" customFormat="1" ht="14.45" hidden="1" customHeight="1" x14ac:dyDescent="0.2">
      <c r="B35" s="28"/>
      <c r="E35" s="25" t="s">
        <v>41</v>
      </c>
      <c r="F35" s="71">
        <f>ROUND((SUM(BG86:BG361)),  2)</f>
        <v>0</v>
      </c>
      <c r="I35" s="72">
        <v>0.21</v>
      </c>
      <c r="J35" s="71">
        <f>0</f>
        <v>0</v>
      </c>
      <c r="L35" s="28"/>
      <c r="W35"/>
      <c r="X35"/>
      <c r="Y35"/>
    </row>
    <row r="36" spans="2:25" s="1" customFormat="1" ht="14.45" hidden="1" customHeight="1" x14ac:dyDescent="0.2">
      <c r="B36" s="28"/>
      <c r="E36" s="25" t="s">
        <v>42</v>
      </c>
      <c r="F36" s="71">
        <f>ROUND((SUM(BH86:BH361)),  2)</f>
        <v>0</v>
      </c>
      <c r="I36" s="72">
        <v>0.15</v>
      </c>
      <c r="J36" s="71">
        <f>0</f>
        <v>0</v>
      </c>
      <c r="L36" s="28"/>
      <c r="W36"/>
      <c r="X36"/>
      <c r="Y36"/>
    </row>
    <row r="37" spans="2:25" s="1" customFormat="1" ht="14.45" hidden="1" customHeight="1" x14ac:dyDescent="0.2">
      <c r="B37" s="28"/>
      <c r="E37" s="25" t="s">
        <v>43</v>
      </c>
      <c r="F37" s="71">
        <f>ROUND((SUM(BI86:BI361)),  2)</f>
        <v>0</v>
      </c>
      <c r="I37" s="72">
        <v>0</v>
      </c>
      <c r="J37" s="71">
        <f>0</f>
        <v>0</v>
      </c>
      <c r="L37" s="28"/>
      <c r="W37"/>
      <c r="X37"/>
      <c r="Y37"/>
    </row>
    <row r="38" spans="2:25" s="1" customFormat="1" ht="6.95" customHeight="1" x14ac:dyDescent="0.2">
      <c r="B38" s="28"/>
      <c r="L38" s="28"/>
      <c r="W38"/>
      <c r="X38"/>
      <c r="Y38"/>
    </row>
    <row r="39" spans="2:25" s="1" customFormat="1" ht="25.35" customHeight="1" x14ac:dyDescent="0.2">
      <c r="B39" s="28"/>
      <c r="C39" s="73"/>
      <c r="D39" s="74" t="s">
        <v>44</v>
      </c>
      <c r="E39" s="49"/>
      <c r="F39" s="49"/>
      <c r="G39" s="484" t="s">
        <v>45</v>
      </c>
      <c r="H39" s="76" t="s">
        <v>46</v>
      </c>
      <c r="I39" s="49"/>
      <c r="J39" s="77">
        <f>SUM(J30:J37)</f>
        <v>0</v>
      </c>
      <c r="K39" s="78"/>
      <c r="L39" s="28"/>
      <c r="W39"/>
      <c r="X39"/>
      <c r="Y39"/>
    </row>
    <row r="40" spans="2:25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W40"/>
      <c r="X40"/>
      <c r="Y40"/>
    </row>
    <row r="44" spans="2:25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W44"/>
      <c r="X44"/>
      <c r="Y44"/>
    </row>
    <row r="45" spans="2:25" s="1" customFormat="1" ht="24.95" customHeight="1" x14ac:dyDescent="0.2">
      <c r="B45" s="28"/>
      <c r="C45" s="21" t="s">
        <v>75</v>
      </c>
      <c r="L45" s="28"/>
      <c r="W45"/>
      <c r="X45"/>
      <c r="Y45"/>
    </row>
    <row r="46" spans="2:25" s="1" customFormat="1" ht="6.95" customHeight="1" x14ac:dyDescent="0.2">
      <c r="B46" s="28"/>
      <c r="L46" s="28"/>
      <c r="W46"/>
      <c r="X46"/>
      <c r="Y46"/>
    </row>
    <row r="47" spans="2:25" s="1" customFormat="1" ht="12" customHeight="1" x14ac:dyDescent="0.2">
      <c r="B47" s="28"/>
      <c r="C47" s="25" t="s">
        <v>13</v>
      </c>
      <c r="L47" s="28"/>
      <c r="W47"/>
      <c r="X47"/>
      <c r="Y47"/>
    </row>
    <row r="48" spans="2:25" s="1" customFormat="1" ht="16.5" customHeight="1" x14ac:dyDescent="0.2">
      <c r="B48" s="28"/>
      <c r="E48" s="669" t="str">
        <f>E7</f>
        <v>Propojení Okružní x Na hroudách</v>
      </c>
      <c r="F48" s="670"/>
      <c r="G48" s="670"/>
      <c r="H48" s="670"/>
      <c r="L48" s="28"/>
      <c r="W48"/>
      <c r="X48"/>
      <c r="Y48"/>
    </row>
    <row r="49" spans="2:47" s="1" customFormat="1" ht="12" customHeight="1" x14ac:dyDescent="0.2">
      <c r="B49" s="28"/>
      <c r="C49" s="25" t="s">
        <v>73</v>
      </c>
      <c r="L49" s="28"/>
      <c r="W49"/>
      <c r="X49"/>
      <c r="Y49"/>
    </row>
    <row r="50" spans="2:47" s="1" customFormat="1" ht="16.5" customHeight="1" x14ac:dyDescent="0.2">
      <c r="B50" s="28"/>
      <c r="E50" s="638" t="str">
        <f>E9</f>
        <v>SO 310 - Vodovod</v>
      </c>
      <c r="F50" s="668"/>
      <c r="G50" s="668"/>
      <c r="H50" s="668"/>
      <c r="L50" s="28"/>
      <c r="W50"/>
      <c r="X50"/>
      <c r="Y50"/>
    </row>
    <row r="51" spans="2:47" s="1" customFormat="1" ht="6.95" customHeight="1" x14ac:dyDescent="0.2">
      <c r="B51" s="28"/>
      <c r="L51" s="28"/>
      <c r="W51"/>
      <c r="X51"/>
      <c r="Y51"/>
    </row>
    <row r="52" spans="2:47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W52"/>
      <c r="X52"/>
      <c r="Y52"/>
    </row>
    <row r="53" spans="2:47" s="1" customFormat="1" ht="6.95" customHeight="1" x14ac:dyDescent="0.2">
      <c r="B53" s="28"/>
      <c r="L53" s="28"/>
      <c r="W53"/>
      <c r="X53"/>
      <c r="Y53"/>
    </row>
    <row r="54" spans="2:47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W54"/>
      <c r="X54"/>
      <c r="Y54"/>
    </row>
    <row r="55" spans="2:47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W55"/>
      <c r="X55"/>
      <c r="Y55"/>
    </row>
    <row r="56" spans="2:47" s="1" customFormat="1" ht="10.35" customHeight="1" x14ac:dyDescent="0.2">
      <c r="B56" s="28"/>
      <c r="L56" s="28"/>
      <c r="W56"/>
      <c r="X56"/>
      <c r="Y56"/>
    </row>
    <row r="57" spans="2:47" s="1" customFormat="1" ht="29.25" customHeight="1" x14ac:dyDescent="0.2">
      <c r="B57" s="28"/>
      <c r="C57" s="79" t="s">
        <v>76</v>
      </c>
      <c r="D57" s="73"/>
      <c r="E57" s="73"/>
      <c r="F57" s="73"/>
      <c r="H57" s="73"/>
      <c r="I57" s="73"/>
      <c r="J57" s="80" t="s">
        <v>77</v>
      </c>
      <c r="K57" s="73"/>
      <c r="L57" s="28"/>
      <c r="W57"/>
      <c r="X57"/>
      <c r="Y57"/>
    </row>
    <row r="58" spans="2:47" s="1" customFormat="1" ht="10.35" customHeight="1" x14ac:dyDescent="0.2">
      <c r="B58" s="28"/>
      <c r="L58" s="28"/>
      <c r="W58"/>
      <c r="X58"/>
      <c r="Y58"/>
    </row>
    <row r="59" spans="2:47" s="1" customFormat="1" ht="22.9" customHeight="1" x14ac:dyDescent="0.2">
      <c r="B59" s="28"/>
      <c r="C59" s="81" t="s">
        <v>53</v>
      </c>
      <c r="J59" s="58">
        <f>J86</f>
        <v>0</v>
      </c>
      <c r="L59" s="28"/>
      <c r="W59"/>
      <c r="X59"/>
      <c r="Y59"/>
      <c r="AU59" s="17" t="s">
        <v>78</v>
      </c>
    </row>
    <row r="60" spans="2:47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J87</f>
        <v>0</v>
      </c>
      <c r="L60" s="82"/>
      <c r="W60"/>
      <c r="X60"/>
      <c r="Y60"/>
    </row>
    <row r="61" spans="2:47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J88</f>
        <v>0</v>
      </c>
      <c r="L61" s="86"/>
      <c r="W61"/>
      <c r="X61"/>
      <c r="Y61"/>
    </row>
    <row r="62" spans="2:47" s="9" customFormat="1" ht="19.899999999999999" customHeight="1" x14ac:dyDescent="0.2">
      <c r="B62" s="86"/>
      <c r="D62" s="87" t="s">
        <v>81</v>
      </c>
      <c r="E62" s="88"/>
      <c r="F62" s="88"/>
      <c r="G62" s="88"/>
      <c r="H62" s="88"/>
      <c r="I62" s="88"/>
      <c r="J62" s="89">
        <f>J214</f>
        <v>0</v>
      </c>
      <c r="L62" s="86"/>
      <c r="W62"/>
      <c r="X62"/>
      <c r="Y62"/>
    </row>
    <row r="63" spans="2:47" s="9" customFormat="1" ht="19.899999999999999" customHeight="1" x14ac:dyDescent="0.2">
      <c r="B63" s="86"/>
      <c r="D63" s="87" t="s">
        <v>82</v>
      </c>
      <c r="E63" s="88"/>
      <c r="F63" s="88"/>
      <c r="G63" s="88"/>
      <c r="H63" s="88"/>
      <c r="I63" s="88"/>
      <c r="J63" s="89">
        <f>J242</f>
        <v>0</v>
      </c>
      <c r="L63" s="86"/>
      <c r="W63"/>
      <c r="X63"/>
      <c r="Y63"/>
    </row>
    <row r="64" spans="2:47" s="9" customFormat="1" ht="19.899999999999999" customHeight="1" x14ac:dyDescent="0.2">
      <c r="B64" s="86"/>
      <c r="D64" s="87" t="s">
        <v>83</v>
      </c>
      <c r="E64" s="88"/>
      <c r="F64" s="88"/>
      <c r="G64" s="88"/>
      <c r="H64" s="88"/>
      <c r="I64" s="88"/>
      <c r="J64" s="89">
        <f>J354</f>
        <v>0</v>
      </c>
      <c r="L64" s="86"/>
      <c r="W64"/>
      <c r="X64"/>
      <c r="Y64"/>
    </row>
    <row r="65" spans="2:25" s="8" customFormat="1" ht="24.95" customHeight="1" x14ac:dyDescent="0.2">
      <c r="B65" s="82"/>
      <c r="D65" s="83" t="s">
        <v>84</v>
      </c>
      <c r="E65" s="84"/>
      <c r="F65" s="84"/>
      <c r="G65" s="84"/>
      <c r="H65" s="84"/>
      <c r="I65" s="84"/>
      <c r="J65" s="85">
        <f>J359</f>
        <v>0</v>
      </c>
      <c r="L65" s="82"/>
      <c r="W65"/>
      <c r="X65"/>
      <c r="Y65"/>
    </row>
    <row r="66" spans="2:25" s="9" customFormat="1" ht="19.899999999999999" customHeight="1" x14ac:dyDescent="0.2">
      <c r="B66" s="86"/>
      <c r="D66" s="87" t="s">
        <v>85</v>
      </c>
      <c r="E66" s="88"/>
      <c r="F66" s="88"/>
      <c r="G66" s="88"/>
      <c r="H66" s="88"/>
      <c r="I66" s="88"/>
      <c r="J66" s="89">
        <f>J360</f>
        <v>0</v>
      </c>
      <c r="L66" s="86"/>
      <c r="W66"/>
      <c r="X66"/>
      <c r="Y66"/>
    </row>
    <row r="67" spans="2:25" s="1" customFormat="1" ht="21.75" customHeight="1" x14ac:dyDescent="0.2">
      <c r="B67" s="28"/>
      <c r="L67" s="28"/>
      <c r="W67"/>
      <c r="X67"/>
      <c r="Y67"/>
    </row>
    <row r="68" spans="2:25" s="1" customFormat="1" ht="6.95" customHeight="1" x14ac:dyDescent="0.2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  <c r="W68"/>
      <c r="X68"/>
      <c r="Y68"/>
    </row>
    <row r="72" spans="2:25" s="1" customFormat="1" ht="6.95" customHeigh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  <c r="W72"/>
      <c r="X72"/>
      <c r="Y72"/>
    </row>
    <row r="73" spans="2:25" s="1" customFormat="1" ht="24.95" customHeight="1" x14ac:dyDescent="0.2">
      <c r="B73" s="28"/>
      <c r="C73" s="21" t="s">
        <v>86</v>
      </c>
      <c r="L73" s="28"/>
      <c r="W73"/>
      <c r="X73"/>
      <c r="Y73"/>
    </row>
    <row r="74" spans="2:25" s="1" customFormat="1" ht="6.95" customHeight="1" x14ac:dyDescent="0.2">
      <c r="B74" s="28"/>
      <c r="L74" s="28"/>
      <c r="W74"/>
      <c r="X74"/>
      <c r="Y74"/>
    </row>
    <row r="75" spans="2:25" s="1" customFormat="1" ht="12" customHeight="1" x14ac:dyDescent="0.2">
      <c r="B75" s="28"/>
      <c r="C75" s="25" t="s">
        <v>13</v>
      </c>
      <c r="L75" s="28"/>
      <c r="W75"/>
      <c r="X75"/>
      <c r="Y75"/>
    </row>
    <row r="76" spans="2:25" s="1" customFormat="1" ht="16.5" customHeight="1" x14ac:dyDescent="0.2">
      <c r="B76" s="28"/>
      <c r="E76" s="669" t="str">
        <f>E7</f>
        <v>Propojení Okružní x Na hroudách</v>
      </c>
      <c r="F76" s="670"/>
      <c r="G76" s="670"/>
      <c r="H76" s="670"/>
      <c r="L76" s="28"/>
      <c r="W76"/>
      <c r="X76"/>
      <c r="Y76"/>
    </row>
    <row r="77" spans="2:25" s="1" customFormat="1" ht="12" customHeight="1" x14ac:dyDescent="0.2">
      <c r="B77" s="28"/>
      <c r="C77" s="25" t="s">
        <v>73</v>
      </c>
      <c r="L77" s="28"/>
      <c r="W77"/>
      <c r="X77"/>
      <c r="Y77"/>
    </row>
    <row r="78" spans="2:25" s="1" customFormat="1" ht="16.5" customHeight="1" x14ac:dyDescent="0.2">
      <c r="B78" s="28"/>
      <c r="E78" s="638" t="str">
        <f>E9</f>
        <v>SO 310 - Vodovod</v>
      </c>
      <c r="F78" s="668"/>
      <c r="G78" s="668"/>
      <c r="H78" s="668"/>
      <c r="L78" s="28"/>
      <c r="W78"/>
      <c r="X78"/>
      <c r="Y78"/>
    </row>
    <row r="79" spans="2:25" s="1" customFormat="1" ht="6.95" customHeight="1" x14ac:dyDescent="0.2">
      <c r="B79" s="28"/>
      <c r="L79" s="28"/>
      <c r="W79"/>
      <c r="X79"/>
      <c r="Y79"/>
    </row>
    <row r="80" spans="2:25" s="1" customFormat="1" ht="12" customHeight="1" x14ac:dyDescent="0.2">
      <c r="B80" s="28"/>
      <c r="C80" s="25" t="s">
        <v>17</v>
      </c>
      <c r="F80" s="23" t="str">
        <f>F12</f>
        <v>Nymburk</v>
      </c>
      <c r="I80" s="25" t="s">
        <v>19</v>
      </c>
      <c r="J80" s="45" t="str">
        <f>IF(J12="","",J12)</f>
        <v>29. 11. 2023</v>
      </c>
      <c r="L80" s="28"/>
      <c r="W80"/>
      <c r="X80"/>
      <c r="Y80"/>
    </row>
    <row r="81" spans="2:65" s="1" customFormat="1" ht="6.95" customHeight="1" x14ac:dyDescent="0.2">
      <c r="B81" s="28"/>
      <c r="L81" s="28"/>
      <c r="W81"/>
      <c r="X81"/>
      <c r="Y81"/>
    </row>
    <row r="82" spans="2:65" s="1" customFormat="1" ht="15.2" customHeight="1" x14ac:dyDescent="0.2">
      <c r="B82" s="28"/>
      <c r="C82" s="25" t="s">
        <v>21</v>
      </c>
      <c r="F82" s="23" t="str">
        <f>E15</f>
        <v xml:space="preserve"> </v>
      </c>
      <c r="I82" s="25" t="s">
        <v>26</v>
      </c>
      <c r="J82" s="26" t="str">
        <f>E21</f>
        <v>SOLICITE s.r.o.</v>
      </c>
      <c r="L82" s="28"/>
      <c r="W82"/>
      <c r="X82"/>
      <c r="Y82"/>
    </row>
    <row r="83" spans="2:65" s="1" customFormat="1" ht="15.2" customHeight="1" x14ac:dyDescent="0.2">
      <c r="B83" s="28"/>
      <c r="C83" s="25" t="s">
        <v>25</v>
      </c>
      <c r="F83" s="23" t="str">
        <f>IF(E18="","",E18)</f>
        <v xml:space="preserve"> </v>
      </c>
      <c r="I83" s="25" t="s">
        <v>31</v>
      </c>
      <c r="J83" s="26" t="str">
        <f>E24</f>
        <v>SOLICITE s.r.o.</v>
      </c>
      <c r="L83" s="28"/>
      <c r="W83"/>
      <c r="X83"/>
      <c r="Y83"/>
    </row>
    <row r="84" spans="2:65" s="1" customFormat="1" ht="10.35" customHeight="1" x14ac:dyDescent="0.2">
      <c r="B84" s="28"/>
      <c r="L84" s="28"/>
      <c r="W84"/>
      <c r="X84"/>
      <c r="Y84"/>
    </row>
    <row r="85" spans="2:65" s="10" customFormat="1" ht="29.25" customHeight="1" x14ac:dyDescent="0.2">
      <c r="B85" s="90"/>
      <c r="C85" s="91" t="s">
        <v>87</v>
      </c>
      <c r="D85" s="92" t="s">
        <v>52</v>
      </c>
      <c r="E85" s="92" t="s">
        <v>48</v>
      </c>
      <c r="F85" s="92" t="s">
        <v>49</v>
      </c>
      <c r="G85" s="485" t="s">
        <v>88</v>
      </c>
      <c r="H85" s="92" t="s">
        <v>89</v>
      </c>
      <c r="I85" s="92" t="s">
        <v>90</v>
      </c>
      <c r="J85" s="92" t="s">
        <v>77</v>
      </c>
      <c r="K85" s="93" t="s">
        <v>91</v>
      </c>
      <c r="L85" s="90"/>
      <c r="M85" s="51" t="s">
        <v>1</v>
      </c>
      <c r="N85" s="52" t="s">
        <v>38</v>
      </c>
      <c r="O85" s="52" t="s">
        <v>92</v>
      </c>
      <c r="P85" s="52" t="s">
        <v>93</v>
      </c>
      <c r="Q85" s="52" t="s">
        <v>94</v>
      </c>
      <c r="R85" s="52" t="s">
        <v>95</v>
      </c>
      <c r="S85" s="52" t="s">
        <v>96</v>
      </c>
      <c r="T85" s="53" t="s">
        <v>97</v>
      </c>
      <c r="W85"/>
      <c r="X85"/>
      <c r="Y85"/>
    </row>
    <row r="86" spans="2:65" s="1" customFormat="1" ht="22.9" customHeight="1" x14ac:dyDescent="0.25">
      <c r="B86" s="28"/>
      <c r="C86" s="56" t="s">
        <v>98</v>
      </c>
      <c r="J86" s="94">
        <f>BK86</f>
        <v>0</v>
      </c>
      <c r="L86" s="28"/>
      <c r="M86" s="54"/>
      <c r="N86" s="46"/>
      <c r="O86" s="46"/>
      <c r="P86" s="95">
        <f>P87+P359</f>
        <v>284.73796569999996</v>
      </c>
      <c r="Q86" s="46"/>
      <c r="R86" s="95">
        <f>R87+R359</f>
        <v>1.5076953006</v>
      </c>
      <c r="S86" s="46"/>
      <c r="T86" s="96">
        <f>T87+T359</f>
        <v>9.1550000000000006E-2</v>
      </c>
      <c r="W86"/>
      <c r="X86"/>
      <c r="Y86"/>
      <c r="AT86" s="17" t="s">
        <v>54</v>
      </c>
      <c r="AU86" s="17" t="s">
        <v>78</v>
      </c>
      <c r="BK86" s="97">
        <f>BK87+BK359</f>
        <v>0</v>
      </c>
    </row>
    <row r="87" spans="2:65" s="11" customFormat="1" ht="25.9" customHeight="1" x14ac:dyDescent="0.2">
      <c r="B87" s="98"/>
      <c r="D87" s="99" t="s">
        <v>54</v>
      </c>
      <c r="E87" s="100" t="s">
        <v>99</v>
      </c>
      <c r="F87" s="100" t="s">
        <v>100</v>
      </c>
      <c r="J87" s="101">
        <f>BK87</f>
        <v>0</v>
      </c>
      <c r="L87" s="98"/>
      <c r="M87" s="102"/>
      <c r="P87" s="103">
        <f>P88+P214+P242+P354</f>
        <v>284.73796569999996</v>
      </c>
      <c r="R87" s="103">
        <f>R88+R214+R242+R354</f>
        <v>1.5076953006</v>
      </c>
      <c r="T87" s="104">
        <f>T88+T214+T242+T354</f>
        <v>9.1550000000000006E-2</v>
      </c>
      <c r="W87"/>
      <c r="X87"/>
      <c r="Y87"/>
      <c r="AR87" s="99" t="s">
        <v>63</v>
      </c>
      <c r="AT87" s="105" t="s">
        <v>54</v>
      </c>
      <c r="AU87" s="105" t="s">
        <v>55</v>
      </c>
      <c r="AY87" s="99" t="s">
        <v>101</v>
      </c>
      <c r="BK87" s="106">
        <f>BK88+BK214+BC242+BC354</f>
        <v>0</v>
      </c>
    </row>
    <row r="88" spans="2:65" s="11" customFormat="1" ht="22.9" customHeight="1" x14ac:dyDescent="0.2">
      <c r="B88" s="98"/>
      <c r="D88" s="99" t="s">
        <v>54</v>
      </c>
      <c r="E88" s="107" t="s">
        <v>63</v>
      </c>
      <c r="F88" s="107" t="s">
        <v>102</v>
      </c>
      <c r="J88" s="108">
        <f>BK88</f>
        <v>0</v>
      </c>
      <c r="L88" s="98"/>
      <c r="M88" s="102"/>
      <c r="P88" s="103">
        <f>SUM(P89:P212)</f>
        <v>165.38595933999997</v>
      </c>
      <c r="R88" s="103">
        <f>SUM(R89:R212)</f>
        <v>0.2186240864</v>
      </c>
      <c r="T88" s="104">
        <f>SUM(T89:T212)</f>
        <v>0</v>
      </c>
      <c r="W88"/>
      <c r="X88"/>
      <c r="Y88"/>
      <c r="AR88" s="99" t="s">
        <v>63</v>
      </c>
      <c r="AT88" s="105" t="s">
        <v>54</v>
      </c>
      <c r="AU88" s="105" t="s">
        <v>63</v>
      </c>
      <c r="AY88" s="99" t="s">
        <v>101</v>
      </c>
      <c r="BK88" s="106">
        <f>SUM(BK89:BK212)</f>
        <v>0</v>
      </c>
    </row>
    <row r="89" spans="2:65" s="1" customFormat="1" ht="90" customHeight="1" x14ac:dyDescent="0.2">
      <c r="B89" s="109"/>
      <c r="C89" s="110" t="s">
        <v>63</v>
      </c>
      <c r="D89" s="110" t="s">
        <v>103</v>
      </c>
      <c r="E89" s="111" t="s">
        <v>104</v>
      </c>
      <c r="F89" s="112" t="s">
        <v>105</v>
      </c>
      <c r="G89" s="113" t="s">
        <v>106</v>
      </c>
      <c r="H89" s="114">
        <v>0.8</v>
      </c>
      <c r="I89" s="115">
        <v>0</v>
      </c>
      <c r="J89" s="115">
        <f>ROUND(I89*H89,2)</f>
        <v>0</v>
      </c>
      <c r="K89" s="112" t="s">
        <v>107</v>
      </c>
      <c r="L89" s="28"/>
      <c r="M89" s="116" t="s">
        <v>1</v>
      </c>
      <c r="N89" s="117" t="s">
        <v>39</v>
      </c>
      <c r="O89" s="118">
        <v>0.70299999999999996</v>
      </c>
      <c r="P89" s="118">
        <f>O89*H89</f>
        <v>0.56240000000000001</v>
      </c>
      <c r="Q89" s="118">
        <v>8.6800000000000002E-3</v>
      </c>
      <c r="R89" s="118">
        <f>Q89*H89</f>
        <v>6.9440000000000005E-3</v>
      </c>
      <c r="S89" s="118">
        <v>0</v>
      </c>
      <c r="T89" s="119">
        <f>S89*H89</f>
        <v>0</v>
      </c>
      <c r="W89"/>
      <c r="X89"/>
      <c r="Y89"/>
      <c r="AR89" s="120" t="s">
        <v>108</v>
      </c>
      <c r="AT89" s="120" t="s">
        <v>103</v>
      </c>
      <c r="AU89" s="120" t="s">
        <v>65</v>
      </c>
      <c r="AY89" s="17" t="s">
        <v>101</v>
      </c>
      <c r="BE89" s="121">
        <f>IF(N89="základní",J89,0)</f>
        <v>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7" t="s">
        <v>63</v>
      </c>
      <c r="BK89" s="121">
        <f>ROUND(I89*H89,2)</f>
        <v>0</v>
      </c>
      <c r="BL89" s="17" t="s">
        <v>108</v>
      </c>
      <c r="BM89" s="120" t="s">
        <v>109</v>
      </c>
    </row>
    <row r="90" spans="2:65" s="1" customFormat="1" x14ac:dyDescent="0.2">
      <c r="B90" s="28"/>
      <c r="D90" s="122" t="s">
        <v>110</v>
      </c>
      <c r="F90" s="412" t="s">
        <v>111</v>
      </c>
      <c r="L90" s="28"/>
      <c r="M90" s="124"/>
      <c r="T90" s="48"/>
      <c r="W90"/>
      <c r="X90"/>
      <c r="Y90"/>
      <c r="AT90" s="17" t="s">
        <v>110</v>
      </c>
      <c r="AU90" s="17" t="s">
        <v>65</v>
      </c>
    </row>
    <row r="91" spans="2:65" s="12" customFormat="1" x14ac:dyDescent="0.2">
      <c r="B91" s="125"/>
      <c r="D91" s="126" t="s">
        <v>112</v>
      </c>
      <c r="E91" s="127" t="s">
        <v>1</v>
      </c>
      <c r="F91" s="128" t="s">
        <v>113</v>
      </c>
      <c r="H91" s="127" t="s">
        <v>1</v>
      </c>
      <c r="L91" s="125"/>
      <c r="M91" s="129"/>
      <c r="T91" s="130"/>
      <c r="W91"/>
      <c r="X91"/>
      <c r="Y91"/>
      <c r="AT91" s="127" t="s">
        <v>112</v>
      </c>
      <c r="AU91" s="127" t="s">
        <v>65</v>
      </c>
      <c r="AV91" s="12" t="s">
        <v>63</v>
      </c>
      <c r="AW91" s="12" t="s">
        <v>30</v>
      </c>
      <c r="AX91" s="12" t="s">
        <v>55</v>
      </c>
      <c r="AY91" s="127" t="s">
        <v>101</v>
      </c>
    </row>
    <row r="92" spans="2:65" s="13" customFormat="1" x14ac:dyDescent="0.2">
      <c r="B92" s="131"/>
      <c r="D92" s="126" t="s">
        <v>112</v>
      </c>
      <c r="E92" s="132" t="s">
        <v>1</v>
      </c>
      <c r="F92" s="133" t="s">
        <v>114</v>
      </c>
      <c r="H92" s="134">
        <v>0.8</v>
      </c>
      <c r="L92" s="131"/>
      <c r="M92" s="135"/>
      <c r="T92" s="136"/>
      <c r="W92"/>
      <c r="X92"/>
      <c r="Y92"/>
      <c r="AT92" s="132" t="s">
        <v>112</v>
      </c>
      <c r="AU92" s="132" t="s">
        <v>65</v>
      </c>
      <c r="AV92" s="13" t="s">
        <v>65</v>
      </c>
      <c r="AW92" s="13" t="s">
        <v>30</v>
      </c>
      <c r="AX92" s="13" t="s">
        <v>63</v>
      </c>
      <c r="AY92" s="132" t="s">
        <v>101</v>
      </c>
    </row>
    <row r="93" spans="2:65" s="1" customFormat="1" ht="90" customHeight="1" x14ac:dyDescent="0.2">
      <c r="B93" s="109"/>
      <c r="C93" s="110" t="s">
        <v>65</v>
      </c>
      <c r="D93" s="110" t="s">
        <v>103</v>
      </c>
      <c r="E93" s="111" t="s">
        <v>115</v>
      </c>
      <c r="F93" s="112" t="s">
        <v>116</v>
      </c>
      <c r="G93" s="113" t="s">
        <v>106</v>
      </c>
      <c r="H93" s="114">
        <v>0.8</v>
      </c>
      <c r="I93" s="115">
        <v>0</v>
      </c>
      <c r="J93" s="115">
        <f>ROUND(I93*H93,2)</f>
        <v>0</v>
      </c>
      <c r="K93" s="112" t="s">
        <v>107</v>
      </c>
      <c r="L93" s="28"/>
      <c r="M93" s="116" t="s">
        <v>1</v>
      </c>
      <c r="N93" s="117" t="s">
        <v>39</v>
      </c>
      <c r="O93" s="118">
        <v>0.58099999999999996</v>
      </c>
      <c r="P93" s="118">
        <f>O93*H93</f>
        <v>0.46479999999999999</v>
      </c>
      <c r="Q93" s="118">
        <v>3.6900000000000002E-2</v>
      </c>
      <c r="R93" s="118">
        <f>Q93*H93</f>
        <v>2.9520000000000005E-2</v>
      </c>
      <c r="S93" s="118">
        <v>0</v>
      </c>
      <c r="T93" s="119">
        <f>S93*H93</f>
        <v>0</v>
      </c>
      <c r="W93"/>
      <c r="X93"/>
      <c r="Y93"/>
      <c r="AR93" s="120" t="s">
        <v>108</v>
      </c>
      <c r="AT93" s="120" t="s">
        <v>103</v>
      </c>
      <c r="AU93" s="120" t="s">
        <v>65</v>
      </c>
      <c r="AY93" s="17" t="s">
        <v>101</v>
      </c>
      <c r="BE93" s="121">
        <f>IF(N93="základní",J93,0)</f>
        <v>0</v>
      </c>
      <c r="BF93" s="121">
        <f>IF(N93="snížená",J93,0)</f>
        <v>0</v>
      </c>
      <c r="BG93" s="121">
        <f>IF(N93="zákl. přenesená",J93,0)</f>
        <v>0</v>
      </c>
      <c r="BH93" s="121">
        <f>IF(N93="sníž. přenesená",J93,0)</f>
        <v>0</v>
      </c>
      <c r="BI93" s="121">
        <f>IF(N93="nulová",J93,0)</f>
        <v>0</v>
      </c>
      <c r="BJ93" s="17" t="s">
        <v>63</v>
      </c>
      <c r="BK93" s="121">
        <f>ROUND(I93*H93,2)</f>
        <v>0</v>
      </c>
      <c r="BL93" s="17" t="s">
        <v>108</v>
      </c>
      <c r="BM93" s="120" t="s">
        <v>117</v>
      </c>
    </row>
    <row r="94" spans="2:65" s="1" customFormat="1" x14ac:dyDescent="0.2">
      <c r="B94" s="28"/>
      <c r="D94" s="122" t="s">
        <v>110</v>
      </c>
      <c r="F94" s="412" t="s">
        <v>118</v>
      </c>
      <c r="L94" s="28"/>
      <c r="M94" s="124"/>
      <c r="T94" s="48"/>
      <c r="W94"/>
      <c r="X94"/>
      <c r="Y94"/>
      <c r="AT94" s="17" t="s">
        <v>110</v>
      </c>
      <c r="AU94" s="17" t="s">
        <v>65</v>
      </c>
    </row>
    <row r="95" spans="2:65" s="12" customFormat="1" x14ac:dyDescent="0.2">
      <c r="B95" s="125"/>
      <c r="D95" s="126" t="s">
        <v>112</v>
      </c>
      <c r="E95" s="127" t="s">
        <v>1</v>
      </c>
      <c r="F95" s="128" t="s">
        <v>113</v>
      </c>
      <c r="H95" s="127" t="s">
        <v>1</v>
      </c>
      <c r="L95" s="125"/>
      <c r="M95" s="129"/>
      <c r="T95" s="130"/>
      <c r="W95"/>
      <c r="X95"/>
      <c r="Y95"/>
      <c r="AT95" s="127" t="s">
        <v>112</v>
      </c>
      <c r="AU95" s="127" t="s">
        <v>65</v>
      </c>
      <c r="AV95" s="12" t="s">
        <v>63</v>
      </c>
      <c r="AW95" s="12" t="s">
        <v>30</v>
      </c>
      <c r="AX95" s="12" t="s">
        <v>55</v>
      </c>
      <c r="AY95" s="127" t="s">
        <v>101</v>
      </c>
    </row>
    <row r="96" spans="2:65" s="13" customFormat="1" x14ac:dyDescent="0.2">
      <c r="B96" s="131"/>
      <c r="D96" s="126" t="s">
        <v>112</v>
      </c>
      <c r="E96" s="132" t="s">
        <v>1</v>
      </c>
      <c r="F96" s="133" t="s">
        <v>114</v>
      </c>
      <c r="H96" s="134">
        <v>0.8</v>
      </c>
      <c r="L96" s="131"/>
      <c r="M96" s="135"/>
      <c r="T96" s="136"/>
      <c r="W96"/>
      <c r="X96"/>
      <c r="Y96"/>
      <c r="AT96" s="132" t="s">
        <v>112</v>
      </c>
      <c r="AU96" s="132" t="s">
        <v>65</v>
      </c>
      <c r="AV96" s="13" t="s">
        <v>65</v>
      </c>
      <c r="AW96" s="13" t="s">
        <v>30</v>
      </c>
      <c r="AX96" s="13" t="s">
        <v>63</v>
      </c>
      <c r="AY96" s="132" t="s">
        <v>101</v>
      </c>
    </row>
    <row r="97" spans="2:65" s="1" customFormat="1" ht="90" customHeight="1" x14ac:dyDescent="0.2">
      <c r="B97" s="109"/>
      <c r="C97" s="110" t="s">
        <v>119</v>
      </c>
      <c r="D97" s="110" t="s">
        <v>103</v>
      </c>
      <c r="E97" s="111" t="s">
        <v>120</v>
      </c>
      <c r="F97" s="112" t="s">
        <v>121</v>
      </c>
      <c r="G97" s="113" t="s">
        <v>106</v>
      </c>
      <c r="H97" s="114">
        <v>4</v>
      </c>
      <c r="I97" s="115">
        <v>0</v>
      </c>
      <c r="J97" s="115">
        <f>ROUND(I97*H97,2)</f>
        <v>0</v>
      </c>
      <c r="K97" s="112" t="s">
        <v>107</v>
      </c>
      <c r="L97" s="28"/>
      <c r="M97" s="116" t="s">
        <v>1</v>
      </c>
      <c r="N97" s="117" t="s">
        <v>39</v>
      </c>
      <c r="O97" s="118">
        <v>0.54700000000000004</v>
      </c>
      <c r="P97" s="118">
        <f>O97*H97</f>
        <v>2.1880000000000002</v>
      </c>
      <c r="Q97" s="118">
        <v>3.6900000000000002E-2</v>
      </c>
      <c r="R97" s="118">
        <f>Q97*H97</f>
        <v>0.14760000000000001</v>
      </c>
      <c r="S97" s="118">
        <v>0</v>
      </c>
      <c r="T97" s="119">
        <f>S97*H97</f>
        <v>0</v>
      </c>
      <c r="W97"/>
      <c r="X97"/>
      <c r="Y97"/>
      <c r="AR97" s="120" t="s">
        <v>108</v>
      </c>
      <c r="AT97" s="120" t="s">
        <v>103</v>
      </c>
      <c r="AU97" s="120" t="s">
        <v>65</v>
      </c>
      <c r="AY97" s="17" t="s">
        <v>101</v>
      </c>
      <c r="BE97" s="121">
        <f>IF(N97="základní",J97,0)</f>
        <v>0</v>
      </c>
      <c r="BF97" s="121">
        <f>IF(N97="snížená",J97,0)</f>
        <v>0</v>
      </c>
      <c r="BG97" s="121">
        <f>IF(N97="zákl. přenesená",J97,0)</f>
        <v>0</v>
      </c>
      <c r="BH97" s="121">
        <f>IF(N97="sníž. přenesená",J97,0)</f>
        <v>0</v>
      </c>
      <c r="BI97" s="121">
        <f>IF(N97="nulová",J97,0)</f>
        <v>0</v>
      </c>
      <c r="BJ97" s="17" t="s">
        <v>63</v>
      </c>
      <c r="BK97" s="121">
        <f>ROUND(I97*H97,2)</f>
        <v>0</v>
      </c>
      <c r="BL97" s="17" t="s">
        <v>108</v>
      </c>
      <c r="BM97" s="120" t="s">
        <v>122</v>
      </c>
    </row>
    <row r="98" spans="2:65" s="1" customFormat="1" x14ac:dyDescent="0.2">
      <c r="B98" s="28"/>
      <c r="D98" s="122" t="s">
        <v>110</v>
      </c>
      <c r="F98" s="123" t="s">
        <v>123</v>
      </c>
      <c r="L98" s="28"/>
      <c r="M98" s="124"/>
      <c r="T98" s="48"/>
      <c r="W98"/>
      <c r="X98"/>
      <c r="Y98"/>
      <c r="AT98" s="17" t="s">
        <v>110</v>
      </c>
      <c r="AU98" s="17" t="s">
        <v>65</v>
      </c>
    </row>
    <row r="99" spans="2:65" s="12" customFormat="1" x14ac:dyDescent="0.2">
      <c r="B99" s="125"/>
      <c r="D99" s="126" t="s">
        <v>112</v>
      </c>
      <c r="E99" s="127" t="s">
        <v>1</v>
      </c>
      <c r="F99" s="128" t="s">
        <v>113</v>
      </c>
      <c r="H99" s="127" t="s">
        <v>1</v>
      </c>
      <c r="L99" s="125"/>
      <c r="M99" s="129"/>
      <c r="T99" s="130"/>
      <c r="W99"/>
      <c r="X99"/>
      <c r="Y99"/>
      <c r="AT99" s="127" t="s">
        <v>112</v>
      </c>
      <c r="AU99" s="127" t="s">
        <v>65</v>
      </c>
      <c r="AV99" s="12" t="s">
        <v>63</v>
      </c>
      <c r="AW99" s="12" t="s">
        <v>30</v>
      </c>
      <c r="AX99" s="12" t="s">
        <v>55</v>
      </c>
      <c r="AY99" s="127" t="s">
        <v>101</v>
      </c>
    </row>
    <row r="100" spans="2:65" s="13" customFormat="1" x14ac:dyDescent="0.2">
      <c r="B100" s="131"/>
      <c r="D100" s="126" t="s">
        <v>112</v>
      </c>
      <c r="E100" s="132" t="s">
        <v>1</v>
      </c>
      <c r="F100" s="133" t="s">
        <v>124</v>
      </c>
      <c r="H100" s="134">
        <v>2.4</v>
      </c>
      <c r="L100" s="131"/>
      <c r="M100" s="135"/>
      <c r="T100" s="136"/>
      <c r="W100"/>
      <c r="X100"/>
      <c r="Y100"/>
      <c r="AT100" s="132" t="s">
        <v>112</v>
      </c>
      <c r="AU100" s="132" t="s">
        <v>65</v>
      </c>
      <c r="AV100" s="13" t="s">
        <v>65</v>
      </c>
      <c r="AW100" s="13" t="s">
        <v>30</v>
      </c>
      <c r="AX100" s="13" t="s">
        <v>55</v>
      </c>
      <c r="AY100" s="132" t="s">
        <v>101</v>
      </c>
    </row>
    <row r="101" spans="2:65" s="13" customFormat="1" x14ac:dyDescent="0.2">
      <c r="B101" s="131"/>
      <c r="D101" s="126" t="s">
        <v>112</v>
      </c>
      <c r="E101" s="132" t="s">
        <v>1</v>
      </c>
      <c r="F101" s="133" t="s">
        <v>125</v>
      </c>
      <c r="H101" s="134">
        <v>0.8</v>
      </c>
      <c r="L101" s="131"/>
      <c r="M101" s="135"/>
      <c r="T101" s="136"/>
      <c r="W101"/>
      <c r="X101"/>
      <c r="Y101"/>
      <c r="AT101" s="132" t="s">
        <v>112</v>
      </c>
      <c r="AU101" s="132" t="s">
        <v>65</v>
      </c>
      <c r="AV101" s="13" t="s">
        <v>65</v>
      </c>
      <c r="AW101" s="13" t="s">
        <v>30</v>
      </c>
      <c r="AX101" s="13" t="s">
        <v>55</v>
      </c>
      <c r="AY101" s="132" t="s">
        <v>101</v>
      </c>
    </row>
    <row r="102" spans="2:65" s="13" customFormat="1" x14ac:dyDescent="0.2">
      <c r="B102" s="131"/>
      <c r="D102" s="126" t="s">
        <v>112</v>
      </c>
      <c r="E102" s="132" t="s">
        <v>1</v>
      </c>
      <c r="F102" s="133" t="s">
        <v>126</v>
      </c>
      <c r="H102" s="134">
        <v>0.8</v>
      </c>
      <c r="L102" s="131"/>
      <c r="M102" s="135"/>
      <c r="T102" s="136"/>
      <c r="W102"/>
      <c r="X102"/>
      <c r="Y102"/>
      <c r="AT102" s="132" t="s">
        <v>112</v>
      </c>
      <c r="AU102" s="132" t="s">
        <v>65</v>
      </c>
      <c r="AV102" s="13" t="s">
        <v>65</v>
      </c>
      <c r="AW102" s="13" t="s">
        <v>30</v>
      </c>
      <c r="AX102" s="13" t="s">
        <v>55</v>
      </c>
      <c r="AY102" s="132" t="s">
        <v>101</v>
      </c>
    </row>
    <row r="103" spans="2:65" s="14" customFormat="1" x14ac:dyDescent="0.2">
      <c r="B103" s="137"/>
      <c r="D103" s="126" t="s">
        <v>112</v>
      </c>
      <c r="E103" s="138" t="s">
        <v>1</v>
      </c>
      <c r="F103" s="139" t="s">
        <v>127</v>
      </c>
      <c r="H103" s="140">
        <v>4</v>
      </c>
      <c r="L103" s="137"/>
      <c r="M103" s="141"/>
      <c r="T103" s="142"/>
      <c r="W103"/>
      <c r="X103"/>
      <c r="Y103"/>
      <c r="AT103" s="138" t="s">
        <v>112</v>
      </c>
      <c r="AU103" s="138" t="s">
        <v>65</v>
      </c>
      <c r="AV103" s="14" t="s">
        <v>108</v>
      </c>
      <c r="AW103" s="14" t="s">
        <v>30</v>
      </c>
      <c r="AX103" s="14" t="s">
        <v>63</v>
      </c>
      <c r="AY103" s="138" t="s">
        <v>101</v>
      </c>
    </row>
    <row r="104" spans="2:65" s="1" customFormat="1" ht="55.5" customHeight="1" x14ac:dyDescent="0.2">
      <c r="B104" s="109"/>
      <c r="C104" s="110" t="s">
        <v>108</v>
      </c>
      <c r="D104" s="110" t="s">
        <v>103</v>
      </c>
      <c r="E104" s="111" t="s">
        <v>128</v>
      </c>
      <c r="F104" s="112" t="s">
        <v>129</v>
      </c>
      <c r="G104" s="113" t="s">
        <v>130</v>
      </c>
      <c r="H104" s="114">
        <f>141.449*0.18</f>
        <v>25.460820000000002</v>
      </c>
      <c r="I104" s="115">
        <v>0</v>
      </c>
      <c r="J104" s="115">
        <f>ROUND(I104*H104,2)</f>
        <v>0</v>
      </c>
      <c r="K104" s="112" t="s">
        <v>107</v>
      </c>
      <c r="L104" s="28"/>
      <c r="M104" s="116" t="s">
        <v>1</v>
      </c>
      <c r="N104" s="117" t="s">
        <v>39</v>
      </c>
      <c r="O104" s="118">
        <v>0.23400000000000001</v>
      </c>
      <c r="P104" s="118">
        <f>O104*H104</f>
        <v>5.9578318800000005</v>
      </c>
      <c r="Q104" s="118">
        <v>0</v>
      </c>
      <c r="R104" s="118">
        <f>Q104*H104</f>
        <v>0</v>
      </c>
      <c r="S104" s="118">
        <v>0</v>
      </c>
      <c r="T104" s="119">
        <f>S104*H104</f>
        <v>0</v>
      </c>
      <c r="W104"/>
      <c r="X104"/>
      <c r="Y104"/>
      <c r="AR104" s="120" t="s">
        <v>108</v>
      </c>
      <c r="AT104" s="120" t="s">
        <v>103</v>
      </c>
      <c r="AU104" s="120" t="s">
        <v>65</v>
      </c>
      <c r="AY104" s="17" t="s">
        <v>101</v>
      </c>
      <c r="BE104" s="121">
        <f>IF(N104="základní",J104,0)</f>
        <v>0</v>
      </c>
      <c r="BF104" s="121">
        <f>IF(N104="snížená",J104,0)</f>
        <v>0</v>
      </c>
      <c r="BG104" s="121">
        <f>IF(N104="zákl. přenesená",J104,0)</f>
        <v>0</v>
      </c>
      <c r="BH104" s="121">
        <f>IF(N104="sníž. přenesená",J104,0)</f>
        <v>0</v>
      </c>
      <c r="BI104" s="121">
        <f>IF(N104="nulová",J104,0)</f>
        <v>0</v>
      </c>
      <c r="BJ104" s="17" t="s">
        <v>63</v>
      </c>
      <c r="BK104" s="121">
        <f>ROUND(I104*H104,2)</f>
        <v>0</v>
      </c>
      <c r="BL104" s="17" t="s">
        <v>108</v>
      </c>
      <c r="BM104" s="120" t="s">
        <v>131</v>
      </c>
    </row>
    <row r="105" spans="2:65" s="1" customFormat="1" x14ac:dyDescent="0.2">
      <c r="B105" s="28"/>
      <c r="D105" s="122" t="s">
        <v>110</v>
      </c>
      <c r="F105" s="123" t="s">
        <v>132</v>
      </c>
      <c r="L105" s="28"/>
      <c r="M105" s="124"/>
      <c r="T105" s="48"/>
      <c r="W105"/>
      <c r="X105"/>
      <c r="Y105"/>
      <c r="AT105" s="17" t="s">
        <v>110</v>
      </c>
      <c r="AU105" s="17" t="s">
        <v>65</v>
      </c>
    </row>
    <row r="106" spans="2:65" s="12" customFormat="1" ht="22.5" x14ac:dyDescent="0.2">
      <c r="B106" s="125"/>
      <c r="D106" s="126" t="s">
        <v>112</v>
      </c>
      <c r="E106" s="127" t="s">
        <v>1</v>
      </c>
      <c r="F106" s="128" t="s">
        <v>133</v>
      </c>
      <c r="H106" s="127" t="s">
        <v>1</v>
      </c>
      <c r="L106" s="125"/>
      <c r="M106" s="129"/>
      <c r="T106" s="130"/>
      <c r="W106"/>
      <c r="X106"/>
      <c r="Y106"/>
      <c r="AT106" s="127" t="s">
        <v>112</v>
      </c>
      <c r="AU106" s="127" t="s">
        <v>65</v>
      </c>
      <c r="AV106" s="12" t="s">
        <v>63</v>
      </c>
      <c r="AW106" s="12" t="s">
        <v>30</v>
      </c>
      <c r="AX106" s="12" t="s">
        <v>55</v>
      </c>
      <c r="AY106" s="127" t="s">
        <v>101</v>
      </c>
    </row>
    <row r="107" spans="2:65" s="13" customFormat="1" x14ac:dyDescent="0.2">
      <c r="B107" s="131"/>
      <c r="D107" s="126" t="s">
        <v>112</v>
      </c>
      <c r="E107" s="132" t="s">
        <v>1</v>
      </c>
      <c r="F107" s="133" t="s">
        <v>134</v>
      </c>
      <c r="H107" s="134">
        <v>129.02099999999999</v>
      </c>
      <c r="L107" s="131"/>
      <c r="M107" s="135"/>
      <c r="T107" s="136"/>
      <c r="W107"/>
      <c r="X107"/>
      <c r="Y107"/>
      <c r="AT107" s="132" t="s">
        <v>112</v>
      </c>
      <c r="AU107" s="132" t="s">
        <v>65</v>
      </c>
      <c r="AV107" s="13" t="s">
        <v>65</v>
      </c>
      <c r="AW107" s="13" t="s">
        <v>30</v>
      </c>
      <c r="AX107" s="13" t="s">
        <v>55</v>
      </c>
      <c r="AY107" s="132" t="s">
        <v>101</v>
      </c>
    </row>
    <row r="108" spans="2:65" s="13" customFormat="1" x14ac:dyDescent="0.2">
      <c r="B108" s="131"/>
      <c r="D108" s="126" t="s">
        <v>112</v>
      </c>
      <c r="E108" s="132" t="s">
        <v>1</v>
      </c>
      <c r="F108" s="133" t="s">
        <v>135</v>
      </c>
      <c r="H108" s="134">
        <v>0.88800000000000001</v>
      </c>
      <c r="L108" s="131"/>
      <c r="M108" s="135"/>
      <c r="T108" s="136"/>
      <c r="W108"/>
      <c r="X108"/>
      <c r="Y108"/>
      <c r="AT108" s="132" t="s">
        <v>112</v>
      </c>
      <c r="AU108" s="132" t="s">
        <v>65</v>
      </c>
      <c r="AV108" s="13" t="s">
        <v>65</v>
      </c>
      <c r="AW108" s="13" t="s">
        <v>30</v>
      </c>
      <c r="AX108" s="13" t="s">
        <v>55</v>
      </c>
      <c r="AY108" s="132" t="s">
        <v>101</v>
      </c>
    </row>
    <row r="109" spans="2:65" s="13" customFormat="1" x14ac:dyDescent="0.2">
      <c r="B109" s="131"/>
      <c r="D109" s="126" t="s">
        <v>112</v>
      </c>
      <c r="E109" s="132" t="s">
        <v>1</v>
      </c>
      <c r="F109" s="133" t="s">
        <v>136</v>
      </c>
      <c r="H109" s="134">
        <v>4.1559999999999997</v>
      </c>
      <c r="L109" s="131"/>
      <c r="M109" s="135"/>
      <c r="T109" s="136"/>
      <c r="W109"/>
      <c r="X109"/>
      <c r="Y109"/>
      <c r="AT109" s="132" t="s">
        <v>112</v>
      </c>
      <c r="AU109" s="132" t="s">
        <v>65</v>
      </c>
      <c r="AV109" s="13" t="s">
        <v>65</v>
      </c>
      <c r="AW109" s="13" t="s">
        <v>30</v>
      </c>
      <c r="AX109" s="13" t="s">
        <v>55</v>
      </c>
      <c r="AY109" s="132" t="s">
        <v>101</v>
      </c>
    </row>
    <row r="110" spans="2:65" s="13" customFormat="1" x14ac:dyDescent="0.2">
      <c r="B110" s="131"/>
      <c r="D110" s="126" t="s">
        <v>112</v>
      </c>
      <c r="E110" s="132" t="s">
        <v>1</v>
      </c>
      <c r="F110" s="133" t="s">
        <v>137</v>
      </c>
      <c r="H110" s="134">
        <v>0.496</v>
      </c>
      <c r="L110" s="131"/>
      <c r="M110" s="135"/>
      <c r="T110" s="136"/>
      <c r="W110"/>
      <c r="X110"/>
      <c r="Y110"/>
      <c r="AT110" s="132" t="s">
        <v>112</v>
      </c>
      <c r="AU110" s="132" t="s">
        <v>65</v>
      </c>
      <c r="AV110" s="13" t="s">
        <v>65</v>
      </c>
      <c r="AW110" s="13" t="s">
        <v>30</v>
      </c>
      <c r="AX110" s="13" t="s">
        <v>55</v>
      </c>
      <c r="AY110" s="132" t="s">
        <v>101</v>
      </c>
    </row>
    <row r="111" spans="2:65" s="13" customFormat="1" x14ac:dyDescent="0.2">
      <c r="B111" s="131"/>
      <c r="D111" s="126" t="s">
        <v>112</v>
      </c>
      <c r="E111" s="132" t="s">
        <v>1</v>
      </c>
      <c r="F111" s="133" t="s">
        <v>138</v>
      </c>
      <c r="H111" s="134">
        <v>4.74</v>
      </c>
      <c r="L111" s="131"/>
      <c r="M111" s="135"/>
      <c r="T111" s="136"/>
      <c r="W111"/>
      <c r="X111"/>
      <c r="Y111"/>
      <c r="AT111" s="132" t="s">
        <v>112</v>
      </c>
      <c r="AU111" s="132" t="s">
        <v>65</v>
      </c>
      <c r="AV111" s="13" t="s">
        <v>65</v>
      </c>
      <c r="AW111" s="13" t="s">
        <v>30</v>
      </c>
      <c r="AX111" s="13" t="s">
        <v>55</v>
      </c>
      <c r="AY111" s="132" t="s">
        <v>101</v>
      </c>
    </row>
    <row r="112" spans="2:65" s="13" customFormat="1" x14ac:dyDescent="0.2">
      <c r="B112" s="131"/>
      <c r="D112" s="126" t="s">
        <v>112</v>
      </c>
      <c r="E112" s="132" t="s">
        <v>1</v>
      </c>
      <c r="F112" s="133" t="s">
        <v>139</v>
      </c>
      <c r="H112" s="134">
        <v>0.56000000000000005</v>
      </c>
      <c r="L112" s="131"/>
      <c r="M112" s="135"/>
      <c r="T112" s="136"/>
      <c r="W112"/>
      <c r="X112"/>
      <c r="Y112"/>
      <c r="AT112" s="132" t="s">
        <v>112</v>
      </c>
      <c r="AU112" s="132" t="s">
        <v>65</v>
      </c>
      <c r="AV112" s="13" t="s">
        <v>65</v>
      </c>
      <c r="AW112" s="13" t="s">
        <v>30</v>
      </c>
      <c r="AX112" s="13" t="s">
        <v>55</v>
      </c>
      <c r="AY112" s="132" t="s">
        <v>101</v>
      </c>
    </row>
    <row r="113" spans="2:65" s="13" customFormat="1" x14ac:dyDescent="0.2">
      <c r="B113" s="131"/>
      <c r="D113" s="126" t="s">
        <v>112</v>
      </c>
      <c r="E113" s="132" t="s">
        <v>1</v>
      </c>
      <c r="F113" s="133" t="s">
        <v>140</v>
      </c>
      <c r="H113" s="134">
        <v>1.5880000000000001</v>
      </c>
      <c r="L113" s="131"/>
      <c r="M113" s="135"/>
      <c r="T113" s="136"/>
      <c r="W113"/>
      <c r="X113"/>
      <c r="Y113"/>
      <c r="AT113" s="132" t="s">
        <v>112</v>
      </c>
      <c r="AU113" s="132" t="s">
        <v>65</v>
      </c>
      <c r="AV113" s="13" t="s">
        <v>65</v>
      </c>
      <c r="AW113" s="13" t="s">
        <v>30</v>
      </c>
      <c r="AX113" s="13" t="s">
        <v>55</v>
      </c>
      <c r="AY113" s="132" t="s">
        <v>101</v>
      </c>
    </row>
    <row r="114" spans="2:65" s="14" customFormat="1" x14ac:dyDescent="0.2">
      <c r="B114" s="137"/>
      <c r="D114" s="126" t="s">
        <v>112</v>
      </c>
      <c r="E114" s="138" t="s">
        <v>1</v>
      </c>
      <c r="F114" s="139" t="s">
        <v>127</v>
      </c>
      <c r="H114" s="140">
        <f>141.449</f>
        <v>141.44900000000001</v>
      </c>
      <c r="L114" s="137"/>
      <c r="M114" s="141"/>
      <c r="T114" s="142"/>
      <c r="W114"/>
      <c r="X114"/>
      <c r="Y114"/>
      <c r="AT114" s="138" t="s">
        <v>112</v>
      </c>
      <c r="AU114" s="138" t="s">
        <v>65</v>
      </c>
      <c r="AV114" s="14" t="s">
        <v>108</v>
      </c>
      <c r="AW114" s="14" t="s">
        <v>30</v>
      </c>
      <c r="AX114" s="14" t="s">
        <v>63</v>
      </c>
      <c r="AY114" s="138" t="s">
        <v>101</v>
      </c>
    </row>
    <row r="115" spans="2:65" s="14" customFormat="1" x14ac:dyDescent="0.2">
      <c r="B115" s="137"/>
      <c r="D115" s="126"/>
      <c r="E115" s="138"/>
      <c r="F115" s="139" t="s">
        <v>1834</v>
      </c>
      <c r="H115" s="140">
        <f>141.449*0.18</f>
        <v>25.460820000000002</v>
      </c>
      <c r="L115" s="137"/>
      <c r="M115" s="141"/>
      <c r="T115" s="142"/>
      <c r="W115"/>
      <c r="X115"/>
      <c r="Y115"/>
      <c r="AT115" s="138"/>
      <c r="AU115" s="138"/>
      <c r="AY115" s="138"/>
    </row>
    <row r="116" spans="2:65" s="1" customFormat="1" ht="55.5" customHeight="1" x14ac:dyDescent="0.2">
      <c r="B116" s="109"/>
      <c r="C116" s="110" t="s">
        <v>141</v>
      </c>
      <c r="D116" s="110" t="s">
        <v>103</v>
      </c>
      <c r="E116" s="111" t="s">
        <v>142</v>
      </c>
      <c r="F116" s="112" t="s">
        <v>143</v>
      </c>
      <c r="G116" s="113" t="s">
        <v>130</v>
      </c>
      <c r="H116" s="114">
        <f>304.117*0.18</f>
        <v>54.741060000000004</v>
      </c>
      <c r="I116" s="115">
        <v>0</v>
      </c>
      <c r="J116" s="115">
        <f>ROUND(I116*H116,2)</f>
        <v>0</v>
      </c>
      <c r="K116" s="112" t="s">
        <v>107</v>
      </c>
      <c r="L116" s="28"/>
      <c r="M116" s="116" t="s">
        <v>1</v>
      </c>
      <c r="N116" s="117" t="s">
        <v>39</v>
      </c>
      <c r="O116" s="118">
        <v>0.36199999999999999</v>
      </c>
      <c r="P116" s="118">
        <f>O116*H116</f>
        <v>19.816263720000002</v>
      </c>
      <c r="Q116" s="118">
        <v>0</v>
      </c>
      <c r="R116" s="118">
        <f>Q116*H116</f>
        <v>0</v>
      </c>
      <c r="S116" s="118">
        <v>0</v>
      </c>
      <c r="T116" s="119">
        <f>S116*H116</f>
        <v>0</v>
      </c>
      <c r="W116"/>
      <c r="X116"/>
      <c r="Y116"/>
      <c r="AR116" s="120" t="s">
        <v>108</v>
      </c>
      <c r="AT116" s="120" t="s">
        <v>103</v>
      </c>
      <c r="AU116" s="120" t="s">
        <v>65</v>
      </c>
      <c r="AY116" s="17" t="s">
        <v>101</v>
      </c>
      <c r="BE116" s="121">
        <f>IF(N116="základní",J116,0)</f>
        <v>0</v>
      </c>
      <c r="BF116" s="121">
        <f>IF(N116="snížená",J116,0)</f>
        <v>0</v>
      </c>
      <c r="BG116" s="121">
        <f>IF(N116="zákl. přenesená",J116,0)</f>
        <v>0</v>
      </c>
      <c r="BH116" s="121">
        <f>IF(N116="sníž. přenesená",J116,0)</f>
        <v>0</v>
      </c>
      <c r="BI116" s="121">
        <f>IF(N116="nulová",J116,0)</f>
        <v>0</v>
      </c>
      <c r="BJ116" s="17" t="s">
        <v>63</v>
      </c>
      <c r="BK116" s="121">
        <f>ROUND(I116*H116,2)</f>
        <v>0</v>
      </c>
      <c r="BL116" s="17" t="s">
        <v>108</v>
      </c>
      <c r="BM116" s="120" t="s">
        <v>144</v>
      </c>
    </row>
    <row r="117" spans="2:65" s="1" customFormat="1" x14ac:dyDescent="0.2">
      <c r="B117" s="28"/>
      <c r="D117" s="122" t="s">
        <v>110</v>
      </c>
      <c r="F117" s="123" t="s">
        <v>145</v>
      </c>
      <c r="L117" s="28"/>
      <c r="M117" s="124"/>
      <c r="T117" s="48"/>
      <c r="W117"/>
      <c r="X117"/>
      <c r="Y117"/>
      <c r="AT117" s="17" t="s">
        <v>110</v>
      </c>
      <c r="AU117" s="17" t="s">
        <v>65</v>
      </c>
    </row>
    <row r="118" spans="2:65" s="12" customFormat="1" ht="22.5" x14ac:dyDescent="0.2">
      <c r="B118" s="125"/>
      <c r="D118" s="126" t="s">
        <v>112</v>
      </c>
      <c r="E118" s="127" t="s">
        <v>1</v>
      </c>
      <c r="F118" s="128" t="s">
        <v>133</v>
      </c>
      <c r="H118" s="127" t="s">
        <v>1</v>
      </c>
      <c r="L118" s="125"/>
      <c r="M118" s="129"/>
      <c r="T118" s="130"/>
      <c r="W118"/>
      <c r="X118"/>
      <c r="Y118"/>
      <c r="AT118" s="127" t="s">
        <v>112</v>
      </c>
      <c r="AU118" s="127" t="s">
        <v>65</v>
      </c>
      <c r="AV118" s="12" t="s">
        <v>63</v>
      </c>
      <c r="AW118" s="12" t="s">
        <v>30</v>
      </c>
      <c r="AX118" s="12" t="s">
        <v>55</v>
      </c>
      <c r="AY118" s="127" t="s">
        <v>101</v>
      </c>
    </row>
    <row r="119" spans="2:65" s="13" customFormat="1" x14ac:dyDescent="0.2">
      <c r="B119" s="131"/>
      <c r="D119" s="126" t="s">
        <v>112</v>
      </c>
      <c r="E119" s="132" t="s">
        <v>1</v>
      </c>
      <c r="F119" s="133" t="s">
        <v>146</v>
      </c>
      <c r="H119" s="134">
        <v>277.39499999999998</v>
      </c>
      <c r="L119" s="131"/>
      <c r="M119" s="135"/>
      <c r="T119" s="136"/>
      <c r="W119"/>
      <c r="X119"/>
      <c r="Y119"/>
      <c r="AT119" s="132" t="s">
        <v>112</v>
      </c>
      <c r="AU119" s="132" t="s">
        <v>65</v>
      </c>
      <c r="AV119" s="13" t="s">
        <v>65</v>
      </c>
      <c r="AW119" s="13" t="s">
        <v>30</v>
      </c>
      <c r="AX119" s="13" t="s">
        <v>55</v>
      </c>
      <c r="AY119" s="132" t="s">
        <v>101</v>
      </c>
    </row>
    <row r="120" spans="2:65" s="13" customFormat="1" x14ac:dyDescent="0.2">
      <c r="B120" s="131"/>
      <c r="D120" s="126" t="s">
        <v>112</v>
      </c>
      <c r="E120" s="132" t="s">
        <v>1</v>
      </c>
      <c r="F120" s="133" t="s">
        <v>147</v>
      </c>
      <c r="H120" s="134">
        <v>1.909</v>
      </c>
      <c r="L120" s="131"/>
      <c r="M120" s="135"/>
      <c r="T120" s="136"/>
      <c r="W120"/>
      <c r="X120"/>
      <c r="Y120"/>
      <c r="AT120" s="132" t="s">
        <v>112</v>
      </c>
      <c r="AU120" s="132" t="s">
        <v>65</v>
      </c>
      <c r="AV120" s="13" t="s">
        <v>65</v>
      </c>
      <c r="AW120" s="13" t="s">
        <v>30</v>
      </c>
      <c r="AX120" s="13" t="s">
        <v>55</v>
      </c>
      <c r="AY120" s="132" t="s">
        <v>101</v>
      </c>
    </row>
    <row r="121" spans="2:65" s="13" customFormat="1" x14ac:dyDescent="0.2">
      <c r="B121" s="131"/>
      <c r="D121" s="126" t="s">
        <v>112</v>
      </c>
      <c r="E121" s="132" t="s">
        <v>1</v>
      </c>
      <c r="F121" s="133" t="s">
        <v>148</v>
      </c>
      <c r="H121" s="134">
        <v>8.9359999999999999</v>
      </c>
      <c r="L121" s="131"/>
      <c r="M121" s="135"/>
      <c r="T121" s="136"/>
      <c r="W121"/>
      <c r="X121"/>
      <c r="Y121"/>
      <c r="AT121" s="132" t="s">
        <v>112</v>
      </c>
      <c r="AU121" s="132" t="s">
        <v>65</v>
      </c>
      <c r="AV121" s="13" t="s">
        <v>65</v>
      </c>
      <c r="AW121" s="13" t="s">
        <v>30</v>
      </c>
      <c r="AX121" s="13" t="s">
        <v>55</v>
      </c>
      <c r="AY121" s="132" t="s">
        <v>101</v>
      </c>
    </row>
    <row r="122" spans="2:65" s="13" customFormat="1" x14ac:dyDescent="0.2">
      <c r="B122" s="131"/>
      <c r="D122" s="126" t="s">
        <v>112</v>
      </c>
      <c r="E122" s="132" t="s">
        <v>1</v>
      </c>
      <c r="F122" s="133" t="s">
        <v>149</v>
      </c>
      <c r="H122" s="134">
        <v>1.0660000000000001</v>
      </c>
      <c r="L122" s="131"/>
      <c r="M122" s="135"/>
      <c r="T122" s="136"/>
      <c r="W122"/>
      <c r="X122"/>
      <c r="Y122"/>
      <c r="AT122" s="132" t="s">
        <v>112</v>
      </c>
      <c r="AU122" s="132" t="s">
        <v>65</v>
      </c>
      <c r="AV122" s="13" t="s">
        <v>65</v>
      </c>
      <c r="AW122" s="13" t="s">
        <v>30</v>
      </c>
      <c r="AX122" s="13" t="s">
        <v>55</v>
      </c>
      <c r="AY122" s="132" t="s">
        <v>101</v>
      </c>
    </row>
    <row r="123" spans="2:65" s="13" customFormat="1" x14ac:dyDescent="0.2">
      <c r="B123" s="131"/>
      <c r="D123" s="126" t="s">
        <v>112</v>
      </c>
      <c r="E123" s="132" t="s">
        <v>1</v>
      </c>
      <c r="F123" s="133" t="s">
        <v>150</v>
      </c>
      <c r="H123" s="134">
        <v>10.192</v>
      </c>
      <c r="L123" s="131"/>
      <c r="M123" s="135"/>
      <c r="T123" s="136"/>
      <c r="W123"/>
      <c r="X123"/>
      <c r="Y123"/>
      <c r="AT123" s="132" t="s">
        <v>112</v>
      </c>
      <c r="AU123" s="132" t="s">
        <v>65</v>
      </c>
      <c r="AV123" s="13" t="s">
        <v>65</v>
      </c>
      <c r="AW123" s="13" t="s">
        <v>30</v>
      </c>
      <c r="AX123" s="13" t="s">
        <v>55</v>
      </c>
      <c r="AY123" s="132" t="s">
        <v>101</v>
      </c>
    </row>
    <row r="124" spans="2:65" s="13" customFormat="1" x14ac:dyDescent="0.2">
      <c r="B124" s="131"/>
      <c r="D124" s="126" t="s">
        <v>112</v>
      </c>
      <c r="E124" s="132" t="s">
        <v>1</v>
      </c>
      <c r="F124" s="133" t="s">
        <v>151</v>
      </c>
      <c r="H124" s="134">
        <v>1.204</v>
      </c>
      <c r="L124" s="131"/>
      <c r="M124" s="135"/>
      <c r="T124" s="136"/>
      <c r="W124"/>
      <c r="X124"/>
      <c r="Y124"/>
      <c r="AT124" s="132" t="s">
        <v>112</v>
      </c>
      <c r="AU124" s="132" t="s">
        <v>65</v>
      </c>
      <c r="AV124" s="13" t="s">
        <v>65</v>
      </c>
      <c r="AW124" s="13" t="s">
        <v>30</v>
      </c>
      <c r="AX124" s="13" t="s">
        <v>55</v>
      </c>
      <c r="AY124" s="132" t="s">
        <v>101</v>
      </c>
    </row>
    <row r="125" spans="2:65" s="13" customFormat="1" x14ac:dyDescent="0.2">
      <c r="B125" s="131"/>
      <c r="D125" s="126" t="s">
        <v>112</v>
      </c>
      <c r="E125" s="132" t="s">
        <v>1</v>
      </c>
      <c r="F125" s="133" t="s">
        <v>152</v>
      </c>
      <c r="H125" s="134">
        <v>3.415</v>
      </c>
      <c r="L125" s="131"/>
      <c r="M125" s="135"/>
      <c r="T125" s="136"/>
      <c r="W125"/>
      <c r="X125"/>
      <c r="Y125"/>
      <c r="AT125" s="132" t="s">
        <v>112</v>
      </c>
      <c r="AU125" s="132" t="s">
        <v>65</v>
      </c>
      <c r="AV125" s="13" t="s">
        <v>65</v>
      </c>
      <c r="AW125" s="13" t="s">
        <v>30</v>
      </c>
      <c r="AX125" s="13" t="s">
        <v>55</v>
      </c>
      <c r="AY125" s="132" t="s">
        <v>101</v>
      </c>
    </row>
    <row r="126" spans="2:65" s="14" customFormat="1" x14ac:dyDescent="0.2">
      <c r="B126" s="137"/>
      <c r="D126" s="126" t="s">
        <v>112</v>
      </c>
      <c r="E126" s="138" t="s">
        <v>1</v>
      </c>
      <c r="F126" s="139" t="s">
        <v>127</v>
      </c>
      <c r="H126" s="140">
        <v>304.11700000000002</v>
      </c>
      <c r="L126" s="137"/>
      <c r="M126" s="141"/>
      <c r="T126" s="142"/>
      <c r="W126"/>
      <c r="X126"/>
      <c r="Y126"/>
      <c r="AT126" s="138" t="s">
        <v>112</v>
      </c>
      <c r="AU126" s="138" t="s">
        <v>65</v>
      </c>
      <c r="AV126" s="14" t="s">
        <v>108</v>
      </c>
      <c r="AW126" s="14" t="s">
        <v>30</v>
      </c>
      <c r="AX126" s="14" t="s">
        <v>63</v>
      </c>
      <c r="AY126" s="138" t="s">
        <v>101</v>
      </c>
    </row>
    <row r="127" spans="2:65" s="14" customFormat="1" x14ac:dyDescent="0.2">
      <c r="B127" s="137"/>
      <c r="D127" s="126"/>
      <c r="E127" s="138"/>
      <c r="F127" s="139" t="s">
        <v>1834</v>
      </c>
      <c r="H127" s="140">
        <f>304.117*0.18</f>
        <v>54.741060000000004</v>
      </c>
      <c r="L127" s="137"/>
      <c r="M127" s="141"/>
      <c r="T127" s="142"/>
      <c r="W127"/>
      <c r="X127"/>
      <c r="Y127"/>
      <c r="AT127" s="138"/>
      <c r="AU127" s="138"/>
      <c r="AY127" s="138"/>
    </row>
    <row r="128" spans="2:65" s="1" customFormat="1" ht="55.5" customHeight="1" x14ac:dyDescent="0.2">
      <c r="B128" s="109"/>
      <c r="C128" s="110" t="s">
        <v>153</v>
      </c>
      <c r="D128" s="110" t="s">
        <v>103</v>
      </c>
      <c r="E128" s="111" t="s">
        <v>154</v>
      </c>
      <c r="F128" s="112" t="s">
        <v>155</v>
      </c>
      <c r="G128" s="113" t="s">
        <v>130</v>
      </c>
      <c r="H128" s="114">
        <f>261.683*0.18</f>
        <v>47.102939999999997</v>
      </c>
      <c r="I128" s="115">
        <v>0</v>
      </c>
      <c r="J128" s="115">
        <f>ROUND(I128*H128,2)</f>
        <v>0</v>
      </c>
      <c r="K128" s="112" t="s">
        <v>107</v>
      </c>
      <c r="L128" s="28"/>
      <c r="M128" s="116" t="s">
        <v>1</v>
      </c>
      <c r="N128" s="117" t="s">
        <v>39</v>
      </c>
      <c r="O128" s="118">
        <v>0.505</v>
      </c>
      <c r="P128" s="118">
        <f>O128*H128</f>
        <v>23.786984699999998</v>
      </c>
      <c r="Q128" s="118">
        <v>0</v>
      </c>
      <c r="R128" s="118">
        <f>Q128*H128</f>
        <v>0</v>
      </c>
      <c r="S128" s="118">
        <v>0</v>
      </c>
      <c r="T128" s="119">
        <f>S128*H128</f>
        <v>0</v>
      </c>
      <c r="W128"/>
      <c r="X128"/>
      <c r="Y128"/>
      <c r="AR128" s="120" t="s">
        <v>108</v>
      </c>
      <c r="AT128" s="120" t="s">
        <v>103</v>
      </c>
      <c r="AU128" s="120" t="s">
        <v>65</v>
      </c>
      <c r="AY128" s="17" t="s">
        <v>101</v>
      </c>
      <c r="BE128" s="121">
        <f>IF(N128="základní",J128,0)</f>
        <v>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7" t="s">
        <v>63</v>
      </c>
      <c r="BK128" s="121">
        <f>ROUND(I128*H128,2)</f>
        <v>0</v>
      </c>
      <c r="BL128" s="17" t="s">
        <v>108</v>
      </c>
      <c r="BM128" s="120" t="s">
        <v>156</v>
      </c>
    </row>
    <row r="129" spans="2:65" s="1" customFormat="1" x14ac:dyDescent="0.2">
      <c r="B129" s="28"/>
      <c r="D129" s="122" t="s">
        <v>110</v>
      </c>
      <c r="F129" s="123" t="s">
        <v>157</v>
      </c>
      <c r="L129" s="28"/>
      <c r="M129" s="124"/>
      <c r="T129" s="48"/>
      <c r="W129"/>
      <c r="X129"/>
      <c r="Y129"/>
      <c r="AT129" s="17" t="s">
        <v>110</v>
      </c>
      <c r="AU129" s="17" t="s">
        <v>65</v>
      </c>
    </row>
    <row r="130" spans="2:65" s="12" customFormat="1" ht="22.5" x14ac:dyDescent="0.2">
      <c r="B130" s="125"/>
      <c r="D130" s="126" t="s">
        <v>112</v>
      </c>
      <c r="E130" s="127" t="s">
        <v>1</v>
      </c>
      <c r="F130" s="128" t="s">
        <v>133</v>
      </c>
      <c r="H130" s="127" t="s">
        <v>1</v>
      </c>
      <c r="L130" s="125"/>
      <c r="M130" s="129"/>
      <c r="T130" s="130"/>
      <c r="W130"/>
      <c r="X130"/>
      <c r="Y130"/>
      <c r="AT130" s="127" t="s">
        <v>112</v>
      </c>
      <c r="AU130" s="127" t="s">
        <v>65</v>
      </c>
      <c r="AV130" s="12" t="s">
        <v>63</v>
      </c>
      <c r="AW130" s="12" t="s">
        <v>30</v>
      </c>
      <c r="AX130" s="12" t="s">
        <v>55</v>
      </c>
      <c r="AY130" s="127" t="s">
        <v>101</v>
      </c>
    </row>
    <row r="131" spans="2:65" s="13" customFormat="1" x14ac:dyDescent="0.2">
      <c r="B131" s="131"/>
      <c r="D131" s="126" t="s">
        <v>112</v>
      </c>
      <c r="E131" s="132" t="s">
        <v>1</v>
      </c>
      <c r="F131" s="133" t="s">
        <v>158</v>
      </c>
      <c r="H131" s="134">
        <v>238.68899999999999</v>
      </c>
      <c r="L131" s="131"/>
      <c r="M131" s="135"/>
      <c r="T131" s="136"/>
      <c r="W131"/>
      <c r="X131"/>
      <c r="Y131"/>
      <c r="AT131" s="132" t="s">
        <v>112</v>
      </c>
      <c r="AU131" s="132" t="s">
        <v>65</v>
      </c>
      <c r="AV131" s="13" t="s">
        <v>65</v>
      </c>
      <c r="AW131" s="13" t="s">
        <v>30</v>
      </c>
      <c r="AX131" s="13" t="s">
        <v>55</v>
      </c>
      <c r="AY131" s="132" t="s">
        <v>101</v>
      </c>
    </row>
    <row r="132" spans="2:65" s="13" customFormat="1" x14ac:dyDescent="0.2">
      <c r="B132" s="131"/>
      <c r="D132" s="126" t="s">
        <v>112</v>
      </c>
      <c r="E132" s="132" t="s">
        <v>1</v>
      </c>
      <c r="F132" s="133" t="s">
        <v>159</v>
      </c>
      <c r="H132" s="134">
        <v>1.643</v>
      </c>
      <c r="L132" s="131"/>
      <c r="M132" s="135"/>
      <c r="T132" s="136"/>
      <c r="W132"/>
      <c r="X132"/>
      <c r="Y132"/>
      <c r="AT132" s="132" t="s">
        <v>112</v>
      </c>
      <c r="AU132" s="132" t="s">
        <v>65</v>
      </c>
      <c r="AV132" s="13" t="s">
        <v>65</v>
      </c>
      <c r="AW132" s="13" t="s">
        <v>30</v>
      </c>
      <c r="AX132" s="13" t="s">
        <v>55</v>
      </c>
      <c r="AY132" s="132" t="s">
        <v>101</v>
      </c>
    </row>
    <row r="133" spans="2:65" s="13" customFormat="1" x14ac:dyDescent="0.2">
      <c r="B133" s="131"/>
      <c r="D133" s="126" t="s">
        <v>112</v>
      </c>
      <c r="E133" s="132" t="s">
        <v>1</v>
      </c>
      <c r="F133" s="133" t="s">
        <v>160</v>
      </c>
      <c r="H133" s="134">
        <v>7.6890000000000001</v>
      </c>
      <c r="L133" s="131"/>
      <c r="M133" s="135"/>
      <c r="T133" s="136"/>
      <c r="W133"/>
      <c r="X133"/>
      <c r="Y133"/>
      <c r="AT133" s="132" t="s">
        <v>112</v>
      </c>
      <c r="AU133" s="132" t="s">
        <v>65</v>
      </c>
      <c r="AV133" s="13" t="s">
        <v>65</v>
      </c>
      <c r="AW133" s="13" t="s">
        <v>30</v>
      </c>
      <c r="AX133" s="13" t="s">
        <v>55</v>
      </c>
      <c r="AY133" s="132" t="s">
        <v>101</v>
      </c>
    </row>
    <row r="134" spans="2:65" s="13" customFormat="1" x14ac:dyDescent="0.2">
      <c r="B134" s="131"/>
      <c r="D134" s="126" t="s">
        <v>112</v>
      </c>
      <c r="E134" s="132" t="s">
        <v>1</v>
      </c>
      <c r="F134" s="133" t="s">
        <v>161</v>
      </c>
      <c r="H134" s="134">
        <v>0.91700000000000004</v>
      </c>
      <c r="L134" s="131"/>
      <c r="M134" s="135"/>
      <c r="T134" s="136"/>
      <c r="W134"/>
      <c r="X134"/>
      <c r="Y134"/>
      <c r="AT134" s="132" t="s">
        <v>112</v>
      </c>
      <c r="AU134" s="132" t="s">
        <v>65</v>
      </c>
      <c r="AV134" s="13" t="s">
        <v>65</v>
      </c>
      <c r="AW134" s="13" t="s">
        <v>30</v>
      </c>
      <c r="AX134" s="13" t="s">
        <v>55</v>
      </c>
      <c r="AY134" s="132" t="s">
        <v>101</v>
      </c>
    </row>
    <row r="135" spans="2:65" s="13" customFormat="1" x14ac:dyDescent="0.2">
      <c r="B135" s="131"/>
      <c r="D135" s="126" t="s">
        <v>112</v>
      </c>
      <c r="E135" s="132" t="s">
        <v>1</v>
      </c>
      <c r="F135" s="133" t="s">
        <v>162</v>
      </c>
      <c r="H135" s="134">
        <v>8.77</v>
      </c>
      <c r="L135" s="131"/>
      <c r="M135" s="135"/>
      <c r="T135" s="136"/>
      <c r="W135"/>
      <c r="X135"/>
      <c r="Y135"/>
      <c r="AT135" s="132" t="s">
        <v>112</v>
      </c>
      <c r="AU135" s="132" t="s">
        <v>65</v>
      </c>
      <c r="AV135" s="13" t="s">
        <v>65</v>
      </c>
      <c r="AW135" s="13" t="s">
        <v>30</v>
      </c>
      <c r="AX135" s="13" t="s">
        <v>55</v>
      </c>
      <c r="AY135" s="132" t="s">
        <v>101</v>
      </c>
    </row>
    <row r="136" spans="2:65" s="13" customFormat="1" x14ac:dyDescent="0.2">
      <c r="B136" s="131"/>
      <c r="D136" s="126" t="s">
        <v>112</v>
      </c>
      <c r="E136" s="132" t="s">
        <v>1</v>
      </c>
      <c r="F136" s="133" t="s">
        <v>163</v>
      </c>
      <c r="H136" s="134">
        <v>1.036</v>
      </c>
      <c r="L136" s="131"/>
      <c r="M136" s="135"/>
      <c r="T136" s="136"/>
      <c r="W136"/>
      <c r="X136"/>
      <c r="Y136"/>
      <c r="AT136" s="132" t="s">
        <v>112</v>
      </c>
      <c r="AU136" s="132" t="s">
        <v>65</v>
      </c>
      <c r="AV136" s="13" t="s">
        <v>65</v>
      </c>
      <c r="AW136" s="13" t="s">
        <v>30</v>
      </c>
      <c r="AX136" s="13" t="s">
        <v>55</v>
      </c>
      <c r="AY136" s="132" t="s">
        <v>101</v>
      </c>
    </row>
    <row r="137" spans="2:65" s="13" customFormat="1" x14ac:dyDescent="0.2">
      <c r="B137" s="131"/>
      <c r="D137" s="126" t="s">
        <v>112</v>
      </c>
      <c r="E137" s="132" t="s">
        <v>1</v>
      </c>
      <c r="F137" s="133" t="s">
        <v>164</v>
      </c>
      <c r="H137" s="134">
        <v>2.9390000000000001</v>
      </c>
      <c r="L137" s="131"/>
      <c r="M137" s="135"/>
      <c r="T137" s="136"/>
      <c r="W137"/>
      <c r="X137"/>
      <c r="Y137"/>
      <c r="AT137" s="132" t="s">
        <v>112</v>
      </c>
      <c r="AU137" s="132" t="s">
        <v>65</v>
      </c>
      <c r="AV137" s="13" t="s">
        <v>65</v>
      </c>
      <c r="AW137" s="13" t="s">
        <v>30</v>
      </c>
      <c r="AX137" s="13" t="s">
        <v>55</v>
      </c>
      <c r="AY137" s="132" t="s">
        <v>101</v>
      </c>
    </row>
    <row r="138" spans="2:65" s="14" customFormat="1" x14ac:dyDescent="0.2">
      <c r="B138" s="137"/>
      <c r="D138" s="126" t="s">
        <v>112</v>
      </c>
      <c r="E138" s="138" t="s">
        <v>1</v>
      </c>
      <c r="F138" s="139" t="s">
        <v>127</v>
      </c>
      <c r="H138" s="140">
        <v>261.68299999999999</v>
      </c>
      <c r="L138" s="137"/>
      <c r="M138" s="141"/>
      <c r="T138" s="142"/>
      <c r="W138"/>
      <c r="X138"/>
      <c r="Y138"/>
      <c r="AT138" s="138" t="s">
        <v>112</v>
      </c>
      <c r="AU138" s="138" t="s">
        <v>65</v>
      </c>
      <c r="AV138" s="14" t="s">
        <v>108</v>
      </c>
      <c r="AW138" s="14" t="s">
        <v>30</v>
      </c>
      <c r="AX138" s="14" t="s">
        <v>63</v>
      </c>
      <c r="AY138" s="138" t="s">
        <v>101</v>
      </c>
    </row>
    <row r="139" spans="2:65" s="14" customFormat="1" x14ac:dyDescent="0.2">
      <c r="B139" s="137"/>
      <c r="D139" s="126"/>
      <c r="E139" s="138"/>
      <c r="F139" s="139" t="s">
        <v>1834</v>
      </c>
      <c r="H139" s="140">
        <f>261.683*0.18</f>
        <v>47.102939999999997</v>
      </c>
      <c r="L139" s="137"/>
      <c r="M139" s="141"/>
      <c r="T139" s="142"/>
      <c r="W139"/>
      <c r="X139"/>
      <c r="Y139"/>
      <c r="AT139" s="138"/>
      <c r="AU139" s="138"/>
      <c r="AY139" s="138"/>
    </row>
    <row r="140" spans="2:65" s="1" customFormat="1" ht="37.9" customHeight="1" x14ac:dyDescent="0.2">
      <c r="B140" s="109"/>
      <c r="C140" s="110" t="s">
        <v>165</v>
      </c>
      <c r="D140" s="110" t="s">
        <v>103</v>
      </c>
      <c r="E140" s="111" t="s">
        <v>166</v>
      </c>
      <c r="F140" s="112" t="s">
        <v>167</v>
      </c>
      <c r="G140" s="113" t="s">
        <v>130</v>
      </c>
      <c r="H140" s="114">
        <f>5.6*0.18</f>
        <v>1.008</v>
      </c>
      <c r="I140" s="115">
        <v>0</v>
      </c>
      <c r="J140" s="115">
        <f>ROUND(I140*H140,2)</f>
        <v>0</v>
      </c>
      <c r="K140" s="112" t="s">
        <v>107</v>
      </c>
      <c r="L140" s="28"/>
      <c r="M140" s="116" t="s">
        <v>1</v>
      </c>
      <c r="N140" s="117" t="s">
        <v>39</v>
      </c>
      <c r="O140" s="118">
        <v>1.7629999999999999</v>
      </c>
      <c r="P140" s="118">
        <f>O140*H140</f>
        <v>1.777104</v>
      </c>
      <c r="Q140" s="118">
        <v>0</v>
      </c>
      <c r="R140" s="118">
        <f>Q140*H140</f>
        <v>0</v>
      </c>
      <c r="S140" s="118">
        <v>0</v>
      </c>
      <c r="T140" s="119">
        <f>S140*H140</f>
        <v>0</v>
      </c>
      <c r="W140"/>
      <c r="X140"/>
      <c r="Y140"/>
      <c r="AR140" s="120" t="s">
        <v>108</v>
      </c>
      <c r="AT140" s="120" t="s">
        <v>103</v>
      </c>
      <c r="AU140" s="120" t="s">
        <v>65</v>
      </c>
      <c r="AY140" s="17" t="s">
        <v>101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7" t="s">
        <v>63</v>
      </c>
      <c r="BK140" s="121">
        <f>ROUND(I140*H140,2)</f>
        <v>0</v>
      </c>
      <c r="BL140" s="17" t="s">
        <v>108</v>
      </c>
      <c r="BM140" s="120" t="s">
        <v>168</v>
      </c>
    </row>
    <row r="141" spans="2:65" s="1" customFormat="1" x14ac:dyDescent="0.2">
      <c r="B141" s="28"/>
      <c r="D141" s="122" t="s">
        <v>110</v>
      </c>
      <c r="F141" s="123" t="s">
        <v>169</v>
      </c>
      <c r="L141" s="28"/>
      <c r="M141" s="124"/>
      <c r="T141" s="48"/>
      <c r="W141"/>
      <c r="X141"/>
      <c r="Y141"/>
      <c r="AT141" s="17" t="s">
        <v>110</v>
      </c>
      <c r="AU141" s="17" t="s">
        <v>65</v>
      </c>
    </row>
    <row r="142" spans="2:65" s="12" customFormat="1" ht="22.5" x14ac:dyDescent="0.2">
      <c r="B142" s="125"/>
      <c r="D142" s="126" t="s">
        <v>112</v>
      </c>
      <c r="E142" s="127" t="s">
        <v>1</v>
      </c>
      <c r="F142" s="128" t="s">
        <v>170</v>
      </c>
      <c r="H142" s="127" t="s">
        <v>1</v>
      </c>
      <c r="L142" s="125"/>
      <c r="M142" s="129"/>
      <c r="T142" s="130"/>
      <c r="W142"/>
      <c r="X142"/>
      <c r="Y142"/>
      <c r="AT142" s="127" t="s">
        <v>112</v>
      </c>
      <c r="AU142" s="127" t="s">
        <v>65</v>
      </c>
      <c r="AV142" s="12" t="s">
        <v>63</v>
      </c>
      <c r="AW142" s="12" t="s">
        <v>30</v>
      </c>
      <c r="AX142" s="12" t="s">
        <v>55</v>
      </c>
      <c r="AY142" s="127" t="s">
        <v>101</v>
      </c>
    </row>
    <row r="143" spans="2:65" s="13" customFormat="1" x14ac:dyDescent="0.2">
      <c r="B143" s="131"/>
      <c r="D143" s="126" t="s">
        <v>112</v>
      </c>
      <c r="E143" s="132" t="s">
        <v>1</v>
      </c>
      <c r="F143" s="133" t="s">
        <v>1835</v>
      </c>
      <c r="H143" s="134">
        <f>5.6*0.18</f>
        <v>1.008</v>
      </c>
      <c r="L143" s="131"/>
      <c r="M143" s="135"/>
      <c r="T143" s="136"/>
      <c r="W143"/>
      <c r="X143"/>
      <c r="Y143"/>
      <c r="AT143" s="132" t="s">
        <v>112</v>
      </c>
      <c r="AU143" s="132" t="s">
        <v>65</v>
      </c>
      <c r="AV143" s="13" t="s">
        <v>65</v>
      </c>
      <c r="AW143" s="13" t="s">
        <v>30</v>
      </c>
      <c r="AX143" s="13" t="s">
        <v>63</v>
      </c>
      <c r="AY143" s="132" t="s">
        <v>101</v>
      </c>
    </row>
    <row r="144" spans="2:65" s="1" customFormat="1" ht="37.9" customHeight="1" x14ac:dyDescent="0.2">
      <c r="B144" s="109"/>
      <c r="C144" s="110" t="s">
        <v>171</v>
      </c>
      <c r="D144" s="110" t="s">
        <v>103</v>
      </c>
      <c r="E144" s="111" t="s">
        <v>172</v>
      </c>
      <c r="F144" s="112" t="s">
        <v>173</v>
      </c>
      <c r="G144" s="113" t="s">
        <v>174</v>
      </c>
      <c r="H144" s="114">
        <f>228.572*0.18</f>
        <v>41.142960000000002</v>
      </c>
      <c r="I144" s="115">
        <v>0</v>
      </c>
      <c r="J144" s="115">
        <f>ROUND(I144*H144,2)</f>
        <v>0</v>
      </c>
      <c r="K144" s="112" t="s">
        <v>107</v>
      </c>
      <c r="L144" s="28"/>
      <c r="M144" s="116" t="s">
        <v>1</v>
      </c>
      <c r="N144" s="117" t="s">
        <v>39</v>
      </c>
      <c r="O144" s="118">
        <v>0.23599999999999999</v>
      </c>
      <c r="P144" s="118">
        <f>O144*H144</f>
        <v>9.7097385599999999</v>
      </c>
      <c r="Q144" s="118">
        <v>8.4000000000000003E-4</v>
      </c>
      <c r="R144" s="118">
        <f>Q144*H144</f>
        <v>3.4560086400000002E-2</v>
      </c>
      <c r="S144" s="118">
        <v>0</v>
      </c>
      <c r="T144" s="119">
        <f>S144*H144</f>
        <v>0</v>
      </c>
      <c r="W144"/>
      <c r="X144"/>
      <c r="Y144"/>
      <c r="AR144" s="120" t="s">
        <v>108</v>
      </c>
      <c r="AT144" s="120" t="s">
        <v>103</v>
      </c>
      <c r="AU144" s="120" t="s">
        <v>65</v>
      </c>
      <c r="AY144" s="17" t="s">
        <v>101</v>
      </c>
      <c r="BE144" s="121">
        <f>IF(N144="základní",J144,0)</f>
        <v>0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7" t="s">
        <v>63</v>
      </c>
      <c r="BK144" s="121">
        <f>ROUND(I144*H144,2)</f>
        <v>0</v>
      </c>
      <c r="BL144" s="17" t="s">
        <v>108</v>
      </c>
      <c r="BM144" s="120" t="s">
        <v>175</v>
      </c>
    </row>
    <row r="145" spans="2:65" s="1" customFormat="1" x14ac:dyDescent="0.2">
      <c r="B145" s="28"/>
      <c r="D145" s="122" t="s">
        <v>110</v>
      </c>
      <c r="F145" s="123" t="s">
        <v>176</v>
      </c>
      <c r="L145" s="28"/>
      <c r="M145" s="124"/>
      <c r="T145" s="48"/>
      <c r="W145"/>
      <c r="X145"/>
      <c r="Y145"/>
      <c r="AT145" s="17" t="s">
        <v>110</v>
      </c>
      <c r="AU145" s="17" t="s">
        <v>65</v>
      </c>
    </row>
    <row r="146" spans="2:65" s="12" customFormat="1" x14ac:dyDescent="0.2">
      <c r="B146" s="125"/>
      <c r="D146" s="126" t="s">
        <v>112</v>
      </c>
      <c r="E146" s="127" t="s">
        <v>1</v>
      </c>
      <c r="F146" s="128" t="s">
        <v>177</v>
      </c>
      <c r="H146" s="127" t="s">
        <v>1</v>
      </c>
      <c r="L146" s="125"/>
      <c r="M146" s="129"/>
      <c r="T146" s="130"/>
      <c r="W146"/>
      <c r="X146"/>
      <c r="Y146"/>
      <c r="AT146" s="127" t="s">
        <v>112</v>
      </c>
      <c r="AU146" s="127" t="s">
        <v>65</v>
      </c>
      <c r="AV146" s="12" t="s">
        <v>63</v>
      </c>
      <c r="AW146" s="12" t="s">
        <v>30</v>
      </c>
      <c r="AX146" s="12" t="s">
        <v>55</v>
      </c>
      <c r="AY146" s="127" t="s">
        <v>101</v>
      </c>
    </row>
    <row r="147" spans="2:65" s="13" customFormat="1" x14ac:dyDescent="0.2">
      <c r="B147" s="131"/>
      <c r="D147" s="126" t="s">
        <v>112</v>
      </c>
      <c r="E147" s="132" t="s">
        <v>1</v>
      </c>
      <c r="F147" s="133" t="s">
        <v>178</v>
      </c>
      <c r="H147" s="134">
        <v>223.06200000000001</v>
      </c>
      <c r="L147" s="131"/>
      <c r="M147" s="135"/>
      <c r="T147" s="136"/>
      <c r="W147"/>
      <c r="X147"/>
      <c r="Y147"/>
      <c r="AT147" s="132" t="s">
        <v>112</v>
      </c>
      <c r="AU147" s="132" t="s">
        <v>65</v>
      </c>
      <c r="AV147" s="13" t="s">
        <v>65</v>
      </c>
      <c r="AW147" s="13" t="s">
        <v>30</v>
      </c>
      <c r="AX147" s="13" t="s">
        <v>55</v>
      </c>
      <c r="AY147" s="132" t="s">
        <v>101</v>
      </c>
    </row>
    <row r="148" spans="2:65" s="13" customFormat="1" x14ac:dyDescent="0.2">
      <c r="B148" s="131"/>
      <c r="D148" s="126" t="s">
        <v>112</v>
      </c>
      <c r="E148" s="132" t="s">
        <v>1</v>
      </c>
      <c r="F148" s="133" t="s">
        <v>179</v>
      </c>
      <c r="H148" s="134">
        <v>5.51</v>
      </c>
      <c r="L148" s="131"/>
      <c r="M148" s="135"/>
      <c r="T148" s="136"/>
      <c r="W148"/>
      <c r="X148"/>
      <c r="Y148"/>
      <c r="AT148" s="132" t="s">
        <v>112</v>
      </c>
      <c r="AU148" s="132" t="s">
        <v>65</v>
      </c>
      <c r="AV148" s="13" t="s">
        <v>65</v>
      </c>
      <c r="AW148" s="13" t="s">
        <v>30</v>
      </c>
      <c r="AX148" s="13" t="s">
        <v>55</v>
      </c>
      <c r="AY148" s="132" t="s">
        <v>101</v>
      </c>
    </row>
    <row r="149" spans="2:65" s="14" customFormat="1" x14ac:dyDescent="0.2">
      <c r="B149" s="137"/>
      <c r="D149" s="126" t="s">
        <v>112</v>
      </c>
      <c r="E149" s="138" t="s">
        <v>1</v>
      </c>
      <c r="F149" s="139" t="s">
        <v>127</v>
      </c>
      <c r="H149" s="140">
        <v>228.572</v>
      </c>
      <c r="L149" s="137"/>
      <c r="M149" s="141"/>
      <c r="T149" s="142"/>
      <c r="W149"/>
      <c r="X149"/>
      <c r="Y149"/>
      <c r="AT149" s="138" t="s">
        <v>112</v>
      </c>
      <c r="AU149" s="138" t="s">
        <v>65</v>
      </c>
      <c r="AV149" s="14" t="s">
        <v>108</v>
      </c>
      <c r="AW149" s="14" t="s">
        <v>30</v>
      </c>
      <c r="AX149" s="14" t="s">
        <v>63</v>
      </c>
      <c r="AY149" s="138" t="s">
        <v>101</v>
      </c>
    </row>
    <row r="150" spans="2:65" s="14" customFormat="1" x14ac:dyDescent="0.2">
      <c r="B150" s="137"/>
      <c r="D150" s="126"/>
      <c r="E150" s="138"/>
      <c r="F150" s="139" t="s">
        <v>1834</v>
      </c>
      <c r="H150" s="140">
        <f>228.572*0.18</f>
        <v>41.142960000000002</v>
      </c>
      <c r="L150" s="137"/>
      <c r="M150" s="141"/>
      <c r="T150" s="142"/>
      <c r="W150"/>
      <c r="X150"/>
      <c r="Y150"/>
      <c r="AT150" s="138"/>
      <c r="AU150" s="138"/>
      <c r="AY150" s="138"/>
    </row>
    <row r="151" spans="2:65" s="1" customFormat="1" ht="44.25" customHeight="1" x14ac:dyDescent="0.2">
      <c r="B151" s="109"/>
      <c r="C151" s="110" t="s">
        <v>180</v>
      </c>
      <c r="D151" s="110" t="s">
        <v>103</v>
      </c>
      <c r="E151" s="111" t="s">
        <v>181</v>
      </c>
      <c r="F151" s="112" t="s">
        <v>182</v>
      </c>
      <c r="G151" s="113" t="s">
        <v>174</v>
      </c>
      <c r="H151" s="114">
        <f>228.572*0.18</f>
        <v>41.142960000000002</v>
      </c>
      <c r="I151" s="115">
        <v>0</v>
      </c>
      <c r="J151" s="115">
        <f>ROUND(I151*H151,2)</f>
        <v>0</v>
      </c>
      <c r="K151" s="112" t="s">
        <v>107</v>
      </c>
      <c r="L151" s="28"/>
      <c r="M151" s="116" t="s">
        <v>1</v>
      </c>
      <c r="N151" s="117" t="s">
        <v>39</v>
      </c>
      <c r="O151" s="118">
        <v>0.216</v>
      </c>
      <c r="P151" s="118">
        <f>O151*H151</f>
        <v>8.88687936</v>
      </c>
      <c r="Q151" s="118">
        <v>0</v>
      </c>
      <c r="R151" s="118">
        <f>Q151*H151</f>
        <v>0</v>
      </c>
      <c r="S151" s="118">
        <v>0</v>
      </c>
      <c r="T151" s="119">
        <f>S151*H151</f>
        <v>0</v>
      </c>
      <c r="W151"/>
      <c r="X151"/>
      <c r="Y151"/>
      <c r="AR151" s="120" t="s">
        <v>108</v>
      </c>
      <c r="AT151" s="120" t="s">
        <v>103</v>
      </c>
      <c r="AU151" s="120" t="s">
        <v>65</v>
      </c>
      <c r="AY151" s="17" t="s">
        <v>101</v>
      </c>
      <c r="BE151" s="121">
        <f>IF(N151="základní",J151,0)</f>
        <v>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7" t="s">
        <v>63</v>
      </c>
      <c r="BK151" s="121">
        <f>ROUND(I151*H151,2)</f>
        <v>0</v>
      </c>
      <c r="BL151" s="17" t="s">
        <v>108</v>
      </c>
      <c r="BM151" s="120" t="s">
        <v>183</v>
      </c>
    </row>
    <row r="152" spans="2:65" s="1" customFormat="1" x14ac:dyDescent="0.2">
      <c r="B152" s="28"/>
      <c r="D152" s="122" t="s">
        <v>110</v>
      </c>
      <c r="F152" s="123" t="s">
        <v>184</v>
      </c>
      <c r="L152" s="28"/>
      <c r="M152" s="124"/>
      <c r="T152" s="48"/>
      <c r="W152"/>
      <c r="X152"/>
      <c r="Y152"/>
      <c r="AT152" s="17" t="s">
        <v>110</v>
      </c>
      <c r="AU152" s="17" t="s">
        <v>65</v>
      </c>
    </row>
    <row r="153" spans="2:65" s="1" customFormat="1" ht="62.65" customHeight="1" x14ac:dyDescent="0.2">
      <c r="B153" s="109"/>
      <c r="C153" s="110" t="s">
        <v>185</v>
      </c>
      <c r="D153" s="110" t="s">
        <v>103</v>
      </c>
      <c r="E153" s="111" t="s">
        <v>186</v>
      </c>
      <c r="F153" s="112" t="s">
        <v>187</v>
      </c>
      <c r="G153" s="113" t="s">
        <v>130</v>
      </c>
      <c r="H153" s="114">
        <f>1153.362*0.18</f>
        <v>207.60516000000001</v>
      </c>
      <c r="I153" s="115">
        <v>0</v>
      </c>
      <c r="J153" s="115">
        <f>ROUND(I153*H153,2)</f>
        <v>0</v>
      </c>
      <c r="K153" s="112" t="s">
        <v>107</v>
      </c>
      <c r="L153" s="28"/>
      <c r="M153" s="116" t="s">
        <v>1</v>
      </c>
      <c r="N153" s="117" t="s">
        <v>39</v>
      </c>
      <c r="O153" s="118">
        <v>4.5999999999999999E-2</v>
      </c>
      <c r="P153" s="118">
        <f>O153*H153</f>
        <v>9.5498373599999997</v>
      </c>
      <c r="Q153" s="118">
        <v>0</v>
      </c>
      <c r="R153" s="118">
        <f>Q153*H153</f>
        <v>0</v>
      </c>
      <c r="S153" s="118">
        <v>0</v>
      </c>
      <c r="T153" s="119">
        <f>S153*H153</f>
        <v>0</v>
      </c>
      <c r="W153"/>
      <c r="X153"/>
      <c r="Y153"/>
      <c r="AR153" s="120" t="s">
        <v>108</v>
      </c>
      <c r="AT153" s="120" t="s">
        <v>103</v>
      </c>
      <c r="AU153" s="120" t="s">
        <v>65</v>
      </c>
      <c r="AY153" s="17" t="s">
        <v>101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7" t="s">
        <v>63</v>
      </c>
      <c r="BK153" s="121">
        <f>ROUND(I153*H153,2)</f>
        <v>0</v>
      </c>
      <c r="BL153" s="17" t="s">
        <v>108</v>
      </c>
      <c r="BM153" s="120" t="s">
        <v>188</v>
      </c>
    </row>
    <row r="154" spans="2:65" s="1" customFormat="1" x14ac:dyDescent="0.2">
      <c r="B154" s="28"/>
      <c r="D154" s="122" t="s">
        <v>110</v>
      </c>
      <c r="F154" s="123" t="s">
        <v>189</v>
      </c>
      <c r="L154" s="28"/>
      <c r="M154" s="124"/>
      <c r="T154" s="48"/>
      <c r="W154"/>
      <c r="X154"/>
      <c r="Y154"/>
      <c r="AT154" s="17" t="s">
        <v>110</v>
      </c>
      <c r="AU154" s="17" t="s">
        <v>65</v>
      </c>
    </row>
    <row r="155" spans="2:65" s="13" customFormat="1" x14ac:dyDescent="0.2">
      <c r="B155" s="131"/>
      <c r="D155" s="126" t="s">
        <v>112</v>
      </c>
      <c r="E155" s="132" t="s">
        <v>1</v>
      </c>
      <c r="F155" s="133" t="s">
        <v>190</v>
      </c>
      <c r="H155" s="134">
        <v>445.56599999999997</v>
      </c>
      <c r="L155" s="131"/>
      <c r="M155" s="135"/>
      <c r="T155" s="136"/>
      <c r="W155"/>
      <c r="X155"/>
      <c r="Y155"/>
      <c r="AT155" s="132" t="s">
        <v>112</v>
      </c>
      <c r="AU155" s="132" t="s">
        <v>65</v>
      </c>
      <c r="AV155" s="13" t="s">
        <v>65</v>
      </c>
      <c r="AW155" s="13" t="s">
        <v>30</v>
      </c>
      <c r="AX155" s="13" t="s">
        <v>55</v>
      </c>
      <c r="AY155" s="132" t="s">
        <v>101</v>
      </c>
    </row>
    <row r="156" spans="2:65" s="13" customFormat="1" x14ac:dyDescent="0.2">
      <c r="B156" s="131"/>
      <c r="D156" s="126" t="s">
        <v>112</v>
      </c>
      <c r="E156" s="132" t="s">
        <v>1</v>
      </c>
      <c r="F156" s="133" t="s">
        <v>191</v>
      </c>
      <c r="H156" s="134">
        <v>490.31099999999998</v>
      </c>
      <c r="L156" s="131"/>
      <c r="M156" s="135"/>
      <c r="T156" s="136"/>
      <c r="W156"/>
      <c r="X156"/>
      <c r="Y156"/>
      <c r="AT156" s="132" t="s">
        <v>112</v>
      </c>
      <c r="AU156" s="132" t="s">
        <v>65</v>
      </c>
      <c r="AV156" s="13" t="s">
        <v>65</v>
      </c>
      <c r="AW156" s="13" t="s">
        <v>30</v>
      </c>
      <c r="AX156" s="13" t="s">
        <v>55</v>
      </c>
      <c r="AY156" s="132" t="s">
        <v>101</v>
      </c>
    </row>
    <row r="157" spans="2:65" s="13" customFormat="1" x14ac:dyDescent="0.2">
      <c r="B157" s="131"/>
      <c r="D157" s="126" t="s">
        <v>112</v>
      </c>
      <c r="E157" s="132" t="s">
        <v>1</v>
      </c>
      <c r="F157" s="133" t="s">
        <v>192</v>
      </c>
      <c r="H157" s="134">
        <v>217.48500000000001</v>
      </c>
      <c r="L157" s="131"/>
      <c r="M157" s="135"/>
      <c r="T157" s="136"/>
      <c r="W157"/>
      <c r="X157"/>
      <c r="Y157"/>
      <c r="AT157" s="132" t="s">
        <v>112</v>
      </c>
      <c r="AU157" s="132" t="s">
        <v>65</v>
      </c>
      <c r="AV157" s="13" t="s">
        <v>65</v>
      </c>
      <c r="AW157" s="13" t="s">
        <v>30</v>
      </c>
      <c r="AX157" s="13" t="s">
        <v>55</v>
      </c>
      <c r="AY157" s="132" t="s">
        <v>101</v>
      </c>
    </row>
    <row r="158" spans="2:65" s="14" customFormat="1" x14ac:dyDescent="0.2">
      <c r="B158" s="137"/>
      <c r="D158" s="126" t="s">
        <v>112</v>
      </c>
      <c r="E158" s="138" t="s">
        <v>1</v>
      </c>
      <c r="F158" s="139" t="s">
        <v>127</v>
      </c>
      <c r="H158" s="140">
        <v>1153.3620000000001</v>
      </c>
      <c r="L158" s="137"/>
      <c r="M158" s="141"/>
      <c r="T158" s="142"/>
      <c r="W158"/>
      <c r="X158"/>
      <c r="Y158"/>
      <c r="AT158" s="138" t="s">
        <v>112</v>
      </c>
      <c r="AU158" s="138" t="s">
        <v>65</v>
      </c>
      <c r="AV158" s="14" t="s">
        <v>108</v>
      </c>
      <c r="AW158" s="14" t="s">
        <v>30</v>
      </c>
      <c r="AX158" s="14" t="s">
        <v>63</v>
      </c>
      <c r="AY158" s="138" t="s">
        <v>101</v>
      </c>
    </row>
    <row r="159" spans="2:65" s="14" customFormat="1" x14ac:dyDescent="0.2">
      <c r="B159" s="137"/>
      <c r="D159" s="126"/>
      <c r="E159" s="138"/>
      <c r="F159" s="139" t="s">
        <v>1834</v>
      </c>
      <c r="H159" s="140">
        <f>1153.362*0.18</f>
        <v>207.60516000000001</v>
      </c>
      <c r="L159" s="137"/>
      <c r="M159" s="141"/>
      <c r="T159" s="142"/>
      <c r="W159"/>
      <c r="X159"/>
      <c r="Y159"/>
      <c r="AT159" s="138"/>
      <c r="AU159" s="138"/>
      <c r="AY159" s="138"/>
    </row>
    <row r="160" spans="2:65" s="1" customFormat="1" ht="62.65" customHeight="1" x14ac:dyDescent="0.2">
      <c r="B160" s="109"/>
      <c r="C160" s="110" t="s">
        <v>193</v>
      </c>
      <c r="D160" s="110" t="s">
        <v>103</v>
      </c>
      <c r="E160" s="111" t="s">
        <v>194</v>
      </c>
      <c r="F160" s="112" t="s">
        <v>195</v>
      </c>
      <c r="G160" s="113" t="s">
        <v>130</v>
      </c>
      <c r="H160" s="114">
        <f>261.683*0.18</f>
        <v>47.102939999999997</v>
      </c>
      <c r="I160" s="115">
        <v>0</v>
      </c>
      <c r="J160" s="115">
        <f>ROUND(I160*H160,2)</f>
        <v>0</v>
      </c>
      <c r="K160" s="112" t="s">
        <v>107</v>
      </c>
      <c r="L160" s="28"/>
      <c r="M160" s="116" t="s">
        <v>1</v>
      </c>
      <c r="N160" s="117" t="s">
        <v>39</v>
      </c>
      <c r="O160" s="118">
        <v>5.0999999999999997E-2</v>
      </c>
      <c r="P160" s="118">
        <f>O160*H160</f>
        <v>2.4022499399999995</v>
      </c>
      <c r="Q160" s="118">
        <v>0</v>
      </c>
      <c r="R160" s="118">
        <f>Q160*H160</f>
        <v>0</v>
      </c>
      <c r="S160" s="118">
        <v>0</v>
      </c>
      <c r="T160" s="119">
        <f>S160*H160</f>
        <v>0</v>
      </c>
      <c r="W160"/>
      <c r="X160"/>
      <c r="Y160"/>
      <c r="AR160" s="120" t="s">
        <v>108</v>
      </c>
      <c r="AT160" s="120" t="s">
        <v>103</v>
      </c>
      <c r="AU160" s="120" t="s">
        <v>65</v>
      </c>
      <c r="AY160" s="17" t="s">
        <v>101</v>
      </c>
      <c r="BE160" s="121">
        <f>IF(N160="základní",J160,0)</f>
        <v>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7" t="s">
        <v>63</v>
      </c>
      <c r="BK160" s="121">
        <f>ROUND(I160*H160,2)</f>
        <v>0</v>
      </c>
      <c r="BL160" s="17" t="s">
        <v>108</v>
      </c>
      <c r="BM160" s="120" t="s">
        <v>196</v>
      </c>
    </row>
    <row r="161" spans="2:65" s="1" customFormat="1" x14ac:dyDescent="0.2">
      <c r="B161" s="28"/>
      <c r="D161" s="122" t="s">
        <v>110</v>
      </c>
      <c r="F161" s="123" t="s">
        <v>197</v>
      </c>
      <c r="L161" s="28"/>
      <c r="M161" s="124"/>
      <c r="T161" s="48"/>
      <c r="W161"/>
      <c r="X161"/>
      <c r="Y161"/>
      <c r="AT161" s="17" t="s">
        <v>110</v>
      </c>
      <c r="AU161" s="17" t="s">
        <v>65</v>
      </c>
    </row>
    <row r="162" spans="2:65" s="1" customFormat="1" ht="62.65" customHeight="1" x14ac:dyDescent="0.2">
      <c r="B162" s="109"/>
      <c r="C162" s="110" t="s">
        <v>198</v>
      </c>
      <c r="D162" s="110" t="s">
        <v>103</v>
      </c>
      <c r="E162" s="111" t="s">
        <v>199</v>
      </c>
      <c r="F162" s="112" t="s">
        <v>200</v>
      </c>
      <c r="G162" s="113" t="s">
        <v>130</v>
      </c>
      <c r="H162" s="114">
        <f>445.566*0.18</f>
        <v>80.201879999999989</v>
      </c>
      <c r="I162" s="115">
        <v>0</v>
      </c>
      <c r="J162" s="115">
        <f>ROUND(I162*H162,2)</f>
        <v>0</v>
      </c>
      <c r="K162" s="112" t="s">
        <v>107</v>
      </c>
      <c r="L162" s="28"/>
      <c r="M162" s="116" t="s">
        <v>1</v>
      </c>
      <c r="N162" s="117" t="s">
        <v>39</v>
      </c>
      <c r="O162" s="118">
        <v>8.6999999999999994E-2</v>
      </c>
      <c r="P162" s="118">
        <f>O162*H162</f>
        <v>6.9775635599999983</v>
      </c>
      <c r="Q162" s="118">
        <v>0</v>
      </c>
      <c r="R162" s="118">
        <f>Q162*H162</f>
        <v>0</v>
      </c>
      <c r="S162" s="118">
        <v>0</v>
      </c>
      <c r="T162" s="119">
        <f>S162*H162</f>
        <v>0</v>
      </c>
      <c r="W162"/>
      <c r="X162"/>
      <c r="Y162"/>
      <c r="AR162" s="120" t="s">
        <v>108</v>
      </c>
      <c r="AT162" s="120" t="s">
        <v>103</v>
      </c>
      <c r="AU162" s="120" t="s">
        <v>65</v>
      </c>
      <c r="AY162" s="17" t="s">
        <v>101</v>
      </c>
      <c r="BE162" s="121">
        <f>IF(N162="základní",J162,0)</f>
        <v>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7" t="s">
        <v>63</v>
      </c>
      <c r="BK162" s="121">
        <f>ROUND(I162*H162,2)</f>
        <v>0</v>
      </c>
      <c r="BL162" s="17" t="s">
        <v>108</v>
      </c>
      <c r="BM162" s="120" t="s">
        <v>201</v>
      </c>
    </row>
    <row r="163" spans="2:65" s="1" customFormat="1" x14ac:dyDescent="0.2">
      <c r="B163" s="28"/>
      <c r="D163" s="122" t="s">
        <v>110</v>
      </c>
      <c r="F163" s="123" t="s">
        <v>202</v>
      </c>
      <c r="L163" s="28"/>
      <c r="M163" s="124"/>
      <c r="T163" s="48"/>
      <c r="W163"/>
      <c r="X163"/>
      <c r="Y163"/>
      <c r="AT163" s="17" t="s">
        <v>110</v>
      </c>
      <c r="AU163" s="17" t="s">
        <v>65</v>
      </c>
    </row>
    <row r="164" spans="2:65" s="1" customFormat="1" ht="66.75" customHeight="1" x14ac:dyDescent="0.2">
      <c r="B164" s="109"/>
      <c r="C164" s="110" t="s">
        <v>203</v>
      </c>
      <c r="D164" s="110" t="s">
        <v>103</v>
      </c>
      <c r="E164" s="111" t="s">
        <v>204</v>
      </c>
      <c r="F164" s="112" t="s">
        <v>205</v>
      </c>
      <c r="G164" s="113" t="s">
        <v>130</v>
      </c>
      <c r="H164" s="114">
        <f>1336.698*0.18</f>
        <v>240.60563999999999</v>
      </c>
      <c r="I164" s="115">
        <v>0</v>
      </c>
      <c r="J164" s="115">
        <f>ROUND(I164*H164,2)</f>
        <v>0</v>
      </c>
      <c r="K164" s="112" t="s">
        <v>107</v>
      </c>
      <c r="L164" s="28"/>
      <c r="M164" s="116" t="s">
        <v>1</v>
      </c>
      <c r="N164" s="117" t="s">
        <v>39</v>
      </c>
      <c r="O164" s="118">
        <v>5.0000000000000001E-3</v>
      </c>
      <c r="P164" s="118">
        <f>O164*H164</f>
        <v>1.2030282000000001</v>
      </c>
      <c r="Q164" s="118">
        <v>0</v>
      </c>
      <c r="R164" s="118">
        <f>Q164*H164</f>
        <v>0</v>
      </c>
      <c r="S164" s="118">
        <v>0</v>
      </c>
      <c r="T164" s="119">
        <f>S164*H164</f>
        <v>0</v>
      </c>
      <c r="W164"/>
      <c r="X164"/>
      <c r="Y164"/>
      <c r="AR164" s="120" t="s">
        <v>108</v>
      </c>
      <c r="AT164" s="120" t="s">
        <v>103</v>
      </c>
      <c r="AU164" s="120" t="s">
        <v>65</v>
      </c>
      <c r="AY164" s="17" t="s">
        <v>101</v>
      </c>
      <c r="BE164" s="121">
        <f>IF(N164="základní",J164,0)</f>
        <v>0</v>
      </c>
      <c r="BF164" s="121">
        <f>IF(N164="snížená",J164,0)</f>
        <v>0</v>
      </c>
      <c r="BG164" s="121">
        <f>IF(N164="zákl. přenesená",J164,0)</f>
        <v>0</v>
      </c>
      <c r="BH164" s="121">
        <f>IF(N164="sníž. přenesená",J164,0)</f>
        <v>0</v>
      </c>
      <c r="BI164" s="121">
        <f>IF(N164="nulová",J164,0)</f>
        <v>0</v>
      </c>
      <c r="BJ164" s="17" t="s">
        <v>63</v>
      </c>
      <c r="BK164" s="121">
        <f>ROUND(I164*H164,2)</f>
        <v>0</v>
      </c>
      <c r="BL164" s="17" t="s">
        <v>108</v>
      </c>
      <c r="BM164" s="120" t="s">
        <v>206</v>
      </c>
    </row>
    <row r="165" spans="2:65" s="1" customFormat="1" x14ac:dyDescent="0.2">
      <c r="B165" s="28"/>
      <c r="D165" s="122" t="s">
        <v>110</v>
      </c>
      <c r="F165" s="123" t="s">
        <v>207</v>
      </c>
      <c r="L165" s="28"/>
      <c r="M165" s="124"/>
      <c r="T165" s="48"/>
      <c r="W165"/>
      <c r="X165"/>
      <c r="Y165"/>
      <c r="AT165" s="17" t="s">
        <v>110</v>
      </c>
      <c r="AU165" s="17" t="s">
        <v>65</v>
      </c>
    </row>
    <row r="166" spans="2:65" s="13" customFormat="1" x14ac:dyDescent="0.2">
      <c r="B166" s="131"/>
      <c r="D166" s="126" t="s">
        <v>112</v>
      </c>
      <c r="E166" s="132" t="s">
        <v>1</v>
      </c>
      <c r="F166" s="133" t="s">
        <v>1836</v>
      </c>
      <c r="H166" s="134">
        <f>1336.698*0.18</f>
        <v>240.60563999999999</v>
      </c>
      <c r="L166" s="131"/>
      <c r="M166" s="135"/>
      <c r="T166" s="136"/>
      <c r="W166"/>
      <c r="X166"/>
      <c r="Y166"/>
      <c r="AT166" s="132" t="s">
        <v>112</v>
      </c>
      <c r="AU166" s="132" t="s">
        <v>65</v>
      </c>
      <c r="AV166" s="13" t="s">
        <v>65</v>
      </c>
      <c r="AW166" s="13" t="s">
        <v>30</v>
      </c>
      <c r="AX166" s="13" t="s">
        <v>63</v>
      </c>
      <c r="AY166" s="132" t="s">
        <v>101</v>
      </c>
    </row>
    <row r="167" spans="2:65" s="1" customFormat="1" ht="62.65" customHeight="1" x14ac:dyDescent="0.2">
      <c r="B167" s="109"/>
      <c r="C167" s="110" t="s">
        <v>208</v>
      </c>
      <c r="D167" s="110" t="s">
        <v>103</v>
      </c>
      <c r="E167" s="111" t="s">
        <v>209</v>
      </c>
      <c r="F167" s="112" t="s">
        <v>210</v>
      </c>
      <c r="G167" s="113" t="s">
        <v>130</v>
      </c>
      <c r="H167" s="114">
        <f>261.683*0.18</f>
        <v>47.102939999999997</v>
      </c>
      <c r="I167" s="115">
        <v>0</v>
      </c>
      <c r="J167" s="115">
        <f>ROUND(I167*H167,2)</f>
        <v>0</v>
      </c>
      <c r="K167" s="112" t="s">
        <v>107</v>
      </c>
      <c r="L167" s="28"/>
      <c r="M167" s="116" t="s">
        <v>1</v>
      </c>
      <c r="N167" s="117" t="s">
        <v>39</v>
      </c>
      <c r="O167" s="118">
        <v>9.9000000000000005E-2</v>
      </c>
      <c r="P167" s="118">
        <f>O167*H167</f>
        <v>4.6631910599999999</v>
      </c>
      <c r="Q167" s="118">
        <v>0</v>
      </c>
      <c r="R167" s="118">
        <f>Q167*H167</f>
        <v>0</v>
      </c>
      <c r="S167" s="118">
        <v>0</v>
      </c>
      <c r="T167" s="119">
        <f>S167*H167</f>
        <v>0</v>
      </c>
      <c r="W167"/>
      <c r="X167"/>
      <c r="Y167"/>
      <c r="AR167" s="120" t="s">
        <v>108</v>
      </c>
      <c r="AT167" s="120" t="s">
        <v>103</v>
      </c>
      <c r="AU167" s="120" t="s">
        <v>65</v>
      </c>
      <c r="AY167" s="17" t="s">
        <v>101</v>
      </c>
      <c r="BE167" s="121">
        <f>IF(N167="základní",J167,0)</f>
        <v>0</v>
      </c>
      <c r="BF167" s="121">
        <f>IF(N167="snížená",J167,0)</f>
        <v>0</v>
      </c>
      <c r="BG167" s="121">
        <f>IF(N167="zákl. přenesená",J167,0)</f>
        <v>0</v>
      </c>
      <c r="BH167" s="121">
        <f>IF(N167="sníž. přenesená",J167,0)</f>
        <v>0</v>
      </c>
      <c r="BI167" s="121">
        <f>IF(N167="nulová",J167,0)</f>
        <v>0</v>
      </c>
      <c r="BJ167" s="17" t="s">
        <v>63</v>
      </c>
      <c r="BK167" s="121">
        <f>ROUND(I167*H167,2)</f>
        <v>0</v>
      </c>
      <c r="BL167" s="17" t="s">
        <v>108</v>
      </c>
      <c r="BM167" s="120" t="s">
        <v>211</v>
      </c>
    </row>
    <row r="168" spans="2:65" s="1" customFormat="1" x14ac:dyDescent="0.2">
      <c r="B168" s="28"/>
      <c r="D168" s="122" t="s">
        <v>110</v>
      </c>
      <c r="F168" s="123" t="s">
        <v>212</v>
      </c>
      <c r="L168" s="28"/>
      <c r="M168" s="124"/>
      <c r="T168" s="48"/>
      <c r="W168"/>
      <c r="X168"/>
      <c r="Y168"/>
      <c r="AT168" s="17" t="s">
        <v>110</v>
      </c>
      <c r="AU168" s="17" t="s">
        <v>65</v>
      </c>
    </row>
    <row r="169" spans="2:65" s="1" customFormat="1" ht="66.75" customHeight="1" x14ac:dyDescent="0.2">
      <c r="B169" s="109"/>
      <c r="C169" s="110" t="s">
        <v>7</v>
      </c>
      <c r="D169" s="110" t="s">
        <v>103</v>
      </c>
      <c r="E169" s="111" t="s">
        <v>213</v>
      </c>
      <c r="F169" s="112" t="s">
        <v>214</v>
      </c>
      <c r="G169" s="113" t="s">
        <v>130</v>
      </c>
      <c r="H169" s="114">
        <f>785.049*0.18</f>
        <v>141.30882</v>
      </c>
      <c r="I169" s="115">
        <v>0</v>
      </c>
      <c r="J169" s="115">
        <f>ROUND(I169*H169,2)</f>
        <v>0</v>
      </c>
      <c r="K169" s="112" t="s">
        <v>107</v>
      </c>
      <c r="L169" s="28"/>
      <c r="M169" s="116" t="s">
        <v>1</v>
      </c>
      <c r="N169" s="117" t="s">
        <v>39</v>
      </c>
      <c r="O169" s="118">
        <v>6.0000000000000001E-3</v>
      </c>
      <c r="P169" s="118">
        <f>O169*H169</f>
        <v>0.84785292000000001</v>
      </c>
      <c r="Q169" s="118">
        <v>0</v>
      </c>
      <c r="R169" s="118">
        <f>Q169*H169</f>
        <v>0</v>
      </c>
      <c r="S169" s="118">
        <v>0</v>
      </c>
      <c r="T169" s="119">
        <f>S169*H169</f>
        <v>0</v>
      </c>
      <c r="W169"/>
      <c r="X169"/>
      <c r="Y169"/>
      <c r="AR169" s="120" t="s">
        <v>108</v>
      </c>
      <c r="AT169" s="120" t="s">
        <v>103</v>
      </c>
      <c r="AU169" s="120" t="s">
        <v>65</v>
      </c>
      <c r="AY169" s="17" t="s">
        <v>101</v>
      </c>
      <c r="BE169" s="121">
        <f>IF(N169="základní",J169,0)</f>
        <v>0</v>
      </c>
      <c r="BF169" s="121">
        <f>IF(N169="snížená",J169,0)</f>
        <v>0</v>
      </c>
      <c r="BG169" s="121">
        <f>IF(N169="zákl. přenesená",J169,0)</f>
        <v>0</v>
      </c>
      <c r="BH169" s="121">
        <f>IF(N169="sníž. přenesená",J169,0)</f>
        <v>0</v>
      </c>
      <c r="BI169" s="121">
        <f>IF(N169="nulová",J169,0)</f>
        <v>0</v>
      </c>
      <c r="BJ169" s="17" t="s">
        <v>63</v>
      </c>
      <c r="BK169" s="121">
        <f>ROUND(I169*H169,2)</f>
        <v>0</v>
      </c>
      <c r="BL169" s="17" t="s">
        <v>108</v>
      </c>
      <c r="BM169" s="120" t="s">
        <v>215</v>
      </c>
    </row>
    <row r="170" spans="2:65" s="1" customFormat="1" x14ac:dyDescent="0.2">
      <c r="B170" s="28"/>
      <c r="D170" s="122" t="s">
        <v>110</v>
      </c>
      <c r="F170" s="123" t="s">
        <v>216</v>
      </c>
      <c r="L170" s="28"/>
      <c r="M170" s="124"/>
      <c r="T170" s="48"/>
      <c r="W170"/>
      <c r="X170"/>
      <c r="Y170"/>
      <c r="AT170" s="17" t="s">
        <v>110</v>
      </c>
      <c r="AU170" s="17" t="s">
        <v>65</v>
      </c>
    </row>
    <row r="171" spans="2:65" s="13" customFormat="1" x14ac:dyDescent="0.2">
      <c r="B171" s="131"/>
      <c r="D171" s="126" t="s">
        <v>112</v>
      </c>
      <c r="E171" s="132" t="s">
        <v>1</v>
      </c>
      <c r="F171" s="133" t="s">
        <v>1837</v>
      </c>
      <c r="H171" s="134">
        <f>785.049*0.18</f>
        <v>141.30882</v>
      </c>
      <c r="L171" s="131"/>
      <c r="M171" s="135"/>
      <c r="T171" s="136"/>
      <c r="W171"/>
      <c r="X171"/>
      <c r="Y171"/>
      <c r="AT171" s="132" t="s">
        <v>112</v>
      </c>
      <c r="AU171" s="132" t="s">
        <v>65</v>
      </c>
      <c r="AV171" s="13" t="s">
        <v>65</v>
      </c>
      <c r="AW171" s="13" t="s">
        <v>30</v>
      </c>
      <c r="AX171" s="13" t="s">
        <v>63</v>
      </c>
      <c r="AY171" s="132" t="s">
        <v>101</v>
      </c>
    </row>
    <row r="172" spans="2:65" s="1" customFormat="1" ht="44.25" customHeight="1" x14ac:dyDescent="0.2">
      <c r="B172" s="109"/>
      <c r="C172" s="110" t="s">
        <v>218</v>
      </c>
      <c r="D172" s="110" t="s">
        <v>103</v>
      </c>
      <c r="E172" s="111" t="s">
        <v>219</v>
      </c>
      <c r="F172" s="112" t="s">
        <v>220</v>
      </c>
      <c r="G172" s="113" t="s">
        <v>130</v>
      </c>
      <c r="H172" s="114">
        <f>1153.362*0.18</f>
        <v>207.60516000000001</v>
      </c>
      <c r="I172" s="115">
        <v>0</v>
      </c>
      <c r="J172" s="115">
        <f>ROUND(I172*H172,2)</f>
        <v>0</v>
      </c>
      <c r="K172" s="112" t="s">
        <v>107</v>
      </c>
      <c r="L172" s="28"/>
      <c r="M172" s="116" t="s">
        <v>1</v>
      </c>
      <c r="N172" s="117" t="s">
        <v>39</v>
      </c>
      <c r="O172" s="118">
        <v>7.1999999999999995E-2</v>
      </c>
      <c r="P172" s="118">
        <f>O172*H172</f>
        <v>14.94757152</v>
      </c>
      <c r="Q172" s="118">
        <v>0</v>
      </c>
      <c r="R172" s="118">
        <f>Q172*H172</f>
        <v>0</v>
      </c>
      <c r="S172" s="118">
        <v>0</v>
      </c>
      <c r="T172" s="119">
        <f>S172*H172</f>
        <v>0</v>
      </c>
      <c r="W172"/>
      <c r="X172"/>
      <c r="Y172"/>
      <c r="AR172" s="120" t="s">
        <v>108</v>
      </c>
      <c r="AT172" s="120" t="s">
        <v>103</v>
      </c>
      <c r="AU172" s="120" t="s">
        <v>65</v>
      </c>
      <c r="AY172" s="17" t="s">
        <v>101</v>
      </c>
      <c r="BE172" s="121">
        <f>IF(N172="základní",J172,0)</f>
        <v>0</v>
      </c>
      <c r="BF172" s="121">
        <f>IF(N172="snížená",J172,0)</f>
        <v>0</v>
      </c>
      <c r="BG172" s="121">
        <f>IF(N172="zákl. přenesená",J172,0)</f>
        <v>0</v>
      </c>
      <c r="BH172" s="121">
        <f>IF(N172="sníž. přenesená",J172,0)</f>
        <v>0</v>
      </c>
      <c r="BI172" s="121">
        <f>IF(N172="nulová",J172,0)</f>
        <v>0</v>
      </c>
      <c r="BJ172" s="17" t="s">
        <v>63</v>
      </c>
      <c r="BK172" s="121">
        <f>ROUND(I172*H172,2)</f>
        <v>0</v>
      </c>
      <c r="BL172" s="17" t="s">
        <v>108</v>
      </c>
      <c r="BM172" s="120" t="s">
        <v>221</v>
      </c>
    </row>
    <row r="173" spans="2:65" s="1" customFormat="1" x14ac:dyDescent="0.2">
      <c r="B173" s="28"/>
      <c r="D173" s="122" t="s">
        <v>110</v>
      </c>
      <c r="F173" s="123" t="s">
        <v>222</v>
      </c>
      <c r="L173" s="28"/>
      <c r="M173" s="124"/>
      <c r="T173" s="48"/>
      <c r="W173"/>
      <c r="X173"/>
      <c r="Y173"/>
      <c r="AT173" s="17" t="s">
        <v>110</v>
      </c>
      <c r="AU173" s="17" t="s">
        <v>65</v>
      </c>
    </row>
    <row r="174" spans="2:65" s="13" customFormat="1" x14ac:dyDescent="0.2">
      <c r="B174" s="131"/>
      <c r="D174" s="126" t="s">
        <v>112</v>
      </c>
      <c r="E174" s="132" t="s">
        <v>1</v>
      </c>
      <c r="F174" s="133" t="s">
        <v>190</v>
      </c>
      <c r="H174" s="134">
        <v>445.56599999999997</v>
      </c>
      <c r="L174" s="131"/>
      <c r="M174" s="135"/>
      <c r="T174" s="136"/>
      <c r="W174"/>
      <c r="X174"/>
      <c r="Y174"/>
      <c r="AT174" s="132" t="s">
        <v>112</v>
      </c>
      <c r="AU174" s="132" t="s">
        <v>65</v>
      </c>
      <c r="AV174" s="13" t="s">
        <v>65</v>
      </c>
      <c r="AW174" s="13" t="s">
        <v>30</v>
      </c>
      <c r="AX174" s="13" t="s">
        <v>55</v>
      </c>
      <c r="AY174" s="132" t="s">
        <v>101</v>
      </c>
    </row>
    <row r="175" spans="2:65" s="13" customFormat="1" x14ac:dyDescent="0.2">
      <c r="B175" s="131"/>
      <c r="D175" s="126" t="s">
        <v>112</v>
      </c>
      <c r="E175" s="132" t="s">
        <v>1</v>
      </c>
      <c r="F175" s="133" t="s">
        <v>191</v>
      </c>
      <c r="H175" s="134">
        <v>490.31099999999998</v>
      </c>
      <c r="L175" s="131"/>
      <c r="M175" s="135"/>
      <c r="T175" s="136"/>
      <c r="W175"/>
      <c r="X175"/>
      <c r="Y175"/>
      <c r="AT175" s="132" t="s">
        <v>112</v>
      </c>
      <c r="AU175" s="132" t="s">
        <v>65</v>
      </c>
      <c r="AV175" s="13" t="s">
        <v>65</v>
      </c>
      <c r="AW175" s="13" t="s">
        <v>30</v>
      </c>
      <c r="AX175" s="13" t="s">
        <v>55</v>
      </c>
      <c r="AY175" s="132" t="s">
        <v>101</v>
      </c>
    </row>
    <row r="176" spans="2:65" s="13" customFormat="1" x14ac:dyDescent="0.2">
      <c r="B176" s="131"/>
      <c r="D176" s="126" t="s">
        <v>112</v>
      </c>
      <c r="E176" s="132" t="s">
        <v>1</v>
      </c>
      <c r="F176" s="133" t="s">
        <v>192</v>
      </c>
      <c r="H176" s="134">
        <v>217.48500000000001</v>
      </c>
      <c r="L176" s="131"/>
      <c r="M176" s="135"/>
      <c r="T176" s="136"/>
      <c r="W176"/>
      <c r="X176"/>
      <c r="Y176"/>
      <c r="AT176" s="132" t="s">
        <v>112</v>
      </c>
      <c r="AU176" s="132" t="s">
        <v>65</v>
      </c>
      <c r="AV176" s="13" t="s">
        <v>65</v>
      </c>
      <c r="AW176" s="13" t="s">
        <v>30</v>
      </c>
      <c r="AX176" s="13" t="s">
        <v>55</v>
      </c>
      <c r="AY176" s="132" t="s">
        <v>101</v>
      </c>
    </row>
    <row r="177" spans="2:65" s="14" customFormat="1" x14ac:dyDescent="0.2">
      <c r="B177" s="137"/>
      <c r="D177" s="126" t="s">
        <v>112</v>
      </c>
      <c r="E177" s="138" t="s">
        <v>1</v>
      </c>
      <c r="F177" s="139" t="s">
        <v>127</v>
      </c>
      <c r="H177" s="140">
        <v>1153.3620000000001</v>
      </c>
      <c r="L177" s="137"/>
      <c r="M177" s="141"/>
      <c r="T177" s="142"/>
      <c r="W177"/>
      <c r="X177"/>
      <c r="Y177"/>
      <c r="AT177" s="138" t="s">
        <v>112</v>
      </c>
      <c r="AU177" s="138" t="s">
        <v>65</v>
      </c>
      <c r="AV177" s="14" t="s">
        <v>108</v>
      </c>
      <c r="AW177" s="14" t="s">
        <v>30</v>
      </c>
      <c r="AX177" s="14" t="s">
        <v>63</v>
      </c>
      <c r="AY177" s="138" t="s">
        <v>101</v>
      </c>
    </row>
    <row r="178" spans="2:65" s="14" customFormat="1" x14ac:dyDescent="0.2">
      <c r="B178" s="137"/>
      <c r="D178" s="126"/>
      <c r="E178" s="138"/>
      <c r="F178" s="139" t="s">
        <v>1834</v>
      </c>
      <c r="H178" s="140">
        <f>1153.362*0.18</f>
        <v>207.60516000000001</v>
      </c>
      <c r="L178" s="137"/>
      <c r="M178" s="141"/>
      <c r="T178" s="142"/>
      <c r="W178"/>
      <c r="X178"/>
      <c r="Y178"/>
      <c r="AT178" s="138"/>
      <c r="AU178" s="138"/>
      <c r="AY178" s="138"/>
    </row>
    <row r="179" spans="2:65" s="1" customFormat="1" ht="44.25" customHeight="1" x14ac:dyDescent="0.2">
      <c r="B179" s="109"/>
      <c r="C179" s="110" t="s">
        <v>223</v>
      </c>
      <c r="D179" s="110" t="s">
        <v>103</v>
      </c>
      <c r="E179" s="111" t="s">
        <v>224</v>
      </c>
      <c r="F179" s="112" t="s">
        <v>225</v>
      </c>
      <c r="G179" s="113" t="s">
        <v>130</v>
      </c>
      <c r="H179" s="114">
        <f>261.683*0.18</f>
        <v>47.102939999999997</v>
      </c>
      <c r="I179" s="115">
        <v>0</v>
      </c>
      <c r="J179" s="115">
        <f>ROUND(I179*H179,2)</f>
        <v>0</v>
      </c>
      <c r="K179" s="112" t="s">
        <v>107</v>
      </c>
      <c r="L179" s="28"/>
      <c r="M179" s="116" t="s">
        <v>1</v>
      </c>
      <c r="N179" s="117" t="s">
        <v>39</v>
      </c>
      <c r="O179" s="118">
        <v>9.6000000000000002E-2</v>
      </c>
      <c r="P179" s="118">
        <f>O179*H179</f>
        <v>4.5218822400000001</v>
      </c>
      <c r="Q179" s="118">
        <v>0</v>
      </c>
      <c r="R179" s="118">
        <f>Q179*H179</f>
        <v>0</v>
      </c>
      <c r="S179" s="118">
        <v>0</v>
      </c>
      <c r="T179" s="119">
        <f>S179*H179</f>
        <v>0</v>
      </c>
      <c r="W179"/>
      <c r="X179"/>
      <c r="Y179"/>
      <c r="AR179" s="120" t="s">
        <v>108</v>
      </c>
      <c r="AT179" s="120" t="s">
        <v>103</v>
      </c>
      <c r="AU179" s="120" t="s">
        <v>65</v>
      </c>
      <c r="AY179" s="17" t="s">
        <v>101</v>
      </c>
      <c r="BE179" s="121">
        <f>IF(N179="základní",J179,0)</f>
        <v>0</v>
      </c>
      <c r="BF179" s="121">
        <f>IF(N179="snížená",J179,0)</f>
        <v>0</v>
      </c>
      <c r="BG179" s="121">
        <f>IF(N179="zákl. přenesená",J179,0)</f>
        <v>0</v>
      </c>
      <c r="BH179" s="121">
        <f>IF(N179="sníž. přenesená",J179,0)</f>
        <v>0</v>
      </c>
      <c r="BI179" s="121">
        <f>IF(N179="nulová",J179,0)</f>
        <v>0</v>
      </c>
      <c r="BJ179" s="17" t="s">
        <v>63</v>
      </c>
      <c r="BK179" s="121">
        <f>ROUND(I179*H179,2)</f>
        <v>0</v>
      </c>
      <c r="BL179" s="17" t="s">
        <v>108</v>
      </c>
      <c r="BM179" s="120" t="s">
        <v>226</v>
      </c>
    </row>
    <row r="180" spans="2:65" s="1" customFormat="1" x14ac:dyDescent="0.2">
      <c r="B180" s="28"/>
      <c r="D180" s="122" t="s">
        <v>110</v>
      </c>
      <c r="F180" s="123" t="s">
        <v>227</v>
      </c>
      <c r="L180" s="28"/>
      <c r="M180" s="124"/>
      <c r="T180" s="48"/>
      <c r="W180"/>
      <c r="X180"/>
      <c r="Y180"/>
      <c r="AT180" s="17" t="s">
        <v>110</v>
      </c>
      <c r="AU180" s="17" t="s">
        <v>65</v>
      </c>
    </row>
    <row r="181" spans="2:65" s="1" customFormat="1" ht="44.25" customHeight="1" x14ac:dyDescent="0.2">
      <c r="B181" s="109"/>
      <c r="C181" s="110" t="s">
        <v>228</v>
      </c>
      <c r="D181" s="110" t="s">
        <v>103</v>
      </c>
      <c r="E181" s="111" t="s">
        <v>229</v>
      </c>
      <c r="F181" s="112" t="s">
        <v>230</v>
      </c>
      <c r="G181" s="113" t="s">
        <v>231</v>
      </c>
      <c r="H181" s="114">
        <f>1285.717*0.18</f>
        <v>231.42906000000002</v>
      </c>
      <c r="I181" s="115">
        <v>0</v>
      </c>
      <c r="J181" s="115">
        <f>ROUND(I181*H181,2)</f>
        <v>0</v>
      </c>
      <c r="K181" s="112" t="s">
        <v>107</v>
      </c>
      <c r="L181" s="28"/>
      <c r="M181" s="116" t="s">
        <v>1</v>
      </c>
      <c r="N181" s="117" t="s">
        <v>39</v>
      </c>
      <c r="O181" s="118">
        <v>0</v>
      </c>
      <c r="P181" s="118">
        <f>O181*H181</f>
        <v>0</v>
      </c>
      <c r="Q181" s="118">
        <v>0</v>
      </c>
      <c r="R181" s="118">
        <f>Q181*H181</f>
        <v>0</v>
      </c>
      <c r="S181" s="118">
        <v>0</v>
      </c>
      <c r="T181" s="119">
        <f>S181*H181</f>
        <v>0</v>
      </c>
      <c r="W181"/>
      <c r="X181"/>
      <c r="Y181"/>
      <c r="AR181" s="120" t="s">
        <v>108</v>
      </c>
      <c r="AT181" s="120" t="s">
        <v>103</v>
      </c>
      <c r="AU181" s="120" t="s">
        <v>65</v>
      </c>
      <c r="AY181" s="17" t="s">
        <v>101</v>
      </c>
      <c r="BE181" s="121">
        <f>IF(N181="základní",J181,0)</f>
        <v>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7" t="s">
        <v>63</v>
      </c>
      <c r="BK181" s="121">
        <f>ROUND(I181*H181,2)</f>
        <v>0</v>
      </c>
      <c r="BL181" s="17" t="s">
        <v>108</v>
      </c>
      <c r="BM181" s="120" t="s">
        <v>232</v>
      </c>
    </row>
    <row r="182" spans="2:65" s="1" customFormat="1" x14ac:dyDescent="0.2">
      <c r="B182" s="28"/>
      <c r="D182" s="122" t="s">
        <v>110</v>
      </c>
      <c r="F182" s="123" t="s">
        <v>233</v>
      </c>
      <c r="L182" s="28"/>
      <c r="M182" s="124"/>
      <c r="T182" s="48"/>
      <c r="W182"/>
      <c r="X182"/>
      <c r="Y182"/>
      <c r="AT182" s="17" t="s">
        <v>110</v>
      </c>
      <c r="AU182" s="17" t="s">
        <v>65</v>
      </c>
    </row>
    <row r="183" spans="2:65" s="13" customFormat="1" x14ac:dyDescent="0.2">
      <c r="B183" s="131"/>
      <c r="D183" s="126" t="s">
        <v>112</v>
      </c>
      <c r="F183" s="133" t="s">
        <v>1847</v>
      </c>
      <c r="H183" s="134">
        <f>1285.717*0.18</f>
        <v>231.42906000000002</v>
      </c>
      <c r="L183" s="131"/>
      <c r="M183" s="135"/>
      <c r="T183" s="136"/>
      <c r="W183"/>
      <c r="X183"/>
      <c r="Y183"/>
      <c r="AT183" s="132" t="s">
        <v>112</v>
      </c>
      <c r="AU183" s="132" t="s">
        <v>65</v>
      </c>
      <c r="AV183" s="13" t="s">
        <v>65</v>
      </c>
      <c r="AW183" s="13" t="s">
        <v>2</v>
      </c>
      <c r="AX183" s="13" t="s">
        <v>63</v>
      </c>
      <c r="AY183" s="132" t="s">
        <v>101</v>
      </c>
    </row>
    <row r="184" spans="2:65" s="1" customFormat="1" ht="37.9" customHeight="1" x14ac:dyDescent="0.2">
      <c r="B184" s="109"/>
      <c r="C184" s="110" t="s">
        <v>234</v>
      </c>
      <c r="D184" s="110" t="s">
        <v>103</v>
      </c>
      <c r="E184" s="111" t="s">
        <v>235</v>
      </c>
      <c r="F184" s="112" t="s">
        <v>236</v>
      </c>
      <c r="G184" s="113" t="s">
        <v>130</v>
      </c>
      <c r="H184" s="114">
        <f>707.249*0.18</f>
        <v>127.30482000000001</v>
      </c>
      <c r="I184" s="115">
        <v>0</v>
      </c>
      <c r="J184" s="115">
        <f>ROUND(I184*H184,2)</f>
        <v>0</v>
      </c>
      <c r="K184" s="112" t="s">
        <v>107</v>
      </c>
      <c r="L184" s="28"/>
      <c r="M184" s="116" t="s">
        <v>1</v>
      </c>
      <c r="N184" s="117" t="s">
        <v>39</v>
      </c>
      <c r="O184" s="118">
        <v>8.9999999999999993E-3</v>
      </c>
      <c r="P184" s="118">
        <f>O184*H184</f>
        <v>1.1457433799999999</v>
      </c>
      <c r="Q184" s="118">
        <v>0</v>
      </c>
      <c r="R184" s="118">
        <f>Q184*H184</f>
        <v>0</v>
      </c>
      <c r="S184" s="118">
        <v>0</v>
      </c>
      <c r="T184" s="119">
        <f>S184*H184</f>
        <v>0</v>
      </c>
      <c r="W184"/>
      <c r="X184"/>
      <c r="Y184"/>
      <c r="AR184" s="120" t="s">
        <v>108</v>
      </c>
      <c r="AT184" s="120" t="s">
        <v>103</v>
      </c>
      <c r="AU184" s="120" t="s">
        <v>65</v>
      </c>
      <c r="AY184" s="17" t="s">
        <v>101</v>
      </c>
      <c r="BE184" s="121">
        <f>IF(N184="základní",J184,0)</f>
        <v>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7" t="s">
        <v>63</v>
      </c>
      <c r="BK184" s="121">
        <f>ROUND(I184*H184,2)</f>
        <v>0</v>
      </c>
      <c r="BL184" s="17" t="s">
        <v>108</v>
      </c>
      <c r="BM184" s="120" t="s">
        <v>237</v>
      </c>
    </row>
    <row r="185" spans="2:65" s="1" customFormat="1" x14ac:dyDescent="0.2">
      <c r="B185" s="28"/>
      <c r="D185" s="122" t="s">
        <v>110</v>
      </c>
      <c r="F185" s="123" t="s">
        <v>238</v>
      </c>
      <c r="L185" s="28"/>
      <c r="M185" s="124"/>
      <c r="T185" s="48"/>
      <c r="W185"/>
      <c r="X185"/>
      <c r="Y185"/>
      <c r="AT185" s="17" t="s">
        <v>110</v>
      </c>
      <c r="AU185" s="17" t="s">
        <v>65</v>
      </c>
    </row>
    <row r="186" spans="2:65" s="1" customFormat="1" ht="44.25" customHeight="1" x14ac:dyDescent="0.2">
      <c r="B186" s="109"/>
      <c r="C186" s="110" t="s">
        <v>239</v>
      </c>
      <c r="D186" s="110" t="s">
        <v>103</v>
      </c>
      <c r="E186" s="111" t="s">
        <v>240</v>
      </c>
      <c r="F186" s="112" t="s">
        <v>241</v>
      </c>
      <c r="G186" s="113" t="s">
        <v>130</v>
      </c>
      <c r="H186" s="114">
        <f>490.311*0.18</f>
        <v>88.255979999999994</v>
      </c>
      <c r="I186" s="115">
        <v>0</v>
      </c>
      <c r="J186" s="115">
        <f>ROUND(I186*H186,2)</f>
        <v>0</v>
      </c>
      <c r="K186" s="112" t="s">
        <v>107</v>
      </c>
      <c r="L186" s="28"/>
      <c r="M186" s="116" t="s">
        <v>1</v>
      </c>
      <c r="N186" s="117" t="s">
        <v>39</v>
      </c>
      <c r="O186" s="118">
        <v>0.32800000000000001</v>
      </c>
      <c r="P186" s="118">
        <f>O186*H186</f>
        <v>28.94796144</v>
      </c>
      <c r="Q186" s="118">
        <v>0</v>
      </c>
      <c r="R186" s="118">
        <f>Q186*H186</f>
        <v>0</v>
      </c>
      <c r="S186" s="118">
        <v>0</v>
      </c>
      <c r="T186" s="119">
        <f>S186*H186</f>
        <v>0</v>
      </c>
      <c r="W186"/>
      <c r="X186"/>
      <c r="Y186"/>
      <c r="AR186" s="120" t="s">
        <v>108</v>
      </c>
      <c r="AT186" s="120" t="s">
        <v>103</v>
      </c>
      <c r="AU186" s="120" t="s">
        <v>65</v>
      </c>
      <c r="AY186" s="17" t="s">
        <v>101</v>
      </c>
      <c r="BE186" s="121">
        <f>IF(N186="základní",J186,0)</f>
        <v>0</v>
      </c>
      <c r="BF186" s="121">
        <f>IF(N186="snížená",J186,0)</f>
        <v>0</v>
      </c>
      <c r="BG186" s="121">
        <f>IF(N186="zákl. přenesená",J186,0)</f>
        <v>0</v>
      </c>
      <c r="BH186" s="121">
        <f>IF(N186="sníž. přenesená",J186,0)</f>
        <v>0</v>
      </c>
      <c r="BI186" s="121">
        <f>IF(N186="nulová",J186,0)</f>
        <v>0</v>
      </c>
      <c r="BJ186" s="17" t="s">
        <v>63</v>
      </c>
      <c r="BK186" s="121">
        <f>ROUND(I186*H186,2)</f>
        <v>0</v>
      </c>
      <c r="BL186" s="17" t="s">
        <v>108</v>
      </c>
      <c r="BM186" s="120" t="s">
        <v>242</v>
      </c>
    </row>
    <row r="187" spans="2:65" s="1" customFormat="1" x14ac:dyDescent="0.2">
      <c r="B187" s="28"/>
      <c r="D187" s="122" t="s">
        <v>110</v>
      </c>
      <c r="F187" s="123" t="s">
        <v>243</v>
      </c>
      <c r="L187" s="28"/>
      <c r="M187" s="124"/>
      <c r="T187" s="48"/>
      <c r="W187"/>
      <c r="X187"/>
      <c r="Y187"/>
      <c r="AT187" s="17" t="s">
        <v>110</v>
      </c>
      <c r="AU187" s="17" t="s">
        <v>65</v>
      </c>
    </row>
    <row r="188" spans="2:65" s="12" customFormat="1" ht="22.5" x14ac:dyDescent="0.2">
      <c r="B188" s="125"/>
      <c r="D188" s="126" t="s">
        <v>112</v>
      </c>
      <c r="E188" s="127" t="s">
        <v>1</v>
      </c>
      <c r="F188" s="128" t="s">
        <v>244</v>
      </c>
      <c r="H188" s="127" t="s">
        <v>1</v>
      </c>
      <c r="L188" s="125"/>
      <c r="M188" s="129"/>
      <c r="T188" s="130"/>
      <c r="W188"/>
      <c r="X188"/>
      <c r="Y188"/>
      <c r="AT188" s="127" t="s">
        <v>112</v>
      </c>
      <c r="AU188" s="127" t="s">
        <v>65</v>
      </c>
      <c r="AV188" s="12" t="s">
        <v>63</v>
      </c>
      <c r="AW188" s="12" t="s">
        <v>30</v>
      </c>
      <c r="AX188" s="12" t="s">
        <v>55</v>
      </c>
      <c r="AY188" s="127" t="s">
        <v>101</v>
      </c>
    </row>
    <row r="189" spans="2:65" s="13" customFormat="1" x14ac:dyDescent="0.2">
      <c r="B189" s="131"/>
      <c r="D189" s="126" t="s">
        <v>112</v>
      </c>
      <c r="E189" s="132" t="s">
        <v>1</v>
      </c>
      <c r="F189" s="133" t="s">
        <v>245</v>
      </c>
      <c r="H189" s="134">
        <v>451.03800000000001</v>
      </c>
      <c r="L189" s="131"/>
      <c r="M189" s="135"/>
      <c r="T189" s="136"/>
      <c r="W189"/>
      <c r="X189"/>
      <c r="Y189"/>
      <c r="AT189" s="132" t="s">
        <v>112</v>
      </c>
      <c r="AU189" s="132" t="s">
        <v>65</v>
      </c>
      <c r="AV189" s="13" t="s">
        <v>65</v>
      </c>
      <c r="AW189" s="13" t="s">
        <v>30</v>
      </c>
      <c r="AX189" s="13" t="s">
        <v>55</v>
      </c>
      <c r="AY189" s="132" t="s">
        <v>101</v>
      </c>
    </row>
    <row r="190" spans="2:65" s="13" customFormat="1" x14ac:dyDescent="0.2">
      <c r="B190" s="131"/>
      <c r="D190" s="126" t="s">
        <v>112</v>
      </c>
      <c r="E190" s="132" t="s">
        <v>1</v>
      </c>
      <c r="F190" s="133" t="s">
        <v>246</v>
      </c>
      <c r="H190" s="134">
        <v>3.2250000000000001</v>
      </c>
      <c r="L190" s="131"/>
      <c r="M190" s="135"/>
      <c r="T190" s="136"/>
      <c r="W190"/>
      <c r="X190"/>
      <c r="Y190"/>
      <c r="AT190" s="132" t="s">
        <v>112</v>
      </c>
      <c r="AU190" s="132" t="s">
        <v>65</v>
      </c>
      <c r="AV190" s="13" t="s">
        <v>65</v>
      </c>
      <c r="AW190" s="13" t="s">
        <v>30</v>
      </c>
      <c r="AX190" s="13" t="s">
        <v>55</v>
      </c>
      <c r="AY190" s="132" t="s">
        <v>101</v>
      </c>
    </row>
    <row r="191" spans="2:65" s="13" customFormat="1" x14ac:dyDescent="0.2">
      <c r="B191" s="131"/>
      <c r="D191" s="126" t="s">
        <v>112</v>
      </c>
      <c r="E191" s="132" t="s">
        <v>1</v>
      </c>
      <c r="F191" s="133" t="s">
        <v>247</v>
      </c>
      <c r="H191" s="134">
        <v>12.987</v>
      </c>
      <c r="L191" s="131"/>
      <c r="M191" s="135"/>
      <c r="T191" s="136"/>
      <c r="W191"/>
      <c r="X191"/>
      <c r="Y191"/>
      <c r="AT191" s="132" t="s">
        <v>112</v>
      </c>
      <c r="AU191" s="132" t="s">
        <v>65</v>
      </c>
      <c r="AV191" s="13" t="s">
        <v>65</v>
      </c>
      <c r="AW191" s="13" t="s">
        <v>30</v>
      </c>
      <c r="AX191" s="13" t="s">
        <v>55</v>
      </c>
      <c r="AY191" s="132" t="s">
        <v>101</v>
      </c>
    </row>
    <row r="192" spans="2:65" s="13" customFormat="1" x14ac:dyDescent="0.2">
      <c r="B192" s="131"/>
      <c r="D192" s="126" t="s">
        <v>112</v>
      </c>
      <c r="E192" s="132" t="s">
        <v>1</v>
      </c>
      <c r="F192" s="133" t="s">
        <v>248</v>
      </c>
      <c r="H192" s="134">
        <v>1.6240000000000001</v>
      </c>
      <c r="L192" s="131"/>
      <c r="M192" s="135"/>
      <c r="T192" s="136"/>
      <c r="W192"/>
      <c r="X192"/>
      <c r="Y192"/>
      <c r="AT192" s="132" t="s">
        <v>112</v>
      </c>
      <c r="AU192" s="132" t="s">
        <v>65</v>
      </c>
      <c r="AV192" s="13" t="s">
        <v>65</v>
      </c>
      <c r="AW192" s="13" t="s">
        <v>30</v>
      </c>
      <c r="AX192" s="13" t="s">
        <v>55</v>
      </c>
      <c r="AY192" s="132" t="s">
        <v>101</v>
      </c>
    </row>
    <row r="193" spans="2:65" s="13" customFormat="1" x14ac:dyDescent="0.2">
      <c r="B193" s="131"/>
      <c r="D193" s="126" t="s">
        <v>112</v>
      </c>
      <c r="E193" s="132" t="s">
        <v>1</v>
      </c>
      <c r="F193" s="133" t="s">
        <v>249</v>
      </c>
      <c r="H193" s="134">
        <v>14.679</v>
      </c>
      <c r="L193" s="131"/>
      <c r="M193" s="135"/>
      <c r="T193" s="136"/>
      <c r="W193"/>
      <c r="X193"/>
      <c r="Y193"/>
      <c r="AT193" s="132" t="s">
        <v>112</v>
      </c>
      <c r="AU193" s="132" t="s">
        <v>65</v>
      </c>
      <c r="AV193" s="13" t="s">
        <v>65</v>
      </c>
      <c r="AW193" s="13" t="s">
        <v>30</v>
      </c>
      <c r="AX193" s="13" t="s">
        <v>55</v>
      </c>
      <c r="AY193" s="132" t="s">
        <v>101</v>
      </c>
    </row>
    <row r="194" spans="2:65" s="13" customFormat="1" x14ac:dyDescent="0.2">
      <c r="B194" s="131"/>
      <c r="D194" s="126" t="s">
        <v>112</v>
      </c>
      <c r="E194" s="132" t="s">
        <v>1</v>
      </c>
      <c r="F194" s="133" t="s">
        <v>250</v>
      </c>
      <c r="H194" s="134">
        <v>1.68</v>
      </c>
      <c r="L194" s="131"/>
      <c r="M194" s="135"/>
      <c r="T194" s="136"/>
      <c r="W194"/>
      <c r="X194"/>
      <c r="Y194"/>
      <c r="AT194" s="132" t="s">
        <v>112</v>
      </c>
      <c r="AU194" s="132" t="s">
        <v>65</v>
      </c>
      <c r="AV194" s="13" t="s">
        <v>65</v>
      </c>
      <c r="AW194" s="13" t="s">
        <v>30</v>
      </c>
      <c r="AX194" s="13" t="s">
        <v>55</v>
      </c>
      <c r="AY194" s="132" t="s">
        <v>101</v>
      </c>
    </row>
    <row r="195" spans="2:65" s="13" customFormat="1" x14ac:dyDescent="0.2">
      <c r="B195" s="131"/>
      <c r="D195" s="126" t="s">
        <v>112</v>
      </c>
      <c r="E195" s="132" t="s">
        <v>1</v>
      </c>
      <c r="F195" s="133" t="s">
        <v>251</v>
      </c>
      <c r="H195" s="134">
        <v>5.0780000000000003</v>
      </c>
      <c r="L195" s="131"/>
      <c r="M195" s="135"/>
      <c r="T195" s="136"/>
      <c r="W195"/>
      <c r="X195"/>
      <c r="Y195"/>
      <c r="AT195" s="132" t="s">
        <v>112</v>
      </c>
      <c r="AU195" s="132" t="s">
        <v>65</v>
      </c>
      <c r="AV195" s="13" t="s">
        <v>65</v>
      </c>
      <c r="AW195" s="13" t="s">
        <v>30</v>
      </c>
      <c r="AX195" s="13" t="s">
        <v>55</v>
      </c>
      <c r="AY195" s="132" t="s">
        <v>101</v>
      </c>
    </row>
    <row r="196" spans="2:65" s="14" customFormat="1" x14ac:dyDescent="0.2">
      <c r="B196" s="137"/>
      <c r="D196" s="126" t="s">
        <v>112</v>
      </c>
      <c r="E196" s="138" t="s">
        <v>1</v>
      </c>
      <c r="F196" s="139" t="s">
        <v>127</v>
      </c>
      <c r="H196" s="140">
        <v>490.31099999999998</v>
      </c>
      <c r="L196" s="137"/>
      <c r="M196" s="141"/>
      <c r="T196" s="142"/>
      <c r="W196"/>
      <c r="X196"/>
      <c r="Y196"/>
      <c r="AT196" s="138" t="s">
        <v>112</v>
      </c>
      <c r="AU196" s="138" t="s">
        <v>65</v>
      </c>
      <c r="AV196" s="14" t="s">
        <v>108</v>
      </c>
      <c r="AW196" s="14" t="s">
        <v>30</v>
      </c>
      <c r="AX196" s="14" t="s">
        <v>63</v>
      </c>
      <c r="AY196" s="138" t="s">
        <v>101</v>
      </c>
    </row>
    <row r="197" spans="2:65" s="14" customFormat="1" x14ac:dyDescent="0.2">
      <c r="B197" s="137"/>
      <c r="D197" s="126"/>
      <c r="E197" s="138"/>
      <c r="F197" s="139" t="s">
        <v>1834</v>
      </c>
      <c r="H197" s="140">
        <f>H196*0.18</f>
        <v>88.255979999999994</v>
      </c>
      <c r="L197" s="137"/>
      <c r="M197" s="141"/>
      <c r="T197" s="142"/>
      <c r="W197"/>
      <c r="X197"/>
      <c r="Y197"/>
      <c r="AT197" s="138"/>
      <c r="AU197" s="138"/>
      <c r="AY197" s="138"/>
    </row>
    <row r="198" spans="2:65" s="1" customFormat="1" ht="16.5" customHeight="1" x14ac:dyDescent="0.2">
      <c r="B198" s="109"/>
      <c r="C198" s="143" t="s">
        <v>6</v>
      </c>
      <c r="D198" s="143" t="s">
        <v>252</v>
      </c>
      <c r="E198" s="144" t="s">
        <v>253</v>
      </c>
      <c r="F198" s="145" t="s">
        <v>254</v>
      </c>
      <c r="G198" s="146" t="s">
        <v>231</v>
      </c>
      <c r="H198" s="147">
        <f>882.56*0.18</f>
        <v>158.86079999999998</v>
      </c>
      <c r="I198" s="148">
        <v>0</v>
      </c>
      <c r="J198" s="148">
        <f>ROUND(I198*H198,2)</f>
        <v>0</v>
      </c>
      <c r="K198" s="145" t="s">
        <v>107</v>
      </c>
      <c r="L198" s="149"/>
      <c r="M198" s="150" t="s">
        <v>1</v>
      </c>
      <c r="N198" s="151" t="s">
        <v>39</v>
      </c>
      <c r="O198" s="118">
        <v>0</v>
      </c>
      <c r="P198" s="118">
        <f>O198*H198</f>
        <v>0</v>
      </c>
      <c r="Q198" s="118">
        <v>0</v>
      </c>
      <c r="R198" s="118">
        <f>Q198*H198</f>
        <v>0</v>
      </c>
      <c r="S198" s="118">
        <v>0</v>
      </c>
      <c r="T198" s="119">
        <f>S198*H198</f>
        <v>0</v>
      </c>
      <c r="W198"/>
      <c r="X198"/>
      <c r="Y198"/>
      <c r="AR198" s="120" t="s">
        <v>171</v>
      </c>
      <c r="AT198" s="120" t="s">
        <v>252</v>
      </c>
      <c r="AU198" s="120" t="s">
        <v>65</v>
      </c>
      <c r="AY198" s="17" t="s">
        <v>101</v>
      </c>
      <c r="BE198" s="121">
        <f>IF(N198="základní",J198,0)</f>
        <v>0</v>
      </c>
      <c r="BF198" s="121">
        <f>IF(N198="snížená",J198,0)</f>
        <v>0</v>
      </c>
      <c r="BG198" s="121">
        <f>IF(N198="zákl. přenesená",J198,0)</f>
        <v>0</v>
      </c>
      <c r="BH198" s="121">
        <f>IF(N198="sníž. přenesená",J198,0)</f>
        <v>0</v>
      </c>
      <c r="BI198" s="121">
        <f>IF(N198="nulová",J198,0)</f>
        <v>0</v>
      </c>
      <c r="BJ198" s="17" t="s">
        <v>63</v>
      </c>
      <c r="BK198" s="121">
        <f>ROUND(I198*H198,2)</f>
        <v>0</v>
      </c>
      <c r="BL198" s="17" t="s">
        <v>108</v>
      </c>
      <c r="BM198" s="120" t="s">
        <v>255</v>
      </c>
    </row>
    <row r="199" spans="2:65" s="13" customFormat="1" x14ac:dyDescent="0.2">
      <c r="B199" s="131"/>
      <c r="D199" s="126" t="s">
        <v>112</v>
      </c>
      <c r="F199" s="133" t="s">
        <v>1838</v>
      </c>
      <c r="H199" s="134">
        <f>882.56*0.18</f>
        <v>158.86079999999998</v>
      </c>
      <c r="L199" s="131"/>
      <c r="M199" s="135"/>
      <c r="T199" s="136"/>
      <c r="W199"/>
      <c r="X199"/>
      <c r="Y199"/>
      <c r="AT199" s="132" t="s">
        <v>112</v>
      </c>
      <c r="AU199" s="132" t="s">
        <v>65</v>
      </c>
      <c r="AV199" s="13" t="s">
        <v>65</v>
      </c>
      <c r="AW199" s="13" t="s">
        <v>2</v>
      </c>
      <c r="AX199" s="13" t="s">
        <v>63</v>
      </c>
      <c r="AY199" s="132" t="s">
        <v>101</v>
      </c>
    </row>
    <row r="200" spans="2:65" s="1" customFormat="1" ht="66.75" customHeight="1" x14ac:dyDescent="0.2">
      <c r="B200" s="109"/>
      <c r="C200" s="110" t="s">
        <v>256</v>
      </c>
      <c r="D200" s="110" t="s">
        <v>103</v>
      </c>
      <c r="E200" s="111" t="s">
        <v>257</v>
      </c>
      <c r="F200" s="112" t="s">
        <v>258</v>
      </c>
      <c r="G200" s="113" t="s">
        <v>130</v>
      </c>
      <c r="H200" s="114">
        <f>217.485*0.18</f>
        <v>39.147300000000001</v>
      </c>
      <c r="I200" s="115">
        <v>0</v>
      </c>
      <c r="J200" s="115">
        <f>ROUND(I200*H200,2)</f>
        <v>0</v>
      </c>
      <c r="K200" s="112" t="s">
        <v>107</v>
      </c>
      <c r="L200" s="28"/>
      <c r="M200" s="116" t="s">
        <v>1</v>
      </c>
      <c r="N200" s="117" t="s">
        <v>39</v>
      </c>
      <c r="O200" s="118">
        <v>0.435</v>
      </c>
      <c r="P200" s="118">
        <f>O200*H200</f>
        <v>17.029075500000001</v>
      </c>
      <c r="Q200" s="118">
        <v>0</v>
      </c>
      <c r="R200" s="118">
        <f>Q200*H200</f>
        <v>0</v>
      </c>
      <c r="S200" s="118">
        <v>0</v>
      </c>
      <c r="T200" s="119">
        <f>S200*H200</f>
        <v>0</v>
      </c>
      <c r="W200"/>
      <c r="X200"/>
      <c r="Y200"/>
      <c r="AR200" s="120" t="s">
        <v>108</v>
      </c>
      <c r="AT200" s="120" t="s">
        <v>103</v>
      </c>
      <c r="AU200" s="120" t="s">
        <v>65</v>
      </c>
      <c r="AY200" s="17" t="s">
        <v>101</v>
      </c>
      <c r="BE200" s="121">
        <f>IF(N200="základní",J200,0)</f>
        <v>0</v>
      </c>
      <c r="BF200" s="121">
        <f>IF(N200="snížená",J200,0)</f>
        <v>0</v>
      </c>
      <c r="BG200" s="121">
        <f>IF(N200="zákl. přenesená",J200,0)</f>
        <v>0</v>
      </c>
      <c r="BH200" s="121">
        <f>IF(N200="sníž. přenesená",J200,0)</f>
        <v>0</v>
      </c>
      <c r="BI200" s="121">
        <f>IF(N200="nulová",J200,0)</f>
        <v>0</v>
      </c>
      <c r="BJ200" s="17" t="s">
        <v>63</v>
      </c>
      <c r="BK200" s="121">
        <f>ROUND(I200*H200,2)</f>
        <v>0</v>
      </c>
      <c r="BL200" s="17" t="s">
        <v>108</v>
      </c>
      <c r="BM200" s="120" t="s">
        <v>259</v>
      </c>
    </row>
    <row r="201" spans="2:65" s="1" customFormat="1" x14ac:dyDescent="0.2">
      <c r="B201" s="28"/>
      <c r="D201" s="122" t="s">
        <v>110</v>
      </c>
      <c r="F201" s="123" t="s">
        <v>260</v>
      </c>
      <c r="L201" s="28"/>
      <c r="M201" s="124"/>
      <c r="T201" s="48"/>
      <c r="W201"/>
      <c r="X201"/>
      <c r="Y201"/>
      <c r="AT201" s="17" t="s">
        <v>110</v>
      </c>
      <c r="AU201" s="17" t="s">
        <v>65</v>
      </c>
    </row>
    <row r="202" spans="2:65" s="1" customFormat="1" ht="16.5" customHeight="1" x14ac:dyDescent="0.2">
      <c r="B202" s="109"/>
      <c r="C202" s="143" t="s">
        <v>261</v>
      </c>
      <c r="D202" s="143" t="s">
        <v>252</v>
      </c>
      <c r="E202" s="144" t="s">
        <v>262</v>
      </c>
      <c r="F202" s="145" t="s">
        <v>263</v>
      </c>
      <c r="G202" s="146" t="s">
        <v>231</v>
      </c>
      <c r="H202" s="147">
        <f>391.473*0.18</f>
        <v>70.465140000000005</v>
      </c>
      <c r="I202" s="148">
        <v>0</v>
      </c>
      <c r="J202" s="148">
        <f>ROUND(I202*H202,2)</f>
        <v>0</v>
      </c>
      <c r="K202" s="145" t="s">
        <v>107</v>
      </c>
      <c r="L202" s="149"/>
      <c r="M202" s="150" t="s">
        <v>1</v>
      </c>
      <c r="N202" s="151" t="s">
        <v>39</v>
      </c>
      <c r="O202" s="118">
        <v>0</v>
      </c>
      <c r="P202" s="118">
        <f>O202*H202</f>
        <v>0</v>
      </c>
      <c r="Q202" s="118">
        <v>0</v>
      </c>
      <c r="R202" s="118">
        <f>Q202*H202</f>
        <v>0</v>
      </c>
      <c r="S202" s="118">
        <v>0</v>
      </c>
      <c r="T202" s="119">
        <f>S202*H202</f>
        <v>0</v>
      </c>
      <c r="W202"/>
      <c r="X202"/>
      <c r="Y202"/>
      <c r="AR202" s="120" t="s">
        <v>171</v>
      </c>
      <c r="AT202" s="120" t="s">
        <v>252</v>
      </c>
      <c r="AU202" s="120" t="s">
        <v>65</v>
      </c>
      <c r="AY202" s="17" t="s">
        <v>101</v>
      </c>
      <c r="BE202" s="121">
        <f>IF(N202="základní",J202,0)</f>
        <v>0</v>
      </c>
      <c r="BF202" s="121">
        <f>IF(N202="snížená",J202,0)</f>
        <v>0</v>
      </c>
      <c r="BG202" s="121">
        <f>IF(N202="zákl. přenesená",J202,0)</f>
        <v>0</v>
      </c>
      <c r="BH202" s="121">
        <f>IF(N202="sníž. přenesená",J202,0)</f>
        <v>0</v>
      </c>
      <c r="BI202" s="121">
        <f>IF(N202="nulová",J202,0)</f>
        <v>0</v>
      </c>
      <c r="BJ202" s="17" t="s">
        <v>63</v>
      </c>
      <c r="BK202" s="121">
        <f>ROUND(I202*H202,2)</f>
        <v>0</v>
      </c>
      <c r="BL202" s="17" t="s">
        <v>108</v>
      </c>
      <c r="BM202" s="120" t="s">
        <v>264</v>
      </c>
    </row>
    <row r="203" spans="2:65" s="12" customFormat="1" ht="22.5" x14ac:dyDescent="0.2">
      <c r="B203" s="125"/>
      <c r="D203" s="126" t="s">
        <v>112</v>
      </c>
      <c r="E203" s="127" t="s">
        <v>1</v>
      </c>
      <c r="F203" s="128" t="s">
        <v>265</v>
      </c>
      <c r="H203" s="127" t="s">
        <v>1</v>
      </c>
      <c r="L203" s="125"/>
      <c r="M203" s="129"/>
      <c r="T203" s="130"/>
      <c r="W203"/>
      <c r="X203"/>
      <c r="Y203"/>
      <c r="AT203" s="127" t="s">
        <v>112</v>
      </c>
      <c r="AU203" s="127" t="s">
        <v>65</v>
      </c>
      <c r="AV203" s="12" t="s">
        <v>63</v>
      </c>
      <c r="AW203" s="12" t="s">
        <v>30</v>
      </c>
      <c r="AX203" s="12" t="s">
        <v>55</v>
      </c>
      <c r="AY203" s="127" t="s">
        <v>101</v>
      </c>
    </row>
    <row r="204" spans="2:65" s="13" customFormat="1" x14ac:dyDescent="0.2">
      <c r="B204" s="131"/>
      <c r="D204" s="126" t="s">
        <v>112</v>
      </c>
      <c r="E204" s="132" t="s">
        <v>1</v>
      </c>
      <c r="F204" s="133" t="s">
        <v>266</v>
      </c>
      <c r="H204" s="134">
        <v>199.643</v>
      </c>
      <c r="L204" s="131"/>
      <c r="M204" s="135"/>
      <c r="T204" s="136"/>
      <c r="W204"/>
      <c r="X204"/>
      <c r="Y204"/>
      <c r="AT204" s="132" t="s">
        <v>112</v>
      </c>
      <c r="AU204" s="132" t="s">
        <v>65</v>
      </c>
      <c r="AV204" s="13" t="s">
        <v>65</v>
      </c>
      <c r="AW204" s="13" t="s">
        <v>30</v>
      </c>
      <c r="AX204" s="13" t="s">
        <v>55</v>
      </c>
      <c r="AY204" s="132" t="s">
        <v>101</v>
      </c>
    </row>
    <row r="205" spans="2:65" s="13" customFormat="1" x14ac:dyDescent="0.2">
      <c r="B205" s="131"/>
      <c r="D205" s="126" t="s">
        <v>112</v>
      </c>
      <c r="E205" s="132" t="s">
        <v>1</v>
      </c>
      <c r="F205" s="133" t="s">
        <v>267</v>
      </c>
      <c r="H205" s="134">
        <v>0.94699999999999995</v>
      </c>
      <c r="L205" s="131"/>
      <c r="M205" s="135"/>
      <c r="T205" s="136"/>
      <c r="W205"/>
      <c r="X205"/>
      <c r="Y205"/>
      <c r="AT205" s="132" t="s">
        <v>112</v>
      </c>
      <c r="AU205" s="132" t="s">
        <v>65</v>
      </c>
      <c r="AV205" s="13" t="s">
        <v>65</v>
      </c>
      <c r="AW205" s="13" t="s">
        <v>30</v>
      </c>
      <c r="AX205" s="13" t="s">
        <v>55</v>
      </c>
      <c r="AY205" s="132" t="s">
        <v>101</v>
      </c>
    </row>
    <row r="206" spans="2:65" s="13" customFormat="1" x14ac:dyDescent="0.2">
      <c r="B206" s="131"/>
      <c r="D206" s="126" t="s">
        <v>112</v>
      </c>
      <c r="E206" s="132" t="s">
        <v>1</v>
      </c>
      <c r="F206" s="133" t="s">
        <v>268</v>
      </c>
      <c r="H206" s="134">
        <v>6.0830000000000002</v>
      </c>
      <c r="L206" s="131"/>
      <c r="M206" s="135"/>
      <c r="T206" s="136"/>
      <c r="W206"/>
      <c r="X206"/>
      <c r="Y206"/>
      <c r="AT206" s="132" t="s">
        <v>112</v>
      </c>
      <c r="AU206" s="132" t="s">
        <v>65</v>
      </c>
      <c r="AV206" s="13" t="s">
        <v>65</v>
      </c>
      <c r="AW206" s="13" t="s">
        <v>30</v>
      </c>
      <c r="AX206" s="13" t="s">
        <v>55</v>
      </c>
      <c r="AY206" s="132" t="s">
        <v>101</v>
      </c>
    </row>
    <row r="207" spans="2:65" s="13" customFormat="1" x14ac:dyDescent="0.2">
      <c r="B207" s="131"/>
      <c r="D207" s="126" t="s">
        <v>112</v>
      </c>
      <c r="E207" s="132" t="s">
        <v>1</v>
      </c>
      <c r="F207" s="133" t="s">
        <v>269</v>
      </c>
      <c r="H207" s="134">
        <v>0.66900000000000004</v>
      </c>
      <c r="L207" s="131"/>
      <c r="M207" s="135"/>
      <c r="T207" s="136"/>
      <c r="W207"/>
      <c r="X207"/>
      <c r="Y207"/>
      <c r="AT207" s="132" t="s">
        <v>112</v>
      </c>
      <c r="AU207" s="132" t="s">
        <v>65</v>
      </c>
      <c r="AV207" s="13" t="s">
        <v>65</v>
      </c>
      <c r="AW207" s="13" t="s">
        <v>30</v>
      </c>
      <c r="AX207" s="13" t="s">
        <v>55</v>
      </c>
      <c r="AY207" s="132" t="s">
        <v>101</v>
      </c>
    </row>
    <row r="208" spans="2:65" s="13" customFormat="1" x14ac:dyDescent="0.2">
      <c r="B208" s="131"/>
      <c r="D208" s="126" t="s">
        <v>112</v>
      </c>
      <c r="E208" s="132" t="s">
        <v>1</v>
      </c>
      <c r="F208" s="133" t="s">
        <v>270</v>
      </c>
      <c r="H208" s="134">
        <v>7.0419999999999998</v>
      </c>
      <c r="L208" s="131"/>
      <c r="M208" s="135"/>
      <c r="T208" s="136"/>
      <c r="W208"/>
      <c r="X208"/>
      <c r="Y208"/>
      <c r="AT208" s="132" t="s">
        <v>112</v>
      </c>
      <c r="AU208" s="132" t="s">
        <v>65</v>
      </c>
      <c r="AV208" s="13" t="s">
        <v>65</v>
      </c>
      <c r="AW208" s="13" t="s">
        <v>30</v>
      </c>
      <c r="AX208" s="13" t="s">
        <v>55</v>
      </c>
      <c r="AY208" s="132" t="s">
        <v>101</v>
      </c>
    </row>
    <row r="209" spans="2:65" s="13" customFormat="1" x14ac:dyDescent="0.2">
      <c r="B209" s="131"/>
      <c r="D209" s="126" t="s">
        <v>112</v>
      </c>
      <c r="E209" s="132" t="s">
        <v>1</v>
      </c>
      <c r="F209" s="133" t="s">
        <v>271</v>
      </c>
      <c r="H209" s="134">
        <v>0.87</v>
      </c>
      <c r="L209" s="131"/>
      <c r="M209" s="135"/>
      <c r="T209" s="136"/>
      <c r="W209"/>
      <c r="X209"/>
      <c r="Y209"/>
      <c r="AT209" s="132" t="s">
        <v>112</v>
      </c>
      <c r="AU209" s="132" t="s">
        <v>65</v>
      </c>
      <c r="AV209" s="13" t="s">
        <v>65</v>
      </c>
      <c r="AW209" s="13" t="s">
        <v>30</v>
      </c>
      <c r="AX209" s="13" t="s">
        <v>55</v>
      </c>
      <c r="AY209" s="132" t="s">
        <v>101</v>
      </c>
    </row>
    <row r="210" spans="2:65" s="13" customFormat="1" x14ac:dyDescent="0.2">
      <c r="B210" s="131"/>
      <c r="D210" s="126" t="s">
        <v>112</v>
      </c>
      <c r="E210" s="132" t="s">
        <v>1</v>
      </c>
      <c r="F210" s="133" t="s">
        <v>272</v>
      </c>
      <c r="H210" s="134">
        <v>2.2309999999999999</v>
      </c>
      <c r="L210" s="131"/>
      <c r="M210" s="135"/>
      <c r="T210" s="136"/>
      <c r="W210"/>
      <c r="X210"/>
      <c r="Y210"/>
      <c r="AT210" s="132" t="s">
        <v>112</v>
      </c>
      <c r="AU210" s="132" t="s">
        <v>65</v>
      </c>
      <c r="AV210" s="13" t="s">
        <v>65</v>
      </c>
      <c r="AW210" s="13" t="s">
        <v>30</v>
      </c>
      <c r="AX210" s="13" t="s">
        <v>55</v>
      </c>
      <c r="AY210" s="132" t="s">
        <v>101</v>
      </c>
    </row>
    <row r="211" spans="2:65" s="14" customFormat="1" x14ac:dyDescent="0.2">
      <c r="B211" s="137"/>
      <c r="D211" s="126" t="s">
        <v>112</v>
      </c>
      <c r="E211" s="138" t="s">
        <v>1</v>
      </c>
      <c r="F211" s="139" t="s">
        <v>127</v>
      </c>
      <c r="H211" s="140">
        <v>217.48500000000001</v>
      </c>
      <c r="L211" s="137"/>
      <c r="M211" s="141"/>
      <c r="T211" s="142"/>
      <c r="W211"/>
      <c r="X211"/>
      <c r="Y211"/>
      <c r="AT211" s="138" t="s">
        <v>112</v>
      </c>
      <c r="AU211" s="138" t="s">
        <v>65</v>
      </c>
      <c r="AV211" s="14" t="s">
        <v>108</v>
      </c>
      <c r="AW211" s="14" t="s">
        <v>30</v>
      </c>
      <c r="AX211" s="14" t="s">
        <v>63</v>
      </c>
      <c r="AY211" s="138" t="s">
        <v>101</v>
      </c>
    </row>
    <row r="212" spans="2:65" s="13" customFormat="1" x14ac:dyDescent="0.2">
      <c r="B212" s="131"/>
      <c r="D212" s="126" t="s">
        <v>112</v>
      </c>
      <c r="F212" s="133" t="s">
        <v>273</v>
      </c>
      <c r="H212" s="134">
        <v>391.47300000000001</v>
      </c>
      <c r="L212" s="131"/>
      <c r="M212" s="135"/>
      <c r="T212" s="136"/>
      <c r="W212"/>
      <c r="X212"/>
      <c r="Y212"/>
      <c r="AT212" s="132" t="s">
        <v>112</v>
      </c>
      <c r="AU212" s="132" t="s">
        <v>65</v>
      </c>
      <c r="AV212" s="13" t="s">
        <v>65</v>
      </c>
      <c r="AW212" s="13" t="s">
        <v>2</v>
      </c>
      <c r="AX212" s="13" t="s">
        <v>63</v>
      </c>
      <c r="AY212" s="132" t="s">
        <v>101</v>
      </c>
    </row>
    <row r="213" spans="2:65" s="13" customFormat="1" x14ac:dyDescent="0.2">
      <c r="B213" s="131"/>
      <c r="D213" s="126"/>
      <c r="F213" s="139" t="s">
        <v>1834</v>
      </c>
      <c r="H213" s="140">
        <f>H212*0.18</f>
        <v>70.465140000000005</v>
      </c>
      <c r="L213" s="131"/>
      <c r="M213" s="135"/>
      <c r="T213" s="136"/>
      <c r="W213"/>
      <c r="X213"/>
      <c r="Y213"/>
      <c r="AT213" s="132"/>
      <c r="AU213" s="132"/>
      <c r="AY213" s="132"/>
    </row>
    <row r="214" spans="2:65" s="11" customFormat="1" ht="22.9" customHeight="1" x14ac:dyDescent="0.2">
      <c r="B214" s="98"/>
      <c r="D214" s="99" t="s">
        <v>54</v>
      </c>
      <c r="E214" s="107" t="s">
        <v>108</v>
      </c>
      <c r="F214" s="107" t="s">
        <v>274</v>
      </c>
      <c r="J214" s="108">
        <f>BK214</f>
        <v>0</v>
      </c>
      <c r="L214" s="98"/>
      <c r="M214" s="102"/>
      <c r="P214" s="103">
        <f>SUM(P215:P240)</f>
        <v>17.542024600000001</v>
      </c>
      <c r="R214" s="103">
        <f>SUM(R215:R240)</f>
        <v>1.0101056399999999E-2</v>
      </c>
      <c r="T214" s="104">
        <f>SUM(T215:T240)</f>
        <v>0</v>
      </c>
      <c r="W214"/>
      <c r="X214"/>
      <c r="Y214"/>
      <c r="AR214" s="99" t="s">
        <v>63</v>
      </c>
      <c r="AT214" s="105" t="s">
        <v>54</v>
      </c>
      <c r="AU214" s="105" t="s">
        <v>63</v>
      </c>
      <c r="AY214" s="99" t="s">
        <v>101</v>
      </c>
      <c r="BK214" s="106">
        <f>SUM(BK215:BK240)</f>
        <v>0</v>
      </c>
    </row>
    <row r="215" spans="2:65" s="1" customFormat="1" ht="33" customHeight="1" x14ac:dyDescent="0.2">
      <c r="B215" s="109"/>
      <c r="C215" s="110" t="s">
        <v>275</v>
      </c>
      <c r="D215" s="110" t="s">
        <v>103</v>
      </c>
      <c r="E215" s="111" t="s">
        <v>276</v>
      </c>
      <c r="F215" s="112" t="s">
        <v>277</v>
      </c>
      <c r="G215" s="113" t="s">
        <v>130</v>
      </c>
      <c r="H215" s="114">
        <f>50.256*0.18</f>
        <v>9.0460799999999999</v>
      </c>
      <c r="I215" s="115">
        <v>0</v>
      </c>
      <c r="J215" s="115">
        <f>ROUND(I215*H215,2)</f>
        <v>0</v>
      </c>
      <c r="K215" s="112" t="s">
        <v>107</v>
      </c>
      <c r="L215" s="28"/>
      <c r="M215" s="116" t="s">
        <v>1</v>
      </c>
      <c r="N215" s="117" t="s">
        <v>39</v>
      </c>
      <c r="O215" s="118">
        <v>1.6950000000000001</v>
      </c>
      <c r="P215" s="118">
        <f>O215*H215</f>
        <v>15.3331056</v>
      </c>
      <c r="Q215" s="118">
        <v>0</v>
      </c>
      <c r="R215" s="118">
        <f>Q215*H215</f>
        <v>0</v>
      </c>
      <c r="S215" s="118">
        <v>0</v>
      </c>
      <c r="T215" s="119">
        <f>S215*H215</f>
        <v>0</v>
      </c>
      <c r="W215"/>
      <c r="X215"/>
      <c r="Y215"/>
      <c r="AR215" s="120" t="s">
        <v>108</v>
      </c>
      <c r="AT215" s="120" t="s">
        <v>103</v>
      </c>
      <c r="AU215" s="120" t="s">
        <v>65</v>
      </c>
      <c r="AY215" s="17" t="s">
        <v>101</v>
      </c>
      <c r="BE215" s="121">
        <f>IF(N215="základní",J215,0)</f>
        <v>0</v>
      </c>
      <c r="BF215" s="121">
        <f>IF(N215="snížená",J215,0)</f>
        <v>0</v>
      </c>
      <c r="BG215" s="121">
        <f>IF(N215="zákl. přenesená",J215,0)</f>
        <v>0</v>
      </c>
      <c r="BH215" s="121">
        <f>IF(N215="sníž. přenesená",J215,0)</f>
        <v>0</v>
      </c>
      <c r="BI215" s="121">
        <f>IF(N215="nulová",J215,0)</f>
        <v>0</v>
      </c>
      <c r="BJ215" s="17" t="s">
        <v>63</v>
      </c>
      <c r="BK215" s="121">
        <f>ROUND(I215*H215,2)</f>
        <v>0</v>
      </c>
      <c r="BL215" s="17" t="s">
        <v>108</v>
      </c>
      <c r="BM215" s="120" t="s">
        <v>278</v>
      </c>
    </row>
    <row r="216" spans="2:65" s="1" customFormat="1" x14ac:dyDescent="0.2">
      <c r="B216" s="28"/>
      <c r="D216" s="122" t="s">
        <v>110</v>
      </c>
      <c r="F216" s="123" t="s">
        <v>279</v>
      </c>
      <c r="L216" s="28"/>
      <c r="M216" s="124"/>
      <c r="T216" s="48"/>
      <c r="W216"/>
      <c r="X216"/>
      <c r="Y216"/>
      <c r="AT216" s="17" t="s">
        <v>110</v>
      </c>
      <c r="AU216" s="17" t="s">
        <v>65</v>
      </c>
    </row>
    <row r="217" spans="2:65" s="12" customFormat="1" x14ac:dyDescent="0.2">
      <c r="B217" s="125"/>
      <c r="D217" s="126" t="s">
        <v>112</v>
      </c>
      <c r="E217" s="127" t="s">
        <v>1</v>
      </c>
      <c r="F217" s="128" t="s">
        <v>280</v>
      </c>
      <c r="H217" s="127" t="s">
        <v>1</v>
      </c>
      <c r="L217" s="125"/>
      <c r="M217" s="129"/>
      <c r="T217" s="130"/>
      <c r="W217"/>
      <c r="X217"/>
      <c r="Y217"/>
      <c r="AT217" s="127" t="s">
        <v>112</v>
      </c>
      <c r="AU217" s="127" t="s">
        <v>65</v>
      </c>
      <c r="AV217" s="12" t="s">
        <v>63</v>
      </c>
      <c r="AW217" s="12" t="s">
        <v>30</v>
      </c>
      <c r="AX217" s="12" t="s">
        <v>55</v>
      </c>
      <c r="AY217" s="127" t="s">
        <v>101</v>
      </c>
    </row>
    <row r="218" spans="2:65" s="13" customFormat="1" x14ac:dyDescent="0.2">
      <c r="B218" s="131"/>
      <c r="D218" s="126" t="s">
        <v>112</v>
      </c>
      <c r="E218" s="132" t="s">
        <v>1</v>
      </c>
      <c r="F218" s="133" t="s">
        <v>281</v>
      </c>
      <c r="H218" s="134">
        <v>45.752000000000002</v>
      </c>
      <c r="L218" s="131"/>
      <c r="M218" s="135"/>
      <c r="T218" s="136"/>
      <c r="W218"/>
      <c r="X218"/>
      <c r="Y218"/>
      <c r="AT218" s="132" t="s">
        <v>112</v>
      </c>
      <c r="AU218" s="132" t="s">
        <v>65</v>
      </c>
      <c r="AV218" s="13" t="s">
        <v>65</v>
      </c>
      <c r="AW218" s="13" t="s">
        <v>30</v>
      </c>
      <c r="AX218" s="13" t="s">
        <v>55</v>
      </c>
      <c r="AY218" s="132" t="s">
        <v>101</v>
      </c>
    </row>
    <row r="219" spans="2:65" s="13" customFormat="1" x14ac:dyDescent="0.2">
      <c r="B219" s="131"/>
      <c r="D219" s="126" t="s">
        <v>112</v>
      </c>
      <c r="E219" s="132" t="s">
        <v>1</v>
      </c>
      <c r="F219" s="133" t="s">
        <v>282</v>
      </c>
      <c r="H219" s="134">
        <v>0.248</v>
      </c>
      <c r="L219" s="131"/>
      <c r="M219" s="135"/>
      <c r="T219" s="136"/>
      <c r="W219"/>
      <c r="X219"/>
      <c r="Y219"/>
      <c r="AT219" s="132" t="s">
        <v>112</v>
      </c>
      <c r="AU219" s="132" t="s">
        <v>65</v>
      </c>
      <c r="AV219" s="13" t="s">
        <v>65</v>
      </c>
      <c r="AW219" s="13" t="s">
        <v>30</v>
      </c>
      <c r="AX219" s="13" t="s">
        <v>55</v>
      </c>
      <c r="AY219" s="132" t="s">
        <v>101</v>
      </c>
    </row>
    <row r="220" spans="2:65" s="13" customFormat="1" x14ac:dyDescent="0.2">
      <c r="B220" s="131"/>
      <c r="D220" s="126" t="s">
        <v>112</v>
      </c>
      <c r="E220" s="132" t="s">
        <v>1</v>
      </c>
      <c r="F220" s="133" t="s">
        <v>283</v>
      </c>
      <c r="H220" s="134">
        <v>1.528</v>
      </c>
      <c r="L220" s="131"/>
      <c r="M220" s="135"/>
      <c r="T220" s="136"/>
      <c r="W220"/>
      <c r="X220"/>
      <c r="Y220"/>
      <c r="AT220" s="132" t="s">
        <v>112</v>
      </c>
      <c r="AU220" s="132" t="s">
        <v>65</v>
      </c>
      <c r="AV220" s="13" t="s">
        <v>65</v>
      </c>
      <c r="AW220" s="13" t="s">
        <v>30</v>
      </c>
      <c r="AX220" s="13" t="s">
        <v>55</v>
      </c>
      <c r="AY220" s="132" t="s">
        <v>101</v>
      </c>
    </row>
    <row r="221" spans="2:65" s="13" customFormat="1" x14ac:dyDescent="0.2">
      <c r="B221" s="131"/>
      <c r="D221" s="126" t="s">
        <v>112</v>
      </c>
      <c r="E221" s="132" t="s">
        <v>1</v>
      </c>
      <c r="F221" s="133" t="s">
        <v>284</v>
      </c>
      <c r="H221" s="134">
        <v>0.17499999999999999</v>
      </c>
      <c r="L221" s="131"/>
      <c r="M221" s="135"/>
      <c r="T221" s="136"/>
      <c r="W221"/>
      <c r="X221"/>
      <c r="Y221"/>
      <c r="AT221" s="132" t="s">
        <v>112</v>
      </c>
      <c r="AU221" s="132" t="s">
        <v>65</v>
      </c>
      <c r="AV221" s="13" t="s">
        <v>65</v>
      </c>
      <c r="AW221" s="13" t="s">
        <v>30</v>
      </c>
      <c r="AX221" s="13" t="s">
        <v>55</v>
      </c>
      <c r="AY221" s="132" t="s">
        <v>101</v>
      </c>
    </row>
    <row r="222" spans="2:65" s="13" customFormat="1" x14ac:dyDescent="0.2">
      <c r="B222" s="131"/>
      <c r="D222" s="126" t="s">
        <v>112</v>
      </c>
      <c r="E222" s="132" t="s">
        <v>1</v>
      </c>
      <c r="F222" s="133" t="s">
        <v>285</v>
      </c>
      <c r="H222" s="134">
        <v>1.7689999999999999</v>
      </c>
      <c r="L222" s="131"/>
      <c r="M222" s="135"/>
      <c r="T222" s="136"/>
      <c r="W222"/>
      <c r="X222"/>
      <c r="Y222"/>
      <c r="AT222" s="132" t="s">
        <v>112</v>
      </c>
      <c r="AU222" s="132" t="s">
        <v>65</v>
      </c>
      <c r="AV222" s="13" t="s">
        <v>65</v>
      </c>
      <c r="AW222" s="13" t="s">
        <v>30</v>
      </c>
      <c r="AX222" s="13" t="s">
        <v>55</v>
      </c>
      <c r="AY222" s="132" t="s">
        <v>101</v>
      </c>
    </row>
    <row r="223" spans="2:65" s="13" customFormat="1" x14ac:dyDescent="0.2">
      <c r="B223" s="131"/>
      <c r="D223" s="126" t="s">
        <v>112</v>
      </c>
      <c r="E223" s="132" t="s">
        <v>1</v>
      </c>
      <c r="F223" s="133" t="s">
        <v>286</v>
      </c>
      <c r="H223" s="134">
        <v>0.2</v>
      </c>
      <c r="L223" s="131"/>
      <c r="M223" s="135"/>
      <c r="T223" s="136"/>
      <c r="W223"/>
      <c r="X223"/>
      <c r="Y223"/>
      <c r="AT223" s="132" t="s">
        <v>112</v>
      </c>
      <c r="AU223" s="132" t="s">
        <v>65</v>
      </c>
      <c r="AV223" s="13" t="s">
        <v>65</v>
      </c>
      <c r="AW223" s="13" t="s">
        <v>30</v>
      </c>
      <c r="AX223" s="13" t="s">
        <v>55</v>
      </c>
      <c r="AY223" s="132" t="s">
        <v>101</v>
      </c>
    </row>
    <row r="224" spans="2:65" s="13" customFormat="1" x14ac:dyDescent="0.2">
      <c r="B224" s="131"/>
      <c r="D224" s="126" t="s">
        <v>112</v>
      </c>
      <c r="E224" s="132" t="s">
        <v>1</v>
      </c>
      <c r="F224" s="133" t="s">
        <v>287</v>
      </c>
      <c r="H224" s="134">
        <v>0.58399999999999996</v>
      </c>
      <c r="L224" s="131"/>
      <c r="M224" s="135"/>
      <c r="T224" s="136"/>
      <c r="W224"/>
      <c r="X224"/>
      <c r="Y224"/>
      <c r="AT224" s="132" t="s">
        <v>112</v>
      </c>
      <c r="AU224" s="132" t="s">
        <v>65</v>
      </c>
      <c r="AV224" s="13" t="s">
        <v>65</v>
      </c>
      <c r="AW224" s="13" t="s">
        <v>30</v>
      </c>
      <c r="AX224" s="13" t="s">
        <v>55</v>
      </c>
      <c r="AY224" s="132" t="s">
        <v>101</v>
      </c>
    </row>
    <row r="225" spans="2:65" s="14" customFormat="1" x14ac:dyDescent="0.2">
      <c r="B225" s="137"/>
      <c r="D225" s="126" t="s">
        <v>112</v>
      </c>
      <c r="E225" s="138" t="s">
        <v>1</v>
      </c>
      <c r="F225" s="139" t="s">
        <v>127</v>
      </c>
      <c r="H225" s="140">
        <v>50.256</v>
      </c>
      <c r="L225" s="137"/>
      <c r="M225" s="141"/>
      <c r="T225" s="142"/>
      <c r="W225"/>
      <c r="X225"/>
      <c r="Y225"/>
      <c r="AT225" s="138" t="s">
        <v>112</v>
      </c>
      <c r="AU225" s="138" t="s">
        <v>65</v>
      </c>
      <c r="AV225" s="14" t="s">
        <v>108</v>
      </c>
      <c r="AW225" s="14" t="s">
        <v>30</v>
      </c>
      <c r="AX225" s="14" t="s">
        <v>63</v>
      </c>
      <c r="AY225" s="138" t="s">
        <v>101</v>
      </c>
    </row>
    <row r="226" spans="2:65" s="14" customFormat="1" x14ac:dyDescent="0.2">
      <c r="B226" s="137"/>
      <c r="D226" s="126"/>
      <c r="E226" s="138"/>
      <c r="F226" s="139" t="s">
        <v>1834</v>
      </c>
      <c r="H226" s="140">
        <f>H225*0.18</f>
        <v>9.0460799999999999</v>
      </c>
      <c r="L226" s="137"/>
      <c r="M226" s="141"/>
      <c r="T226" s="142"/>
      <c r="W226"/>
      <c r="X226"/>
      <c r="Y226"/>
      <c r="AT226" s="138"/>
      <c r="AU226" s="138"/>
      <c r="AY226" s="138"/>
    </row>
    <row r="227" spans="2:65" s="1" customFormat="1" ht="44.25" customHeight="1" x14ac:dyDescent="0.2">
      <c r="B227" s="109"/>
      <c r="C227" s="110" t="s">
        <v>288</v>
      </c>
      <c r="D227" s="110" t="s">
        <v>103</v>
      </c>
      <c r="E227" s="111" t="s">
        <v>289</v>
      </c>
      <c r="F227" s="112" t="s">
        <v>290</v>
      </c>
      <c r="G227" s="113" t="s">
        <v>130</v>
      </c>
      <c r="H227" s="114">
        <v>0.749</v>
      </c>
      <c r="I227" s="115">
        <v>0</v>
      </c>
      <c r="J227" s="115">
        <f>ROUND(I227*H227,2)</f>
        <v>0</v>
      </c>
      <c r="K227" s="112" t="s">
        <v>107</v>
      </c>
      <c r="L227" s="28"/>
      <c r="M227" s="116" t="s">
        <v>1</v>
      </c>
      <c r="N227" s="117" t="s">
        <v>39</v>
      </c>
      <c r="O227" s="118">
        <v>1.208</v>
      </c>
      <c r="P227" s="118">
        <f>O227*H227</f>
        <v>0.90479199999999993</v>
      </c>
      <c r="Q227" s="118">
        <v>0</v>
      </c>
      <c r="R227" s="118">
        <f>Q227*H227</f>
        <v>0</v>
      </c>
      <c r="S227" s="118">
        <v>0</v>
      </c>
      <c r="T227" s="119">
        <f>S227*H227</f>
        <v>0</v>
      </c>
      <c r="W227"/>
      <c r="X227"/>
      <c r="Y227"/>
      <c r="AR227" s="120" t="s">
        <v>108</v>
      </c>
      <c r="AT227" s="120" t="s">
        <v>103</v>
      </c>
      <c r="AU227" s="120" t="s">
        <v>65</v>
      </c>
      <c r="AY227" s="17" t="s">
        <v>101</v>
      </c>
      <c r="BE227" s="121">
        <f>IF(N227="základní",J227,0)</f>
        <v>0</v>
      </c>
      <c r="BF227" s="121">
        <f>IF(N227="snížená",J227,0)</f>
        <v>0</v>
      </c>
      <c r="BG227" s="121">
        <f>IF(N227="zákl. přenesená",J227,0)</f>
        <v>0</v>
      </c>
      <c r="BH227" s="121">
        <f>IF(N227="sníž. přenesená",J227,0)</f>
        <v>0</v>
      </c>
      <c r="BI227" s="121">
        <f>IF(N227="nulová",J227,0)</f>
        <v>0</v>
      </c>
      <c r="BJ227" s="17" t="s">
        <v>63</v>
      </c>
      <c r="BK227" s="121">
        <f>ROUND(I227*H227,2)</f>
        <v>0</v>
      </c>
      <c r="BL227" s="17" t="s">
        <v>108</v>
      </c>
      <c r="BM227" s="120" t="s">
        <v>291</v>
      </c>
    </row>
    <row r="228" spans="2:65" s="1" customFormat="1" x14ac:dyDescent="0.2">
      <c r="B228" s="28"/>
      <c r="D228" s="122" t="s">
        <v>110</v>
      </c>
      <c r="F228" s="123" t="s">
        <v>292</v>
      </c>
      <c r="L228" s="28"/>
      <c r="M228" s="124"/>
      <c r="T228" s="48"/>
      <c r="W228"/>
      <c r="X228"/>
      <c r="Y228"/>
      <c r="AT228" s="17" t="s">
        <v>110</v>
      </c>
      <c r="AU228" s="17" t="s">
        <v>65</v>
      </c>
    </row>
    <row r="229" spans="2:65" s="12" customFormat="1" x14ac:dyDescent="0.2">
      <c r="B229" s="125"/>
      <c r="D229" s="126" t="s">
        <v>112</v>
      </c>
      <c r="E229" s="127" t="s">
        <v>1</v>
      </c>
      <c r="F229" s="128" t="s">
        <v>293</v>
      </c>
      <c r="H229" s="127" t="s">
        <v>1</v>
      </c>
      <c r="L229" s="125"/>
      <c r="M229" s="129"/>
      <c r="T229" s="130"/>
      <c r="W229"/>
      <c r="X229"/>
      <c r="Y229"/>
      <c r="AT229" s="127" t="s">
        <v>112</v>
      </c>
      <c r="AU229" s="127" t="s">
        <v>65</v>
      </c>
      <c r="AV229" s="12" t="s">
        <v>63</v>
      </c>
      <c r="AW229" s="12" t="s">
        <v>30</v>
      </c>
      <c r="AX229" s="12" t="s">
        <v>55</v>
      </c>
      <c r="AY229" s="127" t="s">
        <v>101</v>
      </c>
    </row>
    <row r="230" spans="2:65" s="13" customFormat="1" x14ac:dyDescent="0.2">
      <c r="B230" s="131"/>
      <c r="D230" s="126" t="s">
        <v>112</v>
      </c>
      <c r="E230" s="132" t="s">
        <v>1</v>
      </c>
      <c r="F230" s="133" t="s">
        <v>294</v>
      </c>
      <c r="H230" s="134">
        <v>3.9E-2</v>
      </c>
      <c r="L230" s="131"/>
      <c r="M230" s="135"/>
      <c r="T230" s="136"/>
      <c r="W230"/>
      <c r="X230"/>
      <c r="Y230"/>
      <c r="AT230" s="132" t="s">
        <v>112</v>
      </c>
      <c r="AU230" s="132" t="s">
        <v>65</v>
      </c>
      <c r="AV230" s="13" t="s">
        <v>65</v>
      </c>
      <c r="AW230" s="13" t="s">
        <v>30</v>
      </c>
      <c r="AX230" s="13" t="s">
        <v>55</v>
      </c>
      <c r="AY230" s="132" t="s">
        <v>101</v>
      </c>
    </row>
    <row r="231" spans="2:65" s="13" customFormat="1" x14ac:dyDescent="0.2">
      <c r="B231" s="131"/>
      <c r="D231" s="126" t="s">
        <v>112</v>
      </c>
      <c r="E231" s="132" t="s">
        <v>1</v>
      </c>
      <c r="F231" s="133" t="s">
        <v>295</v>
      </c>
      <c r="H231" s="134">
        <v>0.16400000000000001</v>
      </c>
      <c r="L231" s="131"/>
      <c r="M231" s="135"/>
      <c r="T231" s="136"/>
      <c r="W231"/>
      <c r="X231"/>
      <c r="Y231"/>
      <c r="AT231" s="132" t="s">
        <v>112</v>
      </c>
      <c r="AU231" s="132" t="s">
        <v>65</v>
      </c>
      <c r="AV231" s="13" t="s">
        <v>65</v>
      </c>
      <c r="AW231" s="13" t="s">
        <v>30</v>
      </c>
      <c r="AX231" s="13" t="s">
        <v>55</v>
      </c>
      <c r="AY231" s="132" t="s">
        <v>101</v>
      </c>
    </row>
    <row r="232" spans="2:65" s="13" customFormat="1" x14ac:dyDescent="0.2">
      <c r="B232" s="131"/>
      <c r="D232" s="126" t="s">
        <v>112</v>
      </c>
      <c r="E232" s="132" t="s">
        <v>1</v>
      </c>
      <c r="F232" s="133" t="s">
        <v>296</v>
      </c>
      <c r="H232" s="134">
        <v>0.54600000000000004</v>
      </c>
      <c r="L232" s="131"/>
      <c r="M232" s="135"/>
      <c r="T232" s="136"/>
      <c r="W232"/>
      <c r="X232"/>
      <c r="Y232"/>
      <c r="AT232" s="132" t="s">
        <v>112</v>
      </c>
      <c r="AU232" s="132" t="s">
        <v>65</v>
      </c>
      <c r="AV232" s="13" t="s">
        <v>65</v>
      </c>
      <c r="AW232" s="13" t="s">
        <v>30</v>
      </c>
      <c r="AX232" s="13" t="s">
        <v>55</v>
      </c>
      <c r="AY232" s="132" t="s">
        <v>101</v>
      </c>
    </row>
    <row r="233" spans="2:65" s="14" customFormat="1" x14ac:dyDescent="0.2">
      <c r="B233" s="137"/>
      <c r="D233" s="126" t="s">
        <v>112</v>
      </c>
      <c r="E233" s="138" t="s">
        <v>1</v>
      </c>
      <c r="F233" s="139" t="s">
        <v>127</v>
      </c>
      <c r="H233" s="140">
        <v>0.749</v>
      </c>
      <c r="L233" s="137"/>
      <c r="M233" s="141"/>
      <c r="T233" s="142"/>
      <c r="W233"/>
      <c r="X233"/>
      <c r="Y233"/>
      <c r="AT233" s="138" t="s">
        <v>112</v>
      </c>
      <c r="AU233" s="138" t="s">
        <v>65</v>
      </c>
      <c r="AV233" s="14" t="s">
        <v>108</v>
      </c>
      <c r="AW233" s="14" t="s">
        <v>30</v>
      </c>
      <c r="AX233" s="14" t="s">
        <v>63</v>
      </c>
      <c r="AY233" s="138" t="s">
        <v>101</v>
      </c>
    </row>
    <row r="234" spans="2:65" s="1" customFormat="1" ht="24.2" customHeight="1" x14ac:dyDescent="0.2">
      <c r="B234" s="109"/>
      <c r="C234" s="110" t="s">
        <v>297</v>
      </c>
      <c r="D234" s="110" t="s">
        <v>103</v>
      </c>
      <c r="E234" s="111" t="s">
        <v>298</v>
      </c>
      <c r="F234" s="112" t="s">
        <v>299</v>
      </c>
      <c r="G234" s="113" t="s">
        <v>174</v>
      </c>
      <c r="H234" s="114">
        <f>8.782*0.18</f>
        <v>1.5807599999999999</v>
      </c>
      <c r="I234" s="115">
        <v>0</v>
      </c>
      <c r="J234" s="115">
        <f>ROUND(I234*H234,2)</f>
        <v>0</v>
      </c>
      <c r="K234" s="112" t="s">
        <v>107</v>
      </c>
      <c r="L234" s="28"/>
      <c r="M234" s="116" t="s">
        <v>1</v>
      </c>
      <c r="N234" s="117" t="s">
        <v>39</v>
      </c>
      <c r="O234" s="118">
        <v>0.82499999999999996</v>
      </c>
      <c r="P234" s="118">
        <f>O234*H234</f>
        <v>1.3041269999999998</v>
      </c>
      <c r="Q234" s="118">
        <v>6.3899999999999998E-3</v>
      </c>
      <c r="R234" s="118">
        <f>Q234*H234</f>
        <v>1.0101056399999999E-2</v>
      </c>
      <c r="S234" s="118">
        <v>0</v>
      </c>
      <c r="T234" s="119">
        <f>S234*H234</f>
        <v>0</v>
      </c>
      <c r="W234"/>
      <c r="X234"/>
      <c r="Y234"/>
      <c r="AR234" s="120" t="s">
        <v>108</v>
      </c>
      <c r="AT234" s="120" t="s">
        <v>103</v>
      </c>
      <c r="AU234" s="120" t="s">
        <v>65</v>
      </c>
      <c r="AY234" s="17" t="s">
        <v>101</v>
      </c>
      <c r="BE234" s="121">
        <f>IF(N234="základní",J234,0)</f>
        <v>0</v>
      </c>
      <c r="BF234" s="121">
        <f>IF(N234="snížená",J234,0)</f>
        <v>0</v>
      </c>
      <c r="BG234" s="121">
        <f>IF(N234="zákl. přenesená",J234,0)</f>
        <v>0</v>
      </c>
      <c r="BH234" s="121">
        <f>IF(N234="sníž. přenesená",J234,0)</f>
        <v>0</v>
      </c>
      <c r="BI234" s="121">
        <f>IF(N234="nulová",J234,0)</f>
        <v>0</v>
      </c>
      <c r="BJ234" s="17" t="s">
        <v>63</v>
      </c>
      <c r="BK234" s="121">
        <f>ROUND(I234*H234,2)</f>
        <v>0</v>
      </c>
      <c r="BL234" s="17" t="s">
        <v>108</v>
      </c>
      <c r="BM234" s="120" t="s">
        <v>300</v>
      </c>
    </row>
    <row r="235" spans="2:65" s="1" customFormat="1" x14ac:dyDescent="0.2">
      <c r="B235" s="28"/>
      <c r="D235" s="122" t="s">
        <v>110</v>
      </c>
      <c r="F235" s="123" t="s">
        <v>301</v>
      </c>
      <c r="L235" s="28"/>
      <c r="M235" s="124"/>
      <c r="T235" s="48"/>
      <c r="W235"/>
      <c r="X235"/>
      <c r="Y235"/>
      <c r="AT235" s="17" t="s">
        <v>110</v>
      </c>
      <c r="AU235" s="17" t="s">
        <v>65</v>
      </c>
    </row>
    <row r="236" spans="2:65" s="12" customFormat="1" x14ac:dyDescent="0.2">
      <c r="B236" s="125"/>
      <c r="D236" s="126" t="s">
        <v>112</v>
      </c>
      <c r="E236" s="127" t="s">
        <v>1</v>
      </c>
      <c r="F236" s="128" t="s">
        <v>302</v>
      </c>
      <c r="H236" s="127" t="s">
        <v>1</v>
      </c>
      <c r="L236" s="125"/>
      <c r="M236" s="129"/>
      <c r="T236" s="130"/>
      <c r="W236"/>
      <c r="X236"/>
      <c r="Y236"/>
      <c r="AT236" s="127" t="s">
        <v>112</v>
      </c>
      <c r="AU236" s="127" t="s">
        <v>65</v>
      </c>
      <c r="AV236" s="12" t="s">
        <v>63</v>
      </c>
      <c r="AW236" s="12" t="s">
        <v>30</v>
      </c>
      <c r="AX236" s="12" t="s">
        <v>55</v>
      </c>
      <c r="AY236" s="127" t="s">
        <v>101</v>
      </c>
    </row>
    <row r="237" spans="2:65" s="13" customFormat="1" x14ac:dyDescent="0.2">
      <c r="B237" s="131"/>
      <c r="D237" s="126" t="s">
        <v>112</v>
      </c>
      <c r="E237" s="132" t="s">
        <v>1</v>
      </c>
      <c r="F237" s="133" t="s">
        <v>303</v>
      </c>
      <c r="H237" s="134">
        <v>0.46200000000000002</v>
      </c>
      <c r="L237" s="131"/>
      <c r="M237" s="135"/>
      <c r="T237" s="136"/>
      <c r="W237"/>
      <c r="X237"/>
      <c r="Y237"/>
      <c r="AT237" s="132" t="s">
        <v>112</v>
      </c>
      <c r="AU237" s="132" t="s">
        <v>65</v>
      </c>
      <c r="AV237" s="13" t="s">
        <v>65</v>
      </c>
      <c r="AW237" s="13" t="s">
        <v>30</v>
      </c>
      <c r="AX237" s="13" t="s">
        <v>55</v>
      </c>
      <c r="AY237" s="132" t="s">
        <v>101</v>
      </c>
    </row>
    <row r="238" spans="2:65" s="13" customFormat="1" x14ac:dyDescent="0.2">
      <c r="B238" s="131"/>
      <c r="D238" s="126" t="s">
        <v>112</v>
      </c>
      <c r="E238" s="132" t="s">
        <v>1</v>
      </c>
      <c r="F238" s="133" t="s">
        <v>304</v>
      </c>
      <c r="H238" s="134">
        <v>1.92</v>
      </c>
      <c r="L238" s="131"/>
      <c r="M238" s="135"/>
      <c r="T238" s="136"/>
      <c r="W238"/>
      <c r="X238"/>
      <c r="Y238"/>
      <c r="AT238" s="132" t="s">
        <v>112</v>
      </c>
      <c r="AU238" s="132" t="s">
        <v>65</v>
      </c>
      <c r="AV238" s="13" t="s">
        <v>65</v>
      </c>
      <c r="AW238" s="13" t="s">
        <v>30</v>
      </c>
      <c r="AX238" s="13" t="s">
        <v>55</v>
      </c>
      <c r="AY238" s="132" t="s">
        <v>101</v>
      </c>
    </row>
    <row r="239" spans="2:65" s="13" customFormat="1" x14ac:dyDescent="0.2">
      <c r="B239" s="131"/>
      <c r="D239" s="126" t="s">
        <v>112</v>
      </c>
      <c r="E239" s="132" t="s">
        <v>1</v>
      </c>
      <c r="F239" s="133" t="s">
        <v>305</v>
      </c>
      <c r="H239" s="134">
        <v>6.4</v>
      </c>
      <c r="L239" s="131"/>
      <c r="M239" s="135"/>
      <c r="T239" s="136"/>
      <c r="W239"/>
      <c r="X239"/>
      <c r="Y239"/>
      <c r="AT239" s="132" t="s">
        <v>112</v>
      </c>
      <c r="AU239" s="132" t="s">
        <v>65</v>
      </c>
      <c r="AV239" s="13" t="s">
        <v>65</v>
      </c>
      <c r="AW239" s="13" t="s">
        <v>30</v>
      </c>
      <c r="AX239" s="13" t="s">
        <v>55</v>
      </c>
      <c r="AY239" s="132" t="s">
        <v>101</v>
      </c>
    </row>
    <row r="240" spans="2:65" s="14" customFormat="1" x14ac:dyDescent="0.2">
      <c r="B240" s="137"/>
      <c r="D240" s="126" t="s">
        <v>112</v>
      </c>
      <c r="E240" s="138" t="s">
        <v>1</v>
      </c>
      <c r="F240" s="139" t="s">
        <v>127</v>
      </c>
      <c r="H240" s="140">
        <v>8.782</v>
      </c>
      <c r="L240" s="137"/>
      <c r="M240" s="141"/>
      <c r="T240" s="142"/>
      <c r="W240"/>
      <c r="X240"/>
      <c r="Y240"/>
      <c r="AT240" s="138" t="s">
        <v>112</v>
      </c>
      <c r="AU240" s="138" t="s">
        <v>65</v>
      </c>
      <c r="AV240" s="14" t="s">
        <v>108</v>
      </c>
      <c r="AW240" s="14" t="s">
        <v>30</v>
      </c>
      <c r="AX240" s="14" t="s">
        <v>63</v>
      </c>
      <c r="AY240" s="138" t="s">
        <v>101</v>
      </c>
    </row>
    <row r="241" spans="2:57" s="14" customFormat="1" x14ac:dyDescent="0.2">
      <c r="B241" s="137"/>
      <c r="D241" s="126"/>
      <c r="E241" s="138"/>
      <c r="F241" s="139" t="s">
        <v>1834</v>
      </c>
      <c r="H241" s="140">
        <f>H240*0.18</f>
        <v>1.5807599999999999</v>
      </c>
      <c r="L241" s="137"/>
      <c r="M241" s="141"/>
      <c r="T241" s="142"/>
      <c r="W241"/>
      <c r="X241"/>
      <c r="Y241"/>
      <c r="AL241" s="138"/>
      <c r="AM241" s="138"/>
      <c r="AQ241" s="138"/>
    </row>
    <row r="242" spans="2:57" s="11" customFormat="1" ht="22.9" customHeight="1" x14ac:dyDescent="0.2">
      <c r="B242" s="98"/>
      <c r="D242" s="99" t="s">
        <v>54</v>
      </c>
      <c r="E242" s="107" t="s">
        <v>171</v>
      </c>
      <c r="F242" s="107" t="s">
        <v>306</v>
      </c>
      <c r="J242" s="108">
        <f>BC242</f>
        <v>0</v>
      </c>
      <c r="L242" s="98"/>
      <c r="M242" s="102"/>
      <c r="P242" s="103">
        <f>SUM(P243:P353)</f>
        <v>99.200515999999993</v>
      </c>
      <c r="R242" s="103">
        <f>SUM(R243:R353)</f>
        <v>1.2789701578000001</v>
      </c>
      <c r="T242" s="104">
        <f>SUM(T243:T353)</f>
        <v>9.1550000000000006E-2</v>
      </c>
      <c r="W242"/>
      <c r="X242"/>
      <c r="Y242"/>
      <c r="AJ242" s="99" t="s">
        <v>63</v>
      </c>
      <c r="AL242" s="105" t="s">
        <v>54</v>
      </c>
      <c r="AM242" s="105" t="s">
        <v>63</v>
      </c>
      <c r="AQ242" s="99" t="s">
        <v>101</v>
      </c>
      <c r="BC242" s="106">
        <f>SUM(BC243:BC353)</f>
        <v>0</v>
      </c>
    </row>
    <row r="243" spans="2:57" s="1" customFormat="1" ht="37.9" customHeight="1" x14ac:dyDescent="0.2">
      <c r="B243" s="109"/>
      <c r="C243" s="110" t="s">
        <v>307</v>
      </c>
      <c r="D243" s="110" t="s">
        <v>103</v>
      </c>
      <c r="E243" s="111" t="s">
        <v>308</v>
      </c>
      <c r="F243" s="112" t="s">
        <v>309</v>
      </c>
      <c r="G243" s="113" t="s">
        <v>106</v>
      </c>
      <c r="H243" s="114">
        <v>1.5</v>
      </c>
      <c r="I243" s="115">
        <v>0</v>
      </c>
      <c r="J243" s="115">
        <f>ROUND(I243*H243,2)</f>
        <v>0</v>
      </c>
      <c r="K243" s="112" t="s">
        <v>1</v>
      </c>
      <c r="L243" s="28"/>
      <c r="M243" s="116" t="s">
        <v>1</v>
      </c>
      <c r="N243" s="117" t="s">
        <v>39</v>
      </c>
      <c r="O243" s="118">
        <v>0.113</v>
      </c>
      <c r="P243" s="118">
        <f>O243*H243</f>
        <v>0.16950000000000001</v>
      </c>
      <c r="Q243" s="118">
        <v>0</v>
      </c>
      <c r="R243" s="118">
        <f>Q243*H243</f>
        <v>0</v>
      </c>
      <c r="S243" s="118">
        <v>4.3999999999999997E-2</v>
      </c>
      <c r="T243" s="119">
        <f>S243*H243</f>
        <v>6.6000000000000003E-2</v>
      </c>
      <c r="W243"/>
      <c r="X243"/>
      <c r="Y243"/>
      <c r="AJ243" s="120" t="s">
        <v>108</v>
      </c>
      <c r="AL243" s="120" t="s">
        <v>103</v>
      </c>
      <c r="AM243" s="120" t="s">
        <v>65</v>
      </c>
      <c r="AQ243" s="17" t="s">
        <v>101</v>
      </c>
      <c r="AW243" s="121">
        <f>IF(N243="základní",J243,0)</f>
        <v>0</v>
      </c>
      <c r="AX243" s="121">
        <f>IF(N243="snížená",J243,0)</f>
        <v>0</v>
      </c>
      <c r="AY243" s="121">
        <f>IF(N243="zákl. přenesená",J243,0)</f>
        <v>0</v>
      </c>
      <c r="AZ243" s="121">
        <f>IF(N243="sníž. přenesená",J243,0)</f>
        <v>0</v>
      </c>
      <c r="BA243" s="121">
        <f>IF(N243="nulová",J243,0)</f>
        <v>0</v>
      </c>
      <c r="BB243" s="17" t="s">
        <v>63</v>
      </c>
      <c r="BC243" s="121">
        <f>ROUND(I243*H243,2)</f>
        <v>0</v>
      </c>
      <c r="BD243" s="17" t="s">
        <v>108</v>
      </c>
      <c r="BE243" s="120" t="s">
        <v>310</v>
      </c>
    </row>
    <row r="244" spans="2:57" s="1" customFormat="1" ht="44.25" customHeight="1" x14ac:dyDescent="0.2">
      <c r="B244" s="109"/>
      <c r="C244" s="110" t="s">
        <v>311</v>
      </c>
      <c r="D244" s="110" t="s">
        <v>103</v>
      </c>
      <c r="E244" s="111" t="s">
        <v>312</v>
      </c>
      <c r="F244" s="112" t="s">
        <v>313</v>
      </c>
      <c r="G244" s="113" t="s">
        <v>314</v>
      </c>
      <c r="H244" s="114">
        <v>2</v>
      </c>
      <c r="I244" s="115">
        <v>0</v>
      </c>
      <c r="J244" s="115">
        <f>ROUND(I244*H244,2)</f>
        <v>0</v>
      </c>
      <c r="K244" s="112" t="s">
        <v>107</v>
      </c>
      <c r="L244" s="28"/>
      <c r="M244" s="116" t="s">
        <v>1</v>
      </c>
      <c r="N244" s="117" t="s">
        <v>39</v>
      </c>
      <c r="O244" s="118">
        <v>0.75900000000000001</v>
      </c>
      <c r="P244" s="118">
        <f>O244*H244</f>
        <v>1.518</v>
      </c>
      <c r="Q244" s="118">
        <v>1.67E-3</v>
      </c>
      <c r="R244" s="118">
        <f>Q244*H244</f>
        <v>3.3400000000000001E-3</v>
      </c>
      <c r="S244" s="118">
        <v>0</v>
      </c>
      <c r="T244" s="119">
        <f>S244*H244</f>
        <v>0</v>
      </c>
      <c r="W244"/>
      <c r="X244"/>
      <c r="Y244"/>
      <c r="AJ244" s="120" t="s">
        <v>108</v>
      </c>
      <c r="AL244" s="120" t="s">
        <v>103</v>
      </c>
      <c r="AM244" s="120" t="s">
        <v>65</v>
      </c>
      <c r="AQ244" s="17" t="s">
        <v>101</v>
      </c>
      <c r="AW244" s="121">
        <f>IF(N244="základní",J244,0)</f>
        <v>0</v>
      </c>
      <c r="AX244" s="121">
        <f>IF(N244="snížená",J244,0)</f>
        <v>0</v>
      </c>
      <c r="AY244" s="121">
        <f>IF(N244="zákl. přenesená",J244,0)</f>
        <v>0</v>
      </c>
      <c r="AZ244" s="121">
        <f>IF(N244="sníž. přenesená",J244,0)</f>
        <v>0</v>
      </c>
      <c r="BA244" s="121">
        <f>IF(N244="nulová",J244,0)</f>
        <v>0</v>
      </c>
      <c r="BB244" s="17" t="s">
        <v>63</v>
      </c>
      <c r="BC244" s="121">
        <f>ROUND(I244*H244,2)</f>
        <v>0</v>
      </c>
      <c r="BD244" s="17" t="s">
        <v>108</v>
      </c>
      <c r="BE244" s="120" t="s">
        <v>315</v>
      </c>
    </row>
    <row r="245" spans="2:57" s="1" customFormat="1" x14ac:dyDescent="0.2">
      <c r="B245" s="28"/>
      <c r="D245" s="122" t="s">
        <v>110</v>
      </c>
      <c r="F245" s="123" t="s">
        <v>316</v>
      </c>
      <c r="L245" s="28"/>
      <c r="M245" s="124"/>
      <c r="T245" s="48"/>
      <c r="W245"/>
      <c r="X245"/>
      <c r="Y245"/>
      <c r="AL245" s="17" t="s">
        <v>110</v>
      </c>
      <c r="AM245" s="17" t="s">
        <v>65</v>
      </c>
    </row>
    <row r="246" spans="2:57" s="1" customFormat="1" ht="24.2" customHeight="1" x14ac:dyDescent="0.2">
      <c r="B246" s="109"/>
      <c r="C246" s="143" t="s">
        <v>317</v>
      </c>
      <c r="D246" s="143" t="s">
        <v>252</v>
      </c>
      <c r="E246" s="144" t="s">
        <v>318</v>
      </c>
      <c r="F246" s="145" t="s">
        <v>319</v>
      </c>
      <c r="G246" s="146" t="s">
        <v>314</v>
      </c>
      <c r="H246" s="147">
        <v>1</v>
      </c>
      <c r="I246" s="148">
        <v>0</v>
      </c>
      <c r="J246" s="148">
        <f>ROUND(I246*H246,2)</f>
        <v>0</v>
      </c>
      <c r="K246" s="145" t="s">
        <v>107</v>
      </c>
      <c r="L246" s="149"/>
      <c r="M246" s="150" t="s">
        <v>1</v>
      </c>
      <c r="N246" s="151" t="s">
        <v>39</v>
      </c>
      <c r="O246" s="118">
        <v>0</v>
      </c>
      <c r="P246" s="118">
        <f>O246*H246</f>
        <v>0</v>
      </c>
      <c r="Q246" s="118">
        <v>8.9999999999999993E-3</v>
      </c>
      <c r="R246" s="118">
        <f>Q246*H246</f>
        <v>8.9999999999999993E-3</v>
      </c>
      <c r="S246" s="118">
        <v>0</v>
      </c>
      <c r="T246" s="119">
        <f>S246*H246</f>
        <v>0</v>
      </c>
      <c r="W246"/>
      <c r="X246"/>
      <c r="Y246"/>
      <c r="AJ246" s="120" t="s">
        <v>171</v>
      </c>
      <c r="AL246" s="120" t="s">
        <v>252</v>
      </c>
      <c r="AM246" s="120" t="s">
        <v>65</v>
      </c>
      <c r="AQ246" s="17" t="s">
        <v>101</v>
      </c>
      <c r="AW246" s="121">
        <f>IF(N246="základní",J246,0)</f>
        <v>0</v>
      </c>
      <c r="AX246" s="121">
        <f>IF(N246="snížená",J246,0)</f>
        <v>0</v>
      </c>
      <c r="AY246" s="121">
        <f>IF(N246="zákl. přenesená",J246,0)</f>
        <v>0</v>
      </c>
      <c r="AZ246" s="121">
        <f>IF(N246="sníž. přenesená",J246,0)</f>
        <v>0</v>
      </c>
      <c r="BA246" s="121">
        <f>IF(N246="nulová",J246,0)</f>
        <v>0</v>
      </c>
      <c r="BB246" s="17" t="s">
        <v>63</v>
      </c>
      <c r="BC246" s="121">
        <f>ROUND(I246*H246,2)</f>
        <v>0</v>
      </c>
      <c r="BD246" s="17" t="s">
        <v>108</v>
      </c>
      <c r="BE246" s="120" t="s">
        <v>320</v>
      </c>
    </row>
    <row r="247" spans="2:57" s="1" customFormat="1" ht="24.2" customHeight="1" x14ac:dyDescent="0.2">
      <c r="B247" s="109"/>
      <c r="C247" s="143" t="s">
        <v>321</v>
      </c>
      <c r="D247" s="143" t="s">
        <v>252</v>
      </c>
      <c r="E247" s="144" t="s">
        <v>322</v>
      </c>
      <c r="F247" s="145" t="s">
        <v>323</v>
      </c>
      <c r="G247" s="146" t="s">
        <v>314</v>
      </c>
      <c r="H247" s="147">
        <v>1</v>
      </c>
      <c r="I247" s="148">
        <v>0</v>
      </c>
      <c r="J247" s="148">
        <f>ROUND(I247*H247,2)</f>
        <v>0</v>
      </c>
      <c r="K247" s="145" t="s">
        <v>1</v>
      </c>
      <c r="L247" s="149"/>
      <c r="M247" s="150" t="s">
        <v>1</v>
      </c>
      <c r="N247" s="151" t="s">
        <v>39</v>
      </c>
      <c r="O247" s="118">
        <v>0</v>
      </c>
      <c r="P247" s="118">
        <f>O247*H247</f>
        <v>0</v>
      </c>
      <c r="Q247" s="118">
        <v>4.8000000000000001E-4</v>
      </c>
      <c r="R247" s="118">
        <f>Q247*H247</f>
        <v>4.8000000000000001E-4</v>
      </c>
      <c r="S247" s="118">
        <v>0</v>
      </c>
      <c r="T247" s="119">
        <f>S247*H247</f>
        <v>0</v>
      </c>
      <c r="W247"/>
      <c r="X247"/>
      <c r="Y247"/>
      <c r="AJ247" s="120" t="s">
        <v>171</v>
      </c>
      <c r="AL247" s="120" t="s">
        <v>252</v>
      </c>
      <c r="AM247" s="120" t="s">
        <v>65</v>
      </c>
      <c r="AQ247" s="17" t="s">
        <v>101</v>
      </c>
      <c r="AW247" s="121">
        <f>IF(N247="základní",J247,0)</f>
        <v>0</v>
      </c>
      <c r="AX247" s="121">
        <f>IF(N247="snížená",J247,0)</f>
        <v>0</v>
      </c>
      <c r="AY247" s="121">
        <f>IF(N247="zákl. přenesená",J247,0)</f>
        <v>0</v>
      </c>
      <c r="AZ247" s="121">
        <f>IF(N247="sníž. přenesená",J247,0)</f>
        <v>0</v>
      </c>
      <c r="BA247" s="121">
        <f>IF(N247="nulová",J247,0)</f>
        <v>0</v>
      </c>
      <c r="BB247" s="17" t="s">
        <v>63</v>
      </c>
      <c r="BC247" s="121">
        <f>ROUND(I247*H247,2)</f>
        <v>0</v>
      </c>
      <c r="BD247" s="17" t="s">
        <v>108</v>
      </c>
      <c r="BE247" s="120" t="s">
        <v>324</v>
      </c>
    </row>
    <row r="248" spans="2:57" s="1" customFormat="1" ht="24.2" customHeight="1" x14ac:dyDescent="0.2">
      <c r="B248" s="109"/>
      <c r="C248" s="143" t="s">
        <v>325</v>
      </c>
      <c r="D248" s="143" t="s">
        <v>252</v>
      </c>
      <c r="E248" s="144" t="s">
        <v>326</v>
      </c>
      <c r="F248" s="145" t="s">
        <v>327</v>
      </c>
      <c r="G248" s="146" t="s">
        <v>314</v>
      </c>
      <c r="H248" s="147">
        <v>1</v>
      </c>
      <c r="I248" s="148">
        <v>0</v>
      </c>
      <c r="J248" s="148">
        <f>ROUND(I248*H248,2)</f>
        <v>0</v>
      </c>
      <c r="K248" s="145" t="s">
        <v>1</v>
      </c>
      <c r="L248" s="149"/>
      <c r="M248" s="150" t="s">
        <v>1</v>
      </c>
      <c r="N248" s="151" t="s">
        <v>39</v>
      </c>
      <c r="O248" s="118">
        <v>0</v>
      </c>
      <c r="P248" s="118">
        <f>O248*H248</f>
        <v>0</v>
      </c>
      <c r="Q248" s="118">
        <v>9.5999999999999992E-3</v>
      </c>
      <c r="R248" s="118">
        <f>Q248*H248</f>
        <v>9.5999999999999992E-3</v>
      </c>
      <c r="S248" s="118">
        <v>0</v>
      </c>
      <c r="T248" s="119">
        <f>S248*H248</f>
        <v>0</v>
      </c>
      <c r="W248"/>
      <c r="X248"/>
      <c r="Y248"/>
      <c r="AJ248" s="120" t="s">
        <v>171</v>
      </c>
      <c r="AL248" s="120" t="s">
        <v>252</v>
      </c>
      <c r="AM248" s="120" t="s">
        <v>65</v>
      </c>
      <c r="AQ248" s="17" t="s">
        <v>101</v>
      </c>
      <c r="AW248" s="121">
        <f>IF(N248="základní",J248,0)</f>
        <v>0</v>
      </c>
      <c r="AX248" s="121">
        <f>IF(N248="snížená",J248,0)</f>
        <v>0</v>
      </c>
      <c r="AY248" s="121">
        <f>IF(N248="zákl. přenesená",J248,0)</f>
        <v>0</v>
      </c>
      <c r="AZ248" s="121">
        <f>IF(N248="sníž. přenesená",J248,0)</f>
        <v>0</v>
      </c>
      <c r="BA248" s="121">
        <f>IF(N248="nulová",J248,0)</f>
        <v>0</v>
      </c>
      <c r="BB248" s="17" t="s">
        <v>63</v>
      </c>
      <c r="BC248" s="121">
        <f>ROUND(I248*H248,2)</f>
        <v>0</v>
      </c>
      <c r="BD248" s="17" t="s">
        <v>108</v>
      </c>
      <c r="BE248" s="120" t="s">
        <v>328</v>
      </c>
    </row>
    <row r="249" spans="2:57" s="1" customFormat="1" ht="44.25" customHeight="1" x14ac:dyDescent="0.2">
      <c r="B249" s="109"/>
      <c r="C249" s="110" t="s">
        <v>329</v>
      </c>
      <c r="D249" s="110" t="s">
        <v>103</v>
      </c>
      <c r="E249" s="111" t="s">
        <v>330</v>
      </c>
      <c r="F249" s="112" t="s">
        <v>331</v>
      </c>
      <c r="G249" s="113" t="s">
        <v>314</v>
      </c>
      <c r="H249" s="114">
        <v>3</v>
      </c>
      <c r="I249" s="115">
        <v>0</v>
      </c>
      <c r="J249" s="115">
        <f>ROUND(I249*H249,2)</f>
        <v>0</v>
      </c>
      <c r="K249" s="112" t="s">
        <v>107</v>
      </c>
      <c r="L249" s="28"/>
      <c r="M249" s="116" t="s">
        <v>1</v>
      </c>
      <c r="N249" s="117" t="s">
        <v>39</v>
      </c>
      <c r="O249" s="118">
        <v>1.24</v>
      </c>
      <c r="P249" s="118">
        <f>O249*H249</f>
        <v>3.7199999999999998</v>
      </c>
      <c r="Q249" s="118">
        <v>1.7099999999999999E-3</v>
      </c>
      <c r="R249" s="118">
        <f>Q249*H249</f>
        <v>5.13E-3</v>
      </c>
      <c r="S249" s="118">
        <v>0</v>
      </c>
      <c r="T249" s="119">
        <f>S249*H249</f>
        <v>0</v>
      </c>
      <c r="W249"/>
      <c r="X249"/>
      <c r="Y249"/>
      <c r="AJ249" s="120" t="s">
        <v>108</v>
      </c>
      <c r="AL249" s="120" t="s">
        <v>103</v>
      </c>
      <c r="AM249" s="120" t="s">
        <v>65</v>
      </c>
      <c r="AQ249" s="17" t="s">
        <v>101</v>
      </c>
      <c r="AW249" s="121">
        <f>IF(N249="základní",J249,0)</f>
        <v>0</v>
      </c>
      <c r="AX249" s="121">
        <f>IF(N249="snížená",J249,0)</f>
        <v>0</v>
      </c>
      <c r="AY249" s="121">
        <f>IF(N249="zákl. přenesená",J249,0)</f>
        <v>0</v>
      </c>
      <c r="AZ249" s="121">
        <f>IF(N249="sníž. přenesená",J249,0)</f>
        <v>0</v>
      </c>
      <c r="BA249" s="121">
        <f>IF(N249="nulová",J249,0)</f>
        <v>0</v>
      </c>
      <c r="BB249" s="17" t="s">
        <v>63</v>
      </c>
      <c r="BC249" s="121">
        <f>ROUND(I249*H249,2)</f>
        <v>0</v>
      </c>
      <c r="BD249" s="17" t="s">
        <v>108</v>
      </c>
      <c r="BE249" s="120" t="s">
        <v>332</v>
      </c>
    </row>
    <row r="250" spans="2:57" s="1" customFormat="1" x14ac:dyDescent="0.2">
      <c r="B250" s="28"/>
      <c r="D250" s="122" t="s">
        <v>110</v>
      </c>
      <c r="F250" s="123" t="s">
        <v>333</v>
      </c>
      <c r="L250" s="28"/>
      <c r="M250" s="124"/>
      <c r="T250" s="48"/>
      <c r="W250"/>
      <c r="X250"/>
      <c r="Y250"/>
      <c r="AL250" s="17" t="s">
        <v>110</v>
      </c>
      <c r="AM250" s="17" t="s">
        <v>65</v>
      </c>
    </row>
    <row r="251" spans="2:57" s="1" customFormat="1" ht="24.2" customHeight="1" x14ac:dyDescent="0.2">
      <c r="B251" s="109"/>
      <c r="C251" s="143" t="s">
        <v>334</v>
      </c>
      <c r="D251" s="143" t="s">
        <v>252</v>
      </c>
      <c r="E251" s="144" t="s">
        <v>335</v>
      </c>
      <c r="F251" s="145" t="s">
        <v>336</v>
      </c>
      <c r="G251" s="146" t="s">
        <v>314</v>
      </c>
      <c r="H251" s="147">
        <v>1</v>
      </c>
      <c r="I251" s="148">
        <v>0</v>
      </c>
      <c r="J251" s="148">
        <f>ROUND(I251*H251,2)</f>
        <v>0</v>
      </c>
      <c r="K251" s="145" t="s">
        <v>107</v>
      </c>
      <c r="L251" s="149"/>
      <c r="M251" s="150" t="s">
        <v>1</v>
      </c>
      <c r="N251" s="151" t="s">
        <v>39</v>
      </c>
      <c r="O251" s="118">
        <v>0</v>
      </c>
      <c r="P251" s="118">
        <f>O251*H251</f>
        <v>0</v>
      </c>
      <c r="Q251" s="118">
        <v>1.9699999999999999E-2</v>
      </c>
      <c r="R251" s="118">
        <f>Q251*H251</f>
        <v>1.9699999999999999E-2</v>
      </c>
      <c r="S251" s="118">
        <v>0</v>
      </c>
      <c r="T251" s="119">
        <f>S251*H251</f>
        <v>0</v>
      </c>
      <c r="W251"/>
      <c r="X251"/>
      <c r="Y251"/>
      <c r="AJ251" s="120" t="s">
        <v>171</v>
      </c>
      <c r="AL251" s="120" t="s">
        <v>252</v>
      </c>
      <c r="AM251" s="120" t="s">
        <v>65</v>
      </c>
      <c r="AQ251" s="17" t="s">
        <v>101</v>
      </c>
      <c r="AW251" s="121">
        <f>IF(N251="základní",J251,0)</f>
        <v>0</v>
      </c>
      <c r="AX251" s="121">
        <f>IF(N251="snížená",J251,0)</f>
        <v>0</v>
      </c>
      <c r="AY251" s="121">
        <f>IF(N251="zákl. přenesená",J251,0)</f>
        <v>0</v>
      </c>
      <c r="AZ251" s="121">
        <f>IF(N251="sníž. přenesená",J251,0)</f>
        <v>0</v>
      </c>
      <c r="BA251" s="121">
        <f>IF(N251="nulová",J251,0)</f>
        <v>0</v>
      </c>
      <c r="BB251" s="17" t="s">
        <v>63</v>
      </c>
      <c r="BC251" s="121">
        <f>ROUND(I251*H251,2)</f>
        <v>0</v>
      </c>
      <c r="BD251" s="17" t="s">
        <v>108</v>
      </c>
      <c r="BE251" s="120" t="s">
        <v>337</v>
      </c>
    </row>
    <row r="252" spans="2:57" s="1" customFormat="1" ht="33" customHeight="1" x14ac:dyDescent="0.2">
      <c r="B252" s="109"/>
      <c r="C252" s="143" t="s">
        <v>338</v>
      </c>
      <c r="D252" s="143" t="s">
        <v>252</v>
      </c>
      <c r="E252" s="144" t="s">
        <v>339</v>
      </c>
      <c r="F252" s="145" t="s">
        <v>340</v>
      </c>
      <c r="G252" s="146" t="s">
        <v>314</v>
      </c>
      <c r="H252" s="147">
        <v>1</v>
      </c>
      <c r="I252" s="148">
        <v>0</v>
      </c>
      <c r="J252" s="148">
        <f>ROUND(I252*H252,2)</f>
        <v>0</v>
      </c>
      <c r="K252" s="145" t="s">
        <v>107</v>
      </c>
      <c r="L252" s="149"/>
      <c r="M252" s="150" t="s">
        <v>1</v>
      </c>
      <c r="N252" s="151" t="s">
        <v>39</v>
      </c>
      <c r="O252" s="118">
        <v>0</v>
      </c>
      <c r="P252" s="118">
        <f>O252*H252</f>
        <v>0</v>
      </c>
      <c r="Q252" s="118">
        <v>1.78E-2</v>
      </c>
      <c r="R252" s="118">
        <f>Q252*H252</f>
        <v>1.78E-2</v>
      </c>
      <c r="S252" s="118">
        <v>0</v>
      </c>
      <c r="T252" s="119">
        <f>S252*H252</f>
        <v>0</v>
      </c>
      <c r="W252"/>
      <c r="X252"/>
      <c r="Y252"/>
      <c r="AJ252" s="120" t="s">
        <v>171</v>
      </c>
      <c r="AL252" s="120" t="s">
        <v>252</v>
      </c>
      <c r="AM252" s="120" t="s">
        <v>65</v>
      </c>
      <c r="AQ252" s="17" t="s">
        <v>101</v>
      </c>
      <c r="AW252" s="121">
        <f>IF(N252="základní",J252,0)</f>
        <v>0</v>
      </c>
      <c r="AX252" s="121">
        <f>IF(N252="snížená",J252,0)</f>
        <v>0</v>
      </c>
      <c r="AY252" s="121">
        <f>IF(N252="zákl. přenesená",J252,0)</f>
        <v>0</v>
      </c>
      <c r="AZ252" s="121">
        <f>IF(N252="sníž. přenesená",J252,0)</f>
        <v>0</v>
      </c>
      <c r="BA252" s="121">
        <f>IF(N252="nulová",J252,0)</f>
        <v>0</v>
      </c>
      <c r="BB252" s="17" t="s">
        <v>63</v>
      </c>
      <c r="BC252" s="121">
        <f>ROUND(I252*H252,2)</f>
        <v>0</v>
      </c>
      <c r="BD252" s="17" t="s">
        <v>108</v>
      </c>
      <c r="BE252" s="120" t="s">
        <v>341</v>
      </c>
    </row>
    <row r="253" spans="2:57" s="1" customFormat="1" ht="24.2" customHeight="1" x14ac:dyDescent="0.2">
      <c r="B253" s="109"/>
      <c r="C253" s="143" t="s">
        <v>342</v>
      </c>
      <c r="D253" s="143" t="s">
        <v>252</v>
      </c>
      <c r="E253" s="144" t="s">
        <v>343</v>
      </c>
      <c r="F253" s="145" t="s">
        <v>344</v>
      </c>
      <c r="G253" s="146" t="s">
        <v>314</v>
      </c>
      <c r="H253" s="147">
        <v>2</v>
      </c>
      <c r="I253" s="148">
        <v>0</v>
      </c>
      <c r="J253" s="148">
        <f>ROUND(I253*H253,2)</f>
        <v>0</v>
      </c>
      <c r="K253" s="145" t="s">
        <v>1</v>
      </c>
      <c r="L253" s="149"/>
      <c r="M253" s="150" t="s">
        <v>1</v>
      </c>
      <c r="N253" s="151" t="s">
        <v>39</v>
      </c>
      <c r="O253" s="118">
        <v>0</v>
      </c>
      <c r="P253" s="118">
        <f>O253*H253</f>
        <v>0</v>
      </c>
      <c r="Q253" s="118">
        <v>7.2000000000000005E-4</v>
      </c>
      <c r="R253" s="118">
        <f>Q253*H253</f>
        <v>1.4400000000000001E-3</v>
      </c>
      <c r="S253" s="118">
        <v>0</v>
      </c>
      <c r="T253" s="119">
        <f>S253*H253</f>
        <v>0</v>
      </c>
      <c r="W253"/>
      <c r="X253"/>
      <c r="Y253"/>
      <c r="AJ253" s="120" t="s">
        <v>171</v>
      </c>
      <c r="AL253" s="120" t="s">
        <v>252</v>
      </c>
      <c r="AM253" s="120" t="s">
        <v>65</v>
      </c>
      <c r="AQ253" s="17" t="s">
        <v>101</v>
      </c>
      <c r="AW253" s="121">
        <f>IF(N253="základní",J253,0)</f>
        <v>0</v>
      </c>
      <c r="AX253" s="121">
        <f>IF(N253="snížená",J253,0)</f>
        <v>0</v>
      </c>
      <c r="AY253" s="121">
        <f>IF(N253="zákl. přenesená",J253,0)</f>
        <v>0</v>
      </c>
      <c r="AZ253" s="121">
        <f>IF(N253="sníž. přenesená",J253,0)</f>
        <v>0</v>
      </c>
      <c r="BA253" s="121">
        <f>IF(N253="nulová",J253,0)</f>
        <v>0</v>
      </c>
      <c r="BB253" s="17" t="s">
        <v>63</v>
      </c>
      <c r="BC253" s="121">
        <f>ROUND(I253*H253,2)</f>
        <v>0</v>
      </c>
      <c r="BD253" s="17" t="s">
        <v>108</v>
      </c>
      <c r="BE253" s="120" t="s">
        <v>345</v>
      </c>
    </row>
    <row r="254" spans="2:57" s="1" customFormat="1" ht="44.25" customHeight="1" x14ac:dyDescent="0.2">
      <c r="B254" s="109"/>
      <c r="C254" s="110" t="s">
        <v>346</v>
      </c>
      <c r="D254" s="110" t="s">
        <v>103</v>
      </c>
      <c r="E254" s="111" t="s">
        <v>347</v>
      </c>
      <c r="F254" s="112" t="s">
        <v>348</v>
      </c>
      <c r="G254" s="113" t="s">
        <v>314</v>
      </c>
      <c r="H254" s="114">
        <v>4</v>
      </c>
      <c r="I254" s="115">
        <v>0</v>
      </c>
      <c r="J254" s="115">
        <f>ROUND(I254*H254,2)</f>
        <v>0</v>
      </c>
      <c r="K254" s="112" t="s">
        <v>107</v>
      </c>
      <c r="L254" s="28"/>
      <c r="M254" s="116" t="s">
        <v>1</v>
      </c>
      <c r="N254" s="117" t="s">
        <v>39</v>
      </c>
      <c r="O254" s="118">
        <v>1.0069999999999999</v>
      </c>
      <c r="P254" s="118">
        <f>O254*H254</f>
        <v>4.0279999999999996</v>
      </c>
      <c r="Q254" s="118">
        <v>2.82E-3</v>
      </c>
      <c r="R254" s="118">
        <f>Q254*H254</f>
        <v>1.128E-2</v>
      </c>
      <c r="S254" s="118">
        <v>0</v>
      </c>
      <c r="T254" s="119">
        <f>S254*H254</f>
        <v>0</v>
      </c>
      <c r="W254"/>
      <c r="X254"/>
      <c r="Y254"/>
      <c r="AJ254" s="120" t="s">
        <v>108</v>
      </c>
      <c r="AL254" s="120" t="s">
        <v>103</v>
      </c>
      <c r="AM254" s="120" t="s">
        <v>65</v>
      </c>
      <c r="AQ254" s="17" t="s">
        <v>101</v>
      </c>
      <c r="AW254" s="121">
        <f>IF(N254="základní",J254,0)</f>
        <v>0</v>
      </c>
      <c r="AX254" s="121">
        <f>IF(N254="snížená",J254,0)</f>
        <v>0</v>
      </c>
      <c r="AY254" s="121">
        <f>IF(N254="zákl. přenesená",J254,0)</f>
        <v>0</v>
      </c>
      <c r="AZ254" s="121">
        <f>IF(N254="sníž. přenesená",J254,0)</f>
        <v>0</v>
      </c>
      <c r="BA254" s="121">
        <f>IF(N254="nulová",J254,0)</f>
        <v>0</v>
      </c>
      <c r="BB254" s="17" t="s">
        <v>63</v>
      </c>
      <c r="BC254" s="121">
        <f>ROUND(I254*H254,2)</f>
        <v>0</v>
      </c>
      <c r="BD254" s="17" t="s">
        <v>108</v>
      </c>
      <c r="BE254" s="120" t="s">
        <v>349</v>
      </c>
    </row>
    <row r="255" spans="2:57" s="1" customFormat="1" x14ac:dyDescent="0.2">
      <c r="B255" s="28"/>
      <c r="D255" s="122" t="s">
        <v>110</v>
      </c>
      <c r="F255" s="123" t="s">
        <v>350</v>
      </c>
      <c r="L255" s="28"/>
      <c r="M255" s="124"/>
      <c r="T255" s="48"/>
      <c r="W255"/>
      <c r="X255"/>
      <c r="Y255"/>
      <c r="AL255" s="17" t="s">
        <v>110</v>
      </c>
      <c r="AM255" s="17" t="s">
        <v>65</v>
      </c>
    </row>
    <row r="256" spans="2:57" s="1" customFormat="1" ht="24.2" customHeight="1" x14ac:dyDescent="0.2">
      <c r="B256" s="109"/>
      <c r="C256" s="143" t="s">
        <v>351</v>
      </c>
      <c r="D256" s="143" t="s">
        <v>252</v>
      </c>
      <c r="E256" s="144" t="s">
        <v>352</v>
      </c>
      <c r="F256" s="145" t="s">
        <v>353</v>
      </c>
      <c r="G256" s="146" t="s">
        <v>314</v>
      </c>
      <c r="H256" s="147">
        <v>1</v>
      </c>
      <c r="I256" s="148">
        <v>0</v>
      </c>
      <c r="J256" s="148">
        <f>ROUND(I256*H256,2)</f>
        <v>0</v>
      </c>
      <c r="K256" s="145" t="s">
        <v>107</v>
      </c>
      <c r="L256" s="149"/>
      <c r="M256" s="150" t="s">
        <v>1</v>
      </c>
      <c r="N256" s="151" t="s">
        <v>39</v>
      </c>
      <c r="O256" s="118">
        <v>0</v>
      </c>
      <c r="P256" s="118">
        <f>O256*H256</f>
        <v>0</v>
      </c>
      <c r="Q256" s="118">
        <v>1.3899999999999999E-2</v>
      </c>
      <c r="R256" s="118">
        <f>Q256*H256</f>
        <v>1.3899999999999999E-2</v>
      </c>
      <c r="S256" s="118">
        <v>0</v>
      </c>
      <c r="T256" s="119">
        <f>S256*H256</f>
        <v>0</v>
      </c>
      <c r="W256"/>
      <c r="X256"/>
      <c r="Y256"/>
      <c r="AJ256" s="120" t="s">
        <v>171</v>
      </c>
      <c r="AL256" s="120" t="s">
        <v>252</v>
      </c>
      <c r="AM256" s="120" t="s">
        <v>65</v>
      </c>
      <c r="AQ256" s="17" t="s">
        <v>101</v>
      </c>
      <c r="AW256" s="121">
        <f>IF(N256="základní",J256,0)</f>
        <v>0</v>
      </c>
      <c r="AX256" s="121">
        <f>IF(N256="snížená",J256,0)</f>
        <v>0</v>
      </c>
      <c r="AY256" s="121">
        <f>IF(N256="zákl. přenesená",J256,0)</f>
        <v>0</v>
      </c>
      <c r="AZ256" s="121">
        <f>IF(N256="sníž. přenesená",J256,0)</f>
        <v>0</v>
      </c>
      <c r="BA256" s="121">
        <f>IF(N256="nulová",J256,0)</f>
        <v>0</v>
      </c>
      <c r="BB256" s="17" t="s">
        <v>63</v>
      </c>
      <c r="BC256" s="121">
        <f>ROUND(I256*H256,2)</f>
        <v>0</v>
      </c>
      <c r="BD256" s="17" t="s">
        <v>108</v>
      </c>
      <c r="BE256" s="120" t="s">
        <v>354</v>
      </c>
    </row>
    <row r="257" spans="2:57" s="1" customFormat="1" ht="24.2" customHeight="1" x14ac:dyDescent="0.2">
      <c r="B257" s="109"/>
      <c r="C257" s="143" t="s">
        <v>355</v>
      </c>
      <c r="D257" s="143" t="s">
        <v>252</v>
      </c>
      <c r="E257" s="144" t="s">
        <v>356</v>
      </c>
      <c r="F257" s="145" t="s">
        <v>357</v>
      </c>
      <c r="G257" s="146" t="s">
        <v>314</v>
      </c>
      <c r="H257" s="147">
        <v>3</v>
      </c>
      <c r="I257" s="148">
        <v>0</v>
      </c>
      <c r="J257" s="148">
        <f>ROUND(I257*H257,2)</f>
        <v>0</v>
      </c>
      <c r="K257" s="145" t="s">
        <v>1</v>
      </c>
      <c r="L257" s="149"/>
      <c r="M257" s="150" t="s">
        <v>1</v>
      </c>
      <c r="N257" s="151" t="s">
        <v>39</v>
      </c>
      <c r="O257" s="118">
        <v>0</v>
      </c>
      <c r="P257" s="118">
        <f>O257*H257</f>
        <v>0</v>
      </c>
      <c r="Q257" s="118">
        <v>1.72E-3</v>
      </c>
      <c r="R257" s="118">
        <f>Q257*H257</f>
        <v>5.1599999999999997E-3</v>
      </c>
      <c r="S257" s="118">
        <v>0</v>
      </c>
      <c r="T257" s="119">
        <f>S257*H257</f>
        <v>0</v>
      </c>
      <c r="W257"/>
      <c r="X257"/>
      <c r="Y257"/>
      <c r="AJ257" s="120" t="s">
        <v>171</v>
      </c>
      <c r="AL257" s="120" t="s">
        <v>252</v>
      </c>
      <c r="AM257" s="120" t="s">
        <v>65</v>
      </c>
      <c r="AQ257" s="17" t="s">
        <v>101</v>
      </c>
      <c r="AW257" s="121">
        <f>IF(N257="základní",J257,0)</f>
        <v>0</v>
      </c>
      <c r="AX257" s="121">
        <f>IF(N257="snížená",J257,0)</f>
        <v>0</v>
      </c>
      <c r="AY257" s="121">
        <f>IF(N257="zákl. přenesená",J257,0)</f>
        <v>0</v>
      </c>
      <c r="AZ257" s="121">
        <f>IF(N257="sníž. přenesená",J257,0)</f>
        <v>0</v>
      </c>
      <c r="BA257" s="121">
        <f>IF(N257="nulová",J257,0)</f>
        <v>0</v>
      </c>
      <c r="BB257" s="17" t="s">
        <v>63</v>
      </c>
      <c r="BC257" s="121">
        <f>ROUND(I257*H257,2)</f>
        <v>0</v>
      </c>
      <c r="BD257" s="17" t="s">
        <v>108</v>
      </c>
      <c r="BE257" s="120" t="s">
        <v>358</v>
      </c>
    </row>
    <row r="258" spans="2:57" s="1" customFormat="1" ht="24.2" customHeight="1" x14ac:dyDescent="0.2">
      <c r="B258" s="109"/>
      <c r="C258" s="143" t="s">
        <v>359</v>
      </c>
      <c r="D258" s="143" t="s">
        <v>252</v>
      </c>
      <c r="E258" s="144" t="s">
        <v>360</v>
      </c>
      <c r="F258" s="145" t="s">
        <v>361</v>
      </c>
      <c r="G258" s="146" t="s">
        <v>314</v>
      </c>
      <c r="H258" s="147">
        <v>1</v>
      </c>
      <c r="I258" s="148">
        <v>0</v>
      </c>
      <c r="J258" s="148">
        <f>ROUND(I258*H258,2)</f>
        <v>0</v>
      </c>
      <c r="K258" s="145" t="s">
        <v>1</v>
      </c>
      <c r="L258" s="149"/>
      <c r="M258" s="150" t="s">
        <v>1</v>
      </c>
      <c r="N258" s="151" t="s">
        <v>39</v>
      </c>
      <c r="O258" s="118">
        <v>0</v>
      </c>
      <c r="P258" s="118">
        <f>O258*H258</f>
        <v>0</v>
      </c>
      <c r="Q258" s="118">
        <v>1.2500000000000001E-2</v>
      </c>
      <c r="R258" s="118">
        <f>Q258*H258</f>
        <v>1.2500000000000001E-2</v>
      </c>
      <c r="S258" s="118">
        <v>0</v>
      </c>
      <c r="T258" s="119">
        <f>S258*H258</f>
        <v>0</v>
      </c>
      <c r="W258"/>
      <c r="X258"/>
      <c r="Y258"/>
      <c r="AJ258" s="120" t="s">
        <v>171</v>
      </c>
      <c r="AL258" s="120" t="s">
        <v>252</v>
      </c>
      <c r="AM258" s="120" t="s">
        <v>65</v>
      </c>
      <c r="AQ258" s="17" t="s">
        <v>101</v>
      </c>
      <c r="AW258" s="121">
        <f>IF(N258="základní",J258,0)</f>
        <v>0</v>
      </c>
      <c r="AX258" s="121">
        <f>IF(N258="snížená",J258,0)</f>
        <v>0</v>
      </c>
      <c r="AY258" s="121">
        <f>IF(N258="zákl. přenesená",J258,0)</f>
        <v>0</v>
      </c>
      <c r="AZ258" s="121">
        <f>IF(N258="sníž. přenesená",J258,0)</f>
        <v>0</v>
      </c>
      <c r="BA258" s="121">
        <f>IF(N258="nulová",J258,0)</f>
        <v>0</v>
      </c>
      <c r="BB258" s="17" t="s">
        <v>63</v>
      </c>
      <c r="BC258" s="121">
        <f>ROUND(I258*H258,2)</f>
        <v>0</v>
      </c>
      <c r="BD258" s="17" t="s">
        <v>108</v>
      </c>
      <c r="BE258" s="120" t="s">
        <v>362</v>
      </c>
    </row>
    <row r="259" spans="2:57" s="1" customFormat="1" ht="44.25" customHeight="1" x14ac:dyDescent="0.2">
      <c r="B259" s="109"/>
      <c r="C259" s="110" t="s">
        <v>363</v>
      </c>
      <c r="D259" s="110" t="s">
        <v>103</v>
      </c>
      <c r="E259" s="111" t="s">
        <v>364</v>
      </c>
      <c r="F259" s="112" t="s">
        <v>365</v>
      </c>
      <c r="G259" s="113" t="s">
        <v>314</v>
      </c>
      <c r="H259" s="114">
        <v>1</v>
      </c>
      <c r="I259" s="115">
        <v>0</v>
      </c>
      <c r="J259" s="115">
        <f>ROUND(I259*H259,2)</f>
        <v>0</v>
      </c>
      <c r="K259" s="112" t="s">
        <v>107</v>
      </c>
      <c r="L259" s="28"/>
      <c r="M259" s="116" t="s">
        <v>1</v>
      </c>
      <c r="N259" s="117" t="s">
        <v>39</v>
      </c>
      <c r="O259" s="118">
        <v>1.391</v>
      </c>
      <c r="P259" s="118">
        <f>O259*H259</f>
        <v>1.391</v>
      </c>
      <c r="Q259" s="118">
        <v>3.6600000000000001E-3</v>
      </c>
      <c r="R259" s="118">
        <f>Q259*H259</f>
        <v>3.6600000000000001E-3</v>
      </c>
      <c r="S259" s="118">
        <v>0</v>
      </c>
      <c r="T259" s="119">
        <f>S259*H259</f>
        <v>0</v>
      </c>
      <c r="W259"/>
      <c r="X259"/>
      <c r="Y259"/>
      <c r="AJ259" s="120" t="s">
        <v>108</v>
      </c>
      <c r="AL259" s="120" t="s">
        <v>103</v>
      </c>
      <c r="AM259" s="120" t="s">
        <v>65</v>
      </c>
      <c r="AQ259" s="17" t="s">
        <v>101</v>
      </c>
      <c r="AW259" s="121">
        <f>IF(N259="základní",J259,0)</f>
        <v>0</v>
      </c>
      <c r="AX259" s="121">
        <f>IF(N259="snížená",J259,0)</f>
        <v>0</v>
      </c>
      <c r="AY259" s="121">
        <f>IF(N259="zákl. přenesená",J259,0)</f>
        <v>0</v>
      </c>
      <c r="AZ259" s="121">
        <f>IF(N259="sníž. přenesená",J259,0)</f>
        <v>0</v>
      </c>
      <c r="BA259" s="121">
        <f>IF(N259="nulová",J259,0)</f>
        <v>0</v>
      </c>
      <c r="BB259" s="17" t="s">
        <v>63</v>
      </c>
      <c r="BC259" s="121">
        <f>ROUND(I259*H259,2)</f>
        <v>0</v>
      </c>
      <c r="BD259" s="17" t="s">
        <v>108</v>
      </c>
      <c r="BE259" s="120" t="s">
        <v>366</v>
      </c>
    </row>
    <row r="260" spans="2:57" s="1" customFormat="1" x14ac:dyDescent="0.2">
      <c r="B260" s="28"/>
      <c r="D260" s="122" t="s">
        <v>110</v>
      </c>
      <c r="F260" s="123" t="s">
        <v>367</v>
      </c>
      <c r="L260" s="28"/>
      <c r="M260" s="124"/>
      <c r="T260" s="48"/>
      <c r="W260"/>
      <c r="X260"/>
      <c r="Y260"/>
      <c r="AL260" s="17" t="s">
        <v>110</v>
      </c>
      <c r="AM260" s="17" t="s">
        <v>65</v>
      </c>
    </row>
    <row r="261" spans="2:57" s="1" customFormat="1" ht="24.2" customHeight="1" x14ac:dyDescent="0.2">
      <c r="B261" s="109"/>
      <c r="C261" s="143" t="s">
        <v>368</v>
      </c>
      <c r="D261" s="143" t="s">
        <v>252</v>
      </c>
      <c r="E261" s="144" t="s">
        <v>369</v>
      </c>
      <c r="F261" s="145" t="s">
        <v>370</v>
      </c>
      <c r="G261" s="146" t="s">
        <v>314</v>
      </c>
      <c r="H261" s="147">
        <v>1</v>
      </c>
      <c r="I261" s="148">
        <v>0</v>
      </c>
      <c r="J261" s="148">
        <f>ROUND(I261*H261,2)</f>
        <v>0</v>
      </c>
      <c r="K261" s="145" t="s">
        <v>107</v>
      </c>
      <c r="L261" s="149"/>
      <c r="M261" s="150" t="s">
        <v>1</v>
      </c>
      <c r="N261" s="151" t="s">
        <v>39</v>
      </c>
      <c r="O261" s="118">
        <v>0</v>
      </c>
      <c r="P261" s="118">
        <f>O261*H261</f>
        <v>0</v>
      </c>
      <c r="Q261" s="118">
        <v>2.9899999999999999E-2</v>
      </c>
      <c r="R261" s="118">
        <f>Q261*H261</f>
        <v>2.9899999999999999E-2</v>
      </c>
      <c r="S261" s="118">
        <v>0</v>
      </c>
      <c r="T261" s="119">
        <f>S261*H261</f>
        <v>0</v>
      </c>
      <c r="W261"/>
      <c r="X261"/>
      <c r="Y261"/>
      <c r="AJ261" s="120" t="s">
        <v>171</v>
      </c>
      <c r="AL261" s="120" t="s">
        <v>252</v>
      </c>
      <c r="AM261" s="120" t="s">
        <v>65</v>
      </c>
      <c r="AQ261" s="17" t="s">
        <v>101</v>
      </c>
      <c r="AW261" s="121">
        <f>IF(N261="základní",J261,0)</f>
        <v>0</v>
      </c>
      <c r="AX261" s="121">
        <f>IF(N261="snížená",J261,0)</f>
        <v>0</v>
      </c>
      <c r="AY261" s="121">
        <f>IF(N261="zákl. přenesená",J261,0)</f>
        <v>0</v>
      </c>
      <c r="AZ261" s="121">
        <f>IF(N261="sníž. přenesená",J261,0)</f>
        <v>0</v>
      </c>
      <c r="BA261" s="121">
        <f>IF(N261="nulová",J261,0)</f>
        <v>0</v>
      </c>
      <c r="BB261" s="17" t="s">
        <v>63</v>
      </c>
      <c r="BC261" s="121">
        <f>ROUND(I261*H261,2)</f>
        <v>0</v>
      </c>
      <c r="BD261" s="17" t="s">
        <v>108</v>
      </c>
      <c r="BE261" s="120" t="s">
        <v>371</v>
      </c>
    </row>
    <row r="262" spans="2:57" s="1" customFormat="1" ht="33" customHeight="1" x14ac:dyDescent="0.2">
      <c r="B262" s="109"/>
      <c r="C262" s="143" t="s">
        <v>372</v>
      </c>
      <c r="D262" s="143" t="s">
        <v>252</v>
      </c>
      <c r="E262" s="144" t="s">
        <v>373</v>
      </c>
      <c r="F262" s="145" t="s">
        <v>374</v>
      </c>
      <c r="G262" s="146" t="s">
        <v>314</v>
      </c>
      <c r="H262" s="147">
        <v>1</v>
      </c>
      <c r="I262" s="148">
        <v>0</v>
      </c>
      <c r="J262" s="148">
        <f>ROUND(I262*H262,2)</f>
        <v>0</v>
      </c>
      <c r="K262" s="145" t="s">
        <v>107</v>
      </c>
      <c r="L262" s="149"/>
      <c r="M262" s="150" t="s">
        <v>1</v>
      </c>
      <c r="N262" s="151" t="s">
        <v>39</v>
      </c>
      <c r="O262" s="118">
        <v>0</v>
      </c>
      <c r="P262" s="118">
        <f>O262*H262</f>
        <v>0</v>
      </c>
      <c r="Q262" s="118">
        <v>2.8400000000000002E-2</v>
      </c>
      <c r="R262" s="118">
        <f>Q262*H262</f>
        <v>2.8400000000000002E-2</v>
      </c>
      <c r="S262" s="118">
        <v>0</v>
      </c>
      <c r="T262" s="119">
        <f>S262*H262</f>
        <v>0</v>
      </c>
      <c r="W262"/>
      <c r="X262"/>
      <c r="Y262"/>
      <c r="AJ262" s="120" t="s">
        <v>171</v>
      </c>
      <c r="AL262" s="120" t="s">
        <v>252</v>
      </c>
      <c r="AM262" s="120" t="s">
        <v>65</v>
      </c>
      <c r="AQ262" s="17" t="s">
        <v>101</v>
      </c>
      <c r="AW262" s="121">
        <f>IF(N262="základní",J262,0)</f>
        <v>0</v>
      </c>
      <c r="AX262" s="121">
        <f>IF(N262="snížená",J262,0)</f>
        <v>0</v>
      </c>
      <c r="AY262" s="121">
        <f>IF(N262="zákl. přenesená",J262,0)</f>
        <v>0</v>
      </c>
      <c r="AZ262" s="121">
        <f>IF(N262="sníž. přenesená",J262,0)</f>
        <v>0</v>
      </c>
      <c r="BA262" s="121">
        <f>IF(N262="nulová",J262,0)</f>
        <v>0</v>
      </c>
      <c r="BB262" s="17" t="s">
        <v>63</v>
      </c>
      <c r="BC262" s="121">
        <f>ROUND(I262*H262,2)</f>
        <v>0</v>
      </c>
      <c r="BD262" s="17" t="s">
        <v>108</v>
      </c>
      <c r="BE262" s="120" t="s">
        <v>375</v>
      </c>
    </row>
    <row r="263" spans="2:57" s="1" customFormat="1" ht="33" customHeight="1" x14ac:dyDescent="0.2">
      <c r="B263" s="109"/>
      <c r="C263" s="143" t="s">
        <v>376</v>
      </c>
      <c r="D263" s="143" t="s">
        <v>252</v>
      </c>
      <c r="E263" s="144" t="s">
        <v>377</v>
      </c>
      <c r="F263" s="145" t="s">
        <v>378</v>
      </c>
      <c r="G263" s="146" t="s">
        <v>314</v>
      </c>
      <c r="H263" s="147">
        <v>1</v>
      </c>
      <c r="I263" s="148">
        <v>0</v>
      </c>
      <c r="J263" s="148">
        <f>ROUND(I263*H263,2)</f>
        <v>0</v>
      </c>
      <c r="K263" s="145" t="s">
        <v>107</v>
      </c>
      <c r="L263" s="149"/>
      <c r="M263" s="150" t="s">
        <v>1</v>
      </c>
      <c r="N263" s="151" t="s">
        <v>39</v>
      </c>
      <c r="O263" s="118">
        <v>0</v>
      </c>
      <c r="P263" s="118">
        <f>O263*H263</f>
        <v>0</v>
      </c>
      <c r="Q263" s="118">
        <v>2.76E-2</v>
      </c>
      <c r="R263" s="118">
        <f>Q263*H263</f>
        <v>2.76E-2</v>
      </c>
      <c r="S263" s="118">
        <v>0</v>
      </c>
      <c r="T263" s="119">
        <f>S263*H263</f>
        <v>0</v>
      </c>
      <c r="W263"/>
      <c r="X263"/>
      <c r="Y263"/>
      <c r="AJ263" s="120" t="s">
        <v>171</v>
      </c>
      <c r="AL263" s="120" t="s">
        <v>252</v>
      </c>
      <c r="AM263" s="120" t="s">
        <v>65</v>
      </c>
      <c r="AQ263" s="17" t="s">
        <v>101</v>
      </c>
      <c r="AW263" s="121">
        <f>IF(N263="základní",J263,0)</f>
        <v>0</v>
      </c>
      <c r="AX263" s="121">
        <f>IF(N263="snížená",J263,0)</f>
        <v>0</v>
      </c>
      <c r="AY263" s="121">
        <f>IF(N263="zákl. přenesená",J263,0)</f>
        <v>0</v>
      </c>
      <c r="AZ263" s="121">
        <f>IF(N263="sníž. přenesená",J263,0)</f>
        <v>0</v>
      </c>
      <c r="BA263" s="121">
        <f>IF(N263="nulová",J263,0)</f>
        <v>0</v>
      </c>
      <c r="BB263" s="17" t="s">
        <v>63</v>
      </c>
      <c r="BC263" s="121">
        <f>ROUND(I263*H263,2)</f>
        <v>0</v>
      </c>
      <c r="BD263" s="17" t="s">
        <v>108</v>
      </c>
      <c r="BE263" s="120" t="s">
        <v>379</v>
      </c>
    </row>
    <row r="264" spans="2:57" s="1" customFormat="1" ht="37.9" customHeight="1" x14ac:dyDescent="0.2">
      <c r="B264" s="109"/>
      <c r="C264" s="110" t="s">
        <v>380</v>
      </c>
      <c r="D264" s="110" t="s">
        <v>103</v>
      </c>
      <c r="E264" s="111" t="s">
        <v>381</v>
      </c>
      <c r="F264" s="112" t="s">
        <v>382</v>
      </c>
      <c r="G264" s="113" t="s">
        <v>106</v>
      </c>
      <c r="H264" s="114">
        <f>12.3*0.18</f>
        <v>2.214</v>
      </c>
      <c r="I264" s="115">
        <v>0</v>
      </c>
      <c r="J264" s="115">
        <f>ROUND(I264*H264,2)</f>
        <v>0</v>
      </c>
      <c r="K264" s="112" t="s">
        <v>107</v>
      </c>
      <c r="L264" s="28"/>
      <c r="M264" s="116" t="s">
        <v>1</v>
      </c>
      <c r="N264" s="117" t="s">
        <v>39</v>
      </c>
      <c r="O264" s="118">
        <v>0.23499999999999999</v>
      </c>
      <c r="P264" s="118">
        <f>O264*H264</f>
        <v>0.52028999999999992</v>
      </c>
      <c r="Q264" s="118">
        <v>0</v>
      </c>
      <c r="R264" s="118">
        <f>Q264*H264</f>
        <v>0</v>
      </c>
      <c r="S264" s="118">
        <v>0</v>
      </c>
      <c r="T264" s="119">
        <f>S264*H264</f>
        <v>0</v>
      </c>
      <c r="W264"/>
      <c r="X264"/>
      <c r="Y264"/>
      <c r="AJ264" s="120" t="s">
        <v>108</v>
      </c>
      <c r="AL264" s="120" t="s">
        <v>103</v>
      </c>
      <c r="AM264" s="120" t="s">
        <v>65</v>
      </c>
      <c r="AQ264" s="17" t="s">
        <v>101</v>
      </c>
      <c r="AW264" s="121">
        <f>IF(N264="základní",J264,0)</f>
        <v>0</v>
      </c>
      <c r="AX264" s="121">
        <f>IF(N264="snížená",J264,0)</f>
        <v>0</v>
      </c>
      <c r="AY264" s="121">
        <f>IF(N264="zákl. přenesená",J264,0)</f>
        <v>0</v>
      </c>
      <c r="AZ264" s="121">
        <f>IF(N264="sníž. přenesená",J264,0)</f>
        <v>0</v>
      </c>
      <c r="BA264" s="121">
        <f>IF(N264="nulová",J264,0)</f>
        <v>0</v>
      </c>
      <c r="BB264" s="17" t="s">
        <v>63</v>
      </c>
      <c r="BC264" s="121">
        <f>ROUND(I264*H264,2)</f>
        <v>0</v>
      </c>
      <c r="BD264" s="17" t="s">
        <v>108</v>
      </c>
      <c r="BE264" s="120" t="s">
        <v>383</v>
      </c>
    </row>
    <row r="265" spans="2:57" s="1" customFormat="1" x14ac:dyDescent="0.2">
      <c r="B265" s="28"/>
      <c r="D265" s="122" t="s">
        <v>110</v>
      </c>
      <c r="F265" s="123" t="s">
        <v>384</v>
      </c>
      <c r="L265" s="28"/>
      <c r="M265" s="124"/>
      <c r="T265" s="48"/>
      <c r="W265"/>
      <c r="X265"/>
      <c r="Y265"/>
      <c r="AL265" s="17" t="s">
        <v>110</v>
      </c>
      <c r="AM265" s="17" t="s">
        <v>65</v>
      </c>
    </row>
    <row r="266" spans="2:57" s="1" customFormat="1" ht="21.75" customHeight="1" x14ac:dyDescent="0.2">
      <c r="B266" s="109"/>
      <c r="C266" s="143" t="s">
        <v>385</v>
      </c>
      <c r="D266" s="143" t="s">
        <v>252</v>
      </c>
      <c r="E266" s="144" t="s">
        <v>386</v>
      </c>
      <c r="F266" s="145" t="s">
        <v>387</v>
      </c>
      <c r="G266" s="146" t="s">
        <v>106</v>
      </c>
      <c r="H266" s="147">
        <f>12.485*0.18</f>
        <v>2.2472999999999996</v>
      </c>
      <c r="I266" s="148">
        <v>0</v>
      </c>
      <c r="J266" s="148">
        <f>ROUND(I266*H266,2)</f>
        <v>0</v>
      </c>
      <c r="K266" s="145" t="s">
        <v>107</v>
      </c>
      <c r="L266" s="149"/>
      <c r="M266" s="150" t="s">
        <v>1</v>
      </c>
      <c r="N266" s="151" t="s">
        <v>39</v>
      </c>
      <c r="O266" s="118">
        <v>0</v>
      </c>
      <c r="P266" s="118">
        <f>O266*H266</f>
        <v>0</v>
      </c>
      <c r="Q266" s="118">
        <v>1.47E-3</v>
      </c>
      <c r="R266" s="118">
        <f>Q266*H266</f>
        <v>3.3035309999999993E-3</v>
      </c>
      <c r="S266" s="118">
        <v>0</v>
      </c>
      <c r="T266" s="119">
        <f>S266*H266</f>
        <v>0</v>
      </c>
      <c r="W266"/>
      <c r="X266"/>
      <c r="Y266"/>
      <c r="AJ266" s="120" t="s">
        <v>171</v>
      </c>
      <c r="AL266" s="120" t="s">
        <v>252</v>
      </c>
      <c r="AM266" s="120" t="s">
        <v>65</v>
      </c>
      <c r="AQ266" s="17" t="s">
        <v>101</v>
      </c>
      <c r="AW266" s="121">
        <f>IF(N266="základní",J266,0)</f>
        <v>0</v>
      </c>
      <c r="AX266" s="121">
        <f>IF(N266="snížená",J266,0)</f>
        <v>0</v>
      </c>
      <c r="AY266" s="121">
        <f>IF(N266="zákl. přenesená",J266,0)</f>
        <v>0</v>
      </c>
      <c r="AZ266" s="121">
        <f>IF(N266="sníž. přenesená",J266,0)</f>
        <v>0</v>
      </c>
      <c r="BA266" s="121">
        <f>IF(N266="nulová",J266,0)</f>
        <v>0</v>
      </c>
      <c r="BB266" s="17" t="s">
        <v>63</v>
      </c>
      <c r="BC266" s="121">
        <f>ROUND(I266*H266,2)</f>
        <v>0</v>
      </c>
      <c r="BD266" s="17" t="s">
        <v>108</v>
      </c>
      <c r="BE266" s="120" t="s">
        <v>388</v>
      </c>
    </row>
    <row r="267" spans="2:57" s="13" customFormat="1" x14ac:dyDescent="0.2">
      <c r="B267" s="131"/>
      <c r="D267" s="126" t="s">
        <v>112</v>
      </c>
      <c r="F267" s="133" t="s">
        <v>389</v>
      </c>
      <c r="H267" s="134">
        <f>12.485*0.18</f>
        <v>2.2472999999999996</v>
      </c>
      <c r="L267" s="131"/>
      <c r="M267" s="135"/>
      <c r="T267" s="136"/>
      <c r="W267"/>
      <c r="X267"/>
      <c r="Y267"/>
      <c r="AL267" s="132" t="s">
        <v>112</v>
      </c>
      <c r="AM267" s="132" t="s">
        <v>65</v>
      </c>
      <c r="AN267" s="13" t="s">
        <v>65</v>
      </c>
      <c r="AO267" s="13" t="s">
        <v>2</v>
      </c>
      <c r="AP267" s="13" t="s">
        <v>63</v>
      </c>
      <c r="AQ267" s="132" t="s">
        <v>101</v>
      </c>
    </row>
    <row r="268" spans="2:57" s="1" customFormat="1" ht="37.9" customHeight="1" x14ac:dyDescent="0.2">
      <c r="B268" s="109"/>
      <c r="C268" s="110" t="s">
        <v>390</v>
      </c>
      <c r="D268" s="110" t="s">
        <v>103</v>
      </c>
      <c r="E268" s="111" t="s">
        <v>391</v>
      </c>
      <c r="F268" s="112" t="s">
        <v>392</v>
      </c>
      <c r="G268" s="113" t="s">
        <v>106</v>
      </c>
      <c r="H268" s="114">
        <f>189.9*0.18</f>
        <v>34.182000000000002</v>
      </c>
      <c r="I268" s="115">
        <v>0</v>
      </c>
      <c r="J268" s="115">
        <f>ROUND(I268*H268,2)</f>
        <v>0</v>
      </c>
      <c r="K268" s="112" t="s">
        <v>107</v>
      </c>
      <c r="L268" s="28"/>
      <c r="M268" s="116" t="s">
        <v>1</v>
      </c>
      <c r="N268" s="117" t="s">
        <v>39</v>
      </c>
      <c r="O268" s="118">
        <v>0.248</v>
      </c>
      <c r="P268" s="118">
        <f>O268*H268</f>
        <v>8.4771359999999998</v>
      </c>
      <c r="Q268" s="118">
        <v>0</v>
      </c>
      <c r="R268" s="118">
        <f>Q268*H268</f>
        <v>0</v>
      </c>
      <c r="S268" s="118">
        <v>0</v>
      </c>
      <c r="T268" s="119">
        <f>S268*H268</f>
        <v>0</v>
      </c>
      <c r="W268"/>
      <c r="X268"/>
      <c r="Y268"/>
      <c r="AJ268" s="120" t="s">
        <v>108</v>
      </c>
      <c r="AL268" s="120" t="s">
        <v>103</v>
      </c>
      <c r="AM268" s="120" t="s">
        <v>65</v>
      </c>
      <c r="AQ268" s="17" t="s">
        <v>101</v>
      </c>
      <c r="AW268" s="121">
        <f>IF(N268="základní",J268,0)</f>
        <v>0</v>
      </c>
      <c r="AX268" s="121">
        <f>IF(N268="snížená",J268,0)</f>
        <v>0</v>
      </c>
      <c r="AY268" s="121">
        <f>IF(N268="zákl. přenesená",J268,0)</f>
        <v>0</v>
      </c>
      <c r="AZ268" s="121">
        <f>IF(N268="sníž. přenesená",J268,0)</f>
        <v>0</v>
      </c>
      <c r="BA268" s="121">
        <f>IF(N268="nulová",J268,0)</f>
        <v>0</v>
      </c>
      <c r="BB268" s="17" t="s">
        <v>63</v>
      </c>
      <c r="BC268" s="121">
        <f>ROUND(I268*H268,2)</f>
        <v>0</v>
      </c>
      <c r="BD268" s="17" t="s">
        <v>108</v>
      </c>
      <c r="BE268" s="120" t="s">
        <v>393</v>
      </c>
    </row>
    <row r="269" spans="2:57" s="1" customFormat="1" x14ac:dyDescent="0.2">
      <c r="B269" s="28"/>
      <c r="D269" s="122" t="s">
        <v>110</v>
      </c>
      <c r="F269" s="123" t="s">
        <v>394</v>
      </c>
      <c r="L269" s="28"/>
      <c r="M269" s="124"/>
      <c r="T269" s="48"/>
      <c r="W269"/>
      <c r="X269"/>
      <c r="Y269"/>
      <c r="AL269" s="17" t="s">
        <v>110</v>
      </c>
      <c r="AM269" s="17" t="s">
        <v>65</v>
      </c>
    </row>
    <row r="270" spans="2:57" s="1" customFormat="1" ht="21.75" customHeight="1" x14ac:dyDescent="0.2">
      <c r="B270" s="109"/>
      <c r="C270" s="143" t="s">
        <v>395</v>
      </c>
      <c r="D270" s="143" t="s">
        <v>252</v>
      </c>
      <c r="E270" s="144" t="s">
        <v>396</v>
      </c>
      <c r="F270" s="145" t="s">
        <v>397</v>
      </c>
      <c r="G270" s="146" t="s">
        <v>106</v>
      </c>
      <c r="H270" s="147">
        <f>192.749*0.18</f>
        <v>34.69482</v>
      </c>
      <c r="I270" s="148">
        <v>0</v>
      </c>
      <c r="J270" s="148">
        <f>ROUND(I270*H270,2)</f>
        <v>0</v>
      </c>
      <c r="K270" s="145" t="s">
        <v>107</v>
      </c>
      <c r="L270" s="149"/>
      <c r="M270" s="150" t="s">
        <v>1</v>
      </c>
      <c r="N270" s="151" t="s">
        <v>39</v>
      </c>
      <c r="O270" s="118">
        <v>0</v>
      </c>
      <c r="P270" s="118">
        <f>O270*H270</f>
        <v>0</v>
      </c>
      <c r="Q270" s="118">
        <v>2.1800000000000001E-3</v>
      </c>
      <c r="R270" s="118">
        <f>Q270*H270</f>
        <v>7.5634707600000003E-2</v>
      </c>
      <c r="S270" s="118">
        <v>0</v>
      </c>
      <c r="T270" s="119">
        <f>S270*H270</f>
        <v>0</v>
      </c>
      <c r="W270"/>
      <c r="X270"/>
      <c r="Y270"/>
      <c r="AJ270" s="120" t="s">
        <v>171</v>
      </c>
      <c r="AL270" s="120" t="s">
        <v>252</v>
      </c>
      <c r="AM270" s="120" t="s">
        <v>65</v>
      </c>
      <c r="AQ270" s="17" t="s">
        <v>101</v>
      </c>
      <c r="AW270" s="121">
        <f>IF(N270="základní",J270,0)</f>
        <v>0</v>
      </c>
      <c r="AX270" s="121">
        <f>IF(N270="snížená",J270,0)</f>
        <v>0</v>
      </c>
      <c r="AY270" s="121">
        <f>IF(N270="zákl. přenesená",J270,0)</f>
        <v>0</v>
      </c>
      <c r="AZ270" s="121">
        <f>IF(N270="sníž. přenesená",J270,0)</f>
        <v>0</v>
      </c>
      <c r="BA270" s="121">
        <f>IF(N270="nulová",J270,0)</f>
        <v>0</v>
      </c>
      <c r="BB270" s="17" t="s">
        <v>63</v>
      </c>
      <c r="BC270" s="121">
        <f>ROUND(I270*H270,2)</f>
        <v>0</v>
      </c>
      <c r="BD270" s="17" t="s">
        <v>108</v>
      </c>
      <c r="BE270" s="120" t="s">
        <v>398</v>
      </c>
    </row>
    <row r="271" spans="2:57" s="13" customFormat="1" x14ac:dyDescent="0.2">
      <c r="B271" s="131"/>
      <c r="D271" s="126" t="s">
        <v>112</v>
      </c>
      <c r="F271" s="133" t="s">
        <v>399</v>
      </c>
      <c r="H271" s="134">
        <f>192.749*0.18</f>
        <v>34.69482</v>
      </c>
      <c r="L271" s="131"/>
      <c r="M271" s="135"/>
      <c r="T271" s="136"/>
      <c r="W271"/>
      <c r="X271"/>
      <c r="Y271"/>
      <c r="AL271" s="132" t="s">
        <v>112</v>
      </c>
      <c r="AM271" s="132" t="s">
        <v>65</v>
      </c>
      <c r="AN271" s="13" t="s">
        <v>65</v>
      </c>
      <c r="AO271" s="13" t="s">
        <v>2</v>
      </c>
      <c r="AP271" s="13" t="s">
        <v>63</v>
      </c>
      <c r="AQ271" s="132" t="s">
        <v>101</v>
      </c>
    </row>
    <row r="272" spans="2:57" s="1" customFormat="1" ht="33" customHeight="1" x14ac:dyDescent="0.2">
      <c r="B272" s="109"/>
      <c r="C272" s="110" t="s">
        <v>400</v>
      </c>
      <c r="D272" s="110" t="s">
        <v>103</v>
      </c>
      <c r="E272" s="111" t="s">
        <v>401</v>
      </c>
      <c r="F272" s="112" t="s">
        <v>402</v>
      </c>
      <c r="G272" s="113" t="s">
        <v>106</v>
      </c>
      <c r="H272" s="114">
        <v>1.5</v>
      </c>
      <c r="I272" s="115">
        <v>0</v>
      </c>
      <c r="J272" s="115">
        <f>ROUND(I272*H272,2)</f>
        <v>0</v>
      </c>
      <c r="K272" s="112" t="s">
        <v>1</v>
      </c>
      <c r="L272" s="28"/>
      <c r="M272" s="116" t="s">
        <v>1</v>
      </c>
      <c r="N272" s="117" t="s">
        <v>39</v>
      </c>
      <c r="O272" s="118">
        <v>0.05</v>
      </c>
      <c r="P272" s="118">
        <f>O272*H272</f>
        <v>7.5000000000000011E-2</v>
      </c>
      <c r="Q272" s="118">
        <v>0</v>
      </c>
      <c r="R272" s="118">
        <f>Q272*H272</f>
        <v>0</v>
      </c>
      <c r="S272" s="118">
        <v>5.4999999999999997E-3</v>
      </c>
      <c r="T272" s="119">
        <f>S272*H272</f>
        <v>8.2500000000000004E-3</v>
      </c>
      <c r="W272"/>
      <c r="X272"/>
      <c r="Y272"/>
      <c r="AJ272" s="120" t="s">
        <v>108</v>
      </c>
      <c r="AL272" s="120" t="s">
        <v>103</v>
      </c>
      <c r="AM272" s="120" t="s">
        <v>65</v>
      </c>
      <c r="AQ272" s="17" t="s">
        <v>101</v>
      </c>
      <c r="AW272" s="121">
        <f>IF(N272="základní",J272,0)</f>
        <v>0</v>
      </c>
      <c r="AX272" s="121">
        <f>IF(N272="snížená",J272,0)</f>
        <v>0</v>
      </c>
      <c r="AY272" s="121">
        <f>IF(N272="zákl. přenesená",J272,0)</f>
        <v>0</v>
      </c>
      <c r="AZ272" s="121">
        <f>IF(N272="sníž. přenesená",J272,0)</f>
        <v>0</v>
      </c>
      <c r="BA272" s="121">
        <f>IF(N272="nulová",J272,0)</f>
        <v>0</v>
      </c>
      <c r="BB272" s="17" t="s">
        <v>63</v>
      </c>
      <c r="BC272" s="121">
        <f>ROUND(I272*H272,2)</f>
        <v>0</v>
      </c>
      <c r="BD272" s="17" t="s">
        <v>108</v>
      </c>
      <c r="BE272" s="120" t="s">
        <v>403</v>
      </c>
    </row>
    <row r="273" spans="2:57" s="1" customFormat="1" ht="37.9" customHeight="1" x14ac:dyDescent="0.2">
      <c r="B273" s="109"/>
      <c r="C273" s="110" t="s">
        <v>404</v>
      </c>
      <c r="D273" s="110" t="s">
        <v>103</v>
      </c>
      <c r="E273" s="111" t="s">
        <v>405</v>
      </c>
      <c r="F273" s="112" t="s">
        <v>406</v>
      </c>
      <c r="G273" s="113" t="s">
        <v>106</v>
      </c>
      <c r="H273" s="114">
        <f>392.1*0.18</f>
        <v>70.578000000000003</v>
      </c>
      <c r="I273" s="115">
        <v>0</v>
      </c>
      <c r="J273" s="115">
        <f>ROUND(I273*H273,2)</f>
        <v>0</v>
      </c>
      <c r="K273" s="112" t="s">
        <v>107</v>
      </c>
      <c r="L273" s="28"/>
      <c r="M273" s="116" t="s">
        <v>1</v>
      </c>
      <c r="N273" s="117" t="s">
        <v>39</v>
      </c>
      <c r="O273" s="118">
        <v>0.27100000000000002</v>
      </c>
      <c r="P273" s="118">
        <f>O273*H273</f>
        <v>19.126638000000003</v>
      </c>
      <c r="Q273" s="118">
        <v>0</v>
      </c>
      <c r="R273" s="118">
        <f>Q273*H273</f>
        <v>0</v>
      </c>
      <c r="S273" s="118">
        <v>0</v>
      </c>
      <c r="T273" s="119">
        <f>S273*H273</f>
        <v>0</v>
      </c>
      <c r="W273"/>
      <c r="X273"/>
      <c r="Y273"/>
      <c r="AJ273" s="120" t="s">
        <v>108</v>
      </c>
      <c r="AL273" s="120" t="s">
        <v>103</v>
      </c>
      <c r="AM273" s="120" t="s">
        <v>65</v>
      </c>
      <c r="AQ273" s="17" t="s">
        <v>101</v>
      </c>
      <c r="AW273" s="121">
        <f>IF(N273="základní",J273,0)</f>
        <v>0</v>
      </c>
      <c r="AX273" s="121">
        <f>IF(N273="snížená",J273,0)</f>
        <v>0</v>
      </c>
      <c r="AY273" s="121">
        <f>IF(N273="zákl. přenesená",J273,0)</f>
        <v>0</v>
      </c>
      <c r="AZ273" s="121">
        <f>IF(N273="sníž. přenesená",J273,0)</f>
        <v>0</v>
      </c>
      <c r="BA273" s="121">
        <f>IF(N273="nulová",J273,0)</f>
        <v>0</v>
      </c>
      <c r="BB273" s="17" t="s">
        <v>63</v>
      </c>
      <c r="BC273" s="121">
        <f>ROUND(I273*H273,2)</f>
        <v>0</v>
      </c>
      <c r="BD273" s="17" t="s">
        <v>108</v>
      </c>
      <c r="BE273" s="120" t="s">
        <v>407</v>
      </c>
    </row>
    <row r="274" spans="2:57" s="1" customFormat="1" x14ac:dyDescent="0.2">
      <c r="B274" s="28"/>
      <c r="D274" s="122" t="s">
        <v>110</v>
      </c>
      <c r="F274" s="412" t="s">
        <v>408</v>
      </c>
      <c r="L274" s="28"/>
      <c r="M274" s="124"/>
      <c r="T274" s="48"/>
      <c r="W274"/>
      <c r="X274"/>
      <c r="Y274"/>
      <c r="AL274" s="17" t="s">
        <v>110</v>
      </c>
      <c r="AM274" s="17" t="s">
        <v>65</v>
      </c>
    </row>
    <row r="275" spans="2:57" s="1" customFormat="1" ht="21.75" customHeight="1" x14ac:dyDescent="0.2">
      <c r="B275" s="109"/>
      <c r="C275" s="143" t="s">
        <v>409</v>
      </c>
      <c r="D275" s="143" t="s">
        <v>252</v>
      </c>
      <c r="E275" s="144" t="s">
        <v>410</v>
      </c>
      <c r="F275" s="145" t="s">
        <v>411</v>
      </c>
      <c r="G275" s="146" t="s">
        <v>106</v>
      </c>
      <c r="H275" s="147">
        <f>397.982*0.18</f>
        <v>71.636759999999995</v>
      </c>
      <c r="I275" s="148">
        <v>0</v>
      </c>
      <c r="J275" s="148">
        <f>ROUND(I275*H275,2)</f>
        <v>0</v>
      </c>
      <c r="K275" s="145" t="s">
        <v>107</v>
      </c>
      <c r="L275" s="149"/>
      <c r="M275" s="150" t="s">
        <v>1</v>
      </c>
      <c r="N275" s="151" t="s">
        <v>39</v>
      </c>
      <c r="O275" s="118">
        <v>0</v>
      </c>
      <c r="P275" s="118">
        <f>O275*H275</f>
        <v>0</v>
      </c>
      <c r="Q275" s="118">
        <v>4.5700000000000003E-3</v>
      </c>
      <c r="R275" s="118">
        <f>Q275*H275</f>
        <v>0.3273799932</v>
      </c>
      <c r="S275" s="118">
        <v>0</v>
      </c>
      <c r="T275" s="119">
        <f>S275*H275</f>
        <v>0</v>
      </c>
      <c r="W275"/>
      <c r="X275"/>
      <c r="Y275"/>
      <c r="AJ275" s="120" t="s">
        <v>171</v>
      </c>
      <c r="AL275" s="120" t="s">
        <v>252</v>
      </c>
      <c r="AM275" s="120" t="s">
        <v>65</v>
      </c>
      <c r="AQ275" s="17" t="s">
        <v>101</v>
      </c>
      <c r="AW275" s="121">
        <f>IF(N275="základní",J275,0)</f>
        <v>0</v>
      </c>
      <c r="AX275" s="121">
        <f>IF(N275="snížená",J275,0)</f>
        <v>0</v>
      </c>
      <c r="AY275" s="121">
        <f>IF(N275="zákl. přenesená",J275,0)</f>
        <v>0</v>
      </c>
      <c r="AZ275" s="121">
        <f>IF(N275="sníž. přenesená",J275,0)</f>
        <v>0</v>
      </c>
      <c r="BA275" s="121">
        <f>IF(N275="nulová",J275,0)</f>
        <v>0</v>
      </c>
      <c r="BB275" s="17" t="s">
        <v>63</v>
      </c>
      <c r="BC275" s="121">
        <f>ROUND(I275*H275,2)</f>
        <v>0</v>
      </c>
      <c r="BD275" s="17" t="s">
        <v>108</v>
      </c>
      <c r="BE275" s="120" t="s">
        <v>412</v>
      </c>
    </row>
    <row r="276" spans="2:57" s="13" customFormat="1" x14ac:dyDescent="0.2">
      <c r="B276" s="131"/>
      <c r="D276" s="126" t="s">
        <v>112</v>
      </c>
      <c r="F276" s="133" t="s">
        <v>413</v>
      </c>
      <c r="H276" s="134">
        <f>397.982*0.18</f>
        <v>71.636759999999995</v>
      </c>
      <c r="L276" s="131"/>
      <c r="M276" s="135"/>
      <c r="T276" s="136"/>
      <c r="W276"/>
      <c r="X276"/>
      <c r="Y276"/>
      <c r="AL276" s="132" t="s">
        <v>112</v>
      </c>
      <c r="AM276" s="132" t="s">
        <v>65</v>
      </c>
      <c r="AN276" s="13" t="s">
        <v>65</v>
      </c>
      <c r="AO276" s="13" t="s">
        <v>2</v>
      </c>
      <c r="AP276" s="13" t="s">
        <v>63</v>
      </c>
      <c r="AQ276" s="132" t="s">
        <v>101</v>
      </c>
    </row>
    <row r="277" spans="2:57" s="1" customFormat="1" ht="37.9" customHeight="1" x14ac:dyDescent="0.2">
      <c r="B277" s="109"/>
      <c r="C277" s="110" t="s">
        <v>414</v>
      </c>
      <c r="D277" s="110" t="s">
        <v>103</v>
      </c>
      <c r="E277" s="111" t="s">
        <v>415</v>
      </c>
      <c r="F277" s="112" t="s">
        <v>416</v>
      </c>
      <c r="G277" s="113" t="s">
        <v>106</v>
      </c>
      <c r="H277" s="114">
        <v>6</v>
      </c>
      <c r="I277" s="115">
        <v>0</v>
      </c>
      <c r="J277" s="115">
        <f>ROUND(I277*H277,2)</f>
        <v>0</v>
      </c>
      <c r="K277" s="112" t="s">
        <v>107</v>
      </c>
      <c r="L277" s="28"/>
      <c r="M277" s="116" t="s">
        <v>1</v>
      </c>
      <c r="N277" s="117" t="s">
        <v>39</v>
      </c>
      <c r="O277" s="118">
        <v>0.36299999999999999</v>
      </c>
      <c r="P277" s="118">
        <f>O277*H277</f>
        <v>2.1779999999999999</v>
      </c>
      <c r="Q277" s="118">
        <v>0</v>
      </c>
      <c r="R277" s="118">
        <f>Q277*H277</f>
        <v>0</v>
      </c>
      <c r="S277" s="118">
        <v>0</v>
      </c>
      <c r="T277" s="119">
        <f>S277*H277</f>
        <v>0</v>
      </c>
      <c r="V277"/>
      <c r="W277"/>
      <c r="X277"/>
      <c r="Y277"/>
      <c r="AJ277" s="120" t="s">
        <v>108</v>
      </c>
      <c r="AL277" s="120" t="s">
        <v>103</v>
      </c>
      <c r="AM277" s="120" t="s">
        <v>65</v>
      </c>
      <c r="AQ277" s="17" t="s">
        <v>101</v>
      </c>
      <c r="AW277" s="121">
        <f>IF(N277="základní",J277,0)</f>
        <v>0</v>
      </c>
      <c r="AX277" s="121">
        <f>IF(N277="snížená",J277,0)</f>
        <v>0</v>
      </c>
      <c r="AY277" s="121">
        <f>IF(N277="zákl. přenesená",J277,0)</f>
        <v>0</v>
      </c>
      <c r="AZ277" s="121">
        <f>IF(N277="sníž. přenesená",J277,0)</f>
        <v>0</v>
      </c>
      <c r="BA277" s="121">
        <f>IF(N277="nulová",J277,0)</f>
        <v>0</v>
      </c>
      <c r="BB277" s="17" t="s">
        <v>63</v>
      </c>
      <c r="BC277" s="121">
        <f>ROUND(I277*H277,2)</f>
        <v>0</v>
      </c>
      <c r="BD277" s="17" t="s">
        <v>108</v>
      </c>
      <c r="BE277" s="120" t="s">
        <v>417</v>
      </c>
    </row>
    <row r="278" spans="2:57" s="1" customFormat="1" x14ac:dyDescent="0.2">
      <c r="B278" s="28"/>
      <c r="D278" s="122" t="s">
        <v>110</v>
      </c>
      <c r="F278" s="412" t="s">
        <v>418</v>
      </c>
      <c r="L278" s="28"/>
      <c r="M278" s="124"/>
      <c r="T278" s="48"/>
      <c r="V278"/>
      <c r="W278"/>
      <c r="X278"/>
      <c r="Y278"/>
      <c r="AL278" s="17" t="s">
        <v>110</v>
      </c>
      <c r="AM278" s="17" t="s">
        <v>65</v>
      </c>
    </row>
    <row r="279" spans="2:57" s="13" customFormat="1" ht="22.5" x14ac:dyDescent="0.2">
      <c r="B279" s="131"/>
      <c r="D279" s="126" t="s">
        <v>112</v>
      </c>
      <c r="E279" s="132" t="s">
        <v>1</v>
      </c>
      <c r="F279" s="133" t="s">
        <v>419</v>
      </c>
      <c r="H279" s="134">
        <v>6</v>
      </c>
      <c r="L279" s="131"/>
      <c r="M279" s="135"/>
      <c r="T279" s="136"/>
      <c r="V279"/>
      <c r="W279"/>
      <c r="X279"/>
      <c r="Y279"/>
      <c r="AL279" s="132" t="s">
        <v>112</v>
      </c>
      <c r="AM279" s="132" t="s">
        <v>65</v>
      </c>
      <c r="AN279" s="13" t="s">
        <v>65</v>
      </c>
      <c r="AO279" s="13" t="s">
        <v>30</v>
      </c>
      <c r="AP279" s="13" t="s">
        <v>63</v>
      </c>
      <c r="AQ279" s="132" t="s">
        <v>101</v>
      </c>
    </row>
    <row r="280" spans="2:57" s="1" customFormat="1" ht="21.75" customHeight="1" x14ac:dyDescent="0.2">
      <c r="B280" s="109"/>
      <c r="C280" s="143" t="s">
        <v>420</v>
      </c>
      <c r="D280" s="143" t="s">
        <v>252</v>
      </c>
      <c r="E280" s="144" t="s">
        <v>421</v>
      </c>
      <c r="F280" s="145" t="s">
        <v>422</v>
      </c>
      <c r="G280" s="146" t="s">
        <v>106</v>
      </c>
      <c r="H280" s="147">
        <f>6.09*0.18</f>
        <v>1.0961999999999998</v>
      </c>
      <c r="I280" s="148">
        <v>0</v>
      </c>
      <c r="J280" s="148">
        <f>ROUND(I280*H280,2)</f>
        <v>0</v>
      </c>
      <c r="K280" s="145" t="s">
        <v>107</v>
      </c>
      <c r="L280" s="149"/>
      <c r="M280" s="150" t="s">
        <v>1</v>
      </c>
      <c r="N280" s="151" t="s">
        <v>39</v>
      </c>
      <c r="O280" s="118">
        <v>0</v>
      </c>
      <c r="P280" s="118">
        <f>O280*H280</f>
        <v>0</v>
      </c>
      <c r="Q280" s="118">
        <v>9.0299999999999998E-3</v>
      </c>
      <c r="R280" s="118">
        <f>Q280*H280</f>
        <v>9.8986859999999986E-3</v>
      </c>
      <c r="S280" s="118">
        <v>0</v>
      </c>
      <c r="T280" s="119">
        <f>S280*H280</f>
        <v>0</v>
      </c>
      <c r="V280"/>
      <c r="W280"/>
      <c r="X280"/>
      <c r="Y280"/>
      <c r="AJ280" s="120" t="s">
        <v>171</v>
      </c>
      <c r="AL280" s="120" t="s">
        <v>252</v>
      </c>
      <c r="AM280" s="120" t="s">
        <v>65</v>
      </c>
      <c r="AQ280" s="17" t="s">
        <v>101</v>
      </c>
      <c r="AW280" s="121">
        <f>IF(N280="základní",J280,0)</f>
        <v>0</v>
      </c>
      <c r="AX280" s="121">
        <f>IF(N280="snížená",J280,0)</f>
        <v>0</v>
      </c>
      <c r="AY280" s="121">
        <f>IF(N280="zákl. přenesená",J280,0)</f>
        <v>0</v>
      </c>
      <c r="AZ280" s="121">
        <f>IF(N280="sníž. přenesená",J280,0)</f>
        <v>0</v>
      </c>
      <c r="BA280" s="121">
        <f>IF(N280="nulová",J280,0)</f>
        <v>0</v>
      </c>
      <c r="BB280" s="17" t="s">
        <v>63</v>
      </c>
      <c r="BC280" s="121">
        <f>ROUND(I280*H280,2)</f>
        <v>0</v>
      </c>
      <c r="BD280" s="17" t="s">
        <v>108</v>
      </c>
      <c r="BE280" s="120" t="s">
        <v>423</v>
      </c>
    </row>
    <row r="281" spans="2:57" s="13" customFormat="1" x14ac:dyDescent="0.2">
      <c r="B281" s="131"/>
      <c r="D281" s="126" t="s">
        <v>112</v>
      </c>
      <c r="F281" s="133" t="s">
        <v>424</v>
      </c>
      <c r="H281" s="134">
        <f>6.09*0.18</f>
        <v>1.0961999999999998</v>
      </c>
      <c r="L281" s="131"/>
      <c r="M281" s="135"/>
      <c r="T281" s="136"/>
      <c r="V281"/>
      <c r="W281"/>
      <c r="X281"/>
      <c r="Y281"/>
      <c r="AL281" s="132" t="s">
        <v>112</v>
      </c>
      <c r="AM281" s="132" t="s">
        <v>65</v>
      </c>
      <c r="AN281" s="13" t="s">
        <v>65</v>
      </c>
      <c r="AO281" s="13" t="s">
        <v>2</v>
      </c>
      <c r="AP281" s="13" t="s">
        <v>63</v>
      </c>
      <c r="AQ281" s="132" t="s">
        <v>101</v>
      </c>
    </row>
    <row r="282" spans="2:57" s="1" customFormat="1" ht="37.9" customHeight="1" x14ac:dyDescent="0.2">
      <c r="B282" s="109"/>
      <c r="C282" s="110" t="s">
        <v>425</v>
      </c>
      <c r="D282" s="110" t="s">
        <v>103</v>
      </c>
      <c r="E282" s="111" t="s">
        <v>426</v>
      </c>
      <c r="F282" s="112" t="s">
        <v>427</v>
      </c>
      <c r="G282" s="113" t="s">
        <v>314</v>
      </c>
      <c r="H282" s="114">
        <v>1</v>
      </c>
      <c r="I282" s="115">
        <v>0</v>
      </c>
      <c r="J282" s="115">
        <f>ROUND(I282*H282,2)</f>
        <v>0</v>
      </c>
      <c r="K282" s="112" t="s">
        <v>1</v>
      </c>
      <c r="L282" s="28"/>
      <c r="M282" s="116" t="s">
        <v>1</v>
      </c>
      <c r="N282" s="117" t="s">
        <v>39</v>
      </c>
      <c r="O282" s="118">
        <v>1.7869999999999999</v>
      </c>
      <c r="P282" s="118">
        <f>O282*H282</f>
        <v>1.7869999999999999</v>
      </c>
      <c r="Q282" s="118">
        <v>0</v>
      </c>
      <c r="R282" s="118">
        <f>Q282*H282</f>
        <v>0</v>
      </c>
      <c r="S282" s="118">
        <v>1.7299999999999999E-2</v>
      </c>
      <c r="T282" s="119">
        <f>S282*H282</f>
        <v>1.7299999999999999E-2</v>
      </c>
      <c r="W282"/>
      <c r="X282"/>
      <c r="Y282"/>
      <c r="AJ282" s="120" t="s">
        <v>108</v>
      </c>
      <c r="AL282" s="120" t="s">
        <v>103</v>
      </c>
      <c r="AM282" s="120" t="s">
        <v>65</v>
      </c>
      <c r="AQ282" s="17" t="s">
        <v>101</v>
      </c>
      <c r="AW282" s="121">
        <f>IF(N282="základní",J282,0)</f>
        <v>0</v>
      </c>
      <c r="AX282" s="121">
        <f>IF(N282="snížená",J282,0)</f>
        <v>0</v>
      </c>
      <c r="AY282" s="121">
        <f>IF(N282="zákl. přenesená",J282,0)</f>
        <v>0</v>
      </c>
      <c r="AZ282" s="121">
        <f>IF(N282="sníž. přenesená",J282,0)</f>
        <v>0</v>
      </c>
      <c r="BA282" s="121">
        <f>IF(N282="nulová",J282,0)</f>
        <v>0</v>
      </c>
      <c r="BB282" s="17" t="s">
        <v>63</v>
      </c>
      <c r="BC282" s="121">
        <f>ROUND(I282*H282,2)</f>
        <v>0</v>
      </c>
      <c r="BD282" s="17" t="s">
        <v>108</v>
      </c>
      <c r="BE282" s="120" t="s">
        <v>428</v>
      </c>
    </row>
    <row r="283" spans="2:57" s="13" customFormat="1" x14ac:dyDescent="0.2">
      <c r="B283" s="131"/>
      <c r="D283" s="126" t="s">
        <v>112</v>
      </c>
      <c r="E283" s="132" t="s">
        <v>1</v>
      </c>
      <c r="F283" s="133" t="s">
        <v>429</v>
      </c>
      <c r="H283" s="134">
        <v>1</v>
      </c>
      <c r="L283" s="131"/>
      <c r="M283" s="135"/>
      <c r="T283" s="136"/>
      <c r="W283"/>
      <c r="X283"/>
      <c r="Y283"/>
      <c r="AL283" s="132" t="s">
        <v>112</v>
      </c>
      <c r="AM283" s="132" t="s">
        <v>65</v>
      </c>
      <c r="AN283" s="13" t="s">
        <v>65</v>
      </c>
      <c r="AO283" s="13" t="s">
        <v>30</v>
      </c>
      <c r="AP283" s="13" t="s">
        <v>63</v>
      </c>
      <c r="AQ283" s="132" t="s">
        <v>101</v>
      </c>
    </row>
    <row r="284" spans="2:57" s="1" customFormat="1" ht="37.9" customHeight="1" x14ac:dyDescent="0.2">
      <c r="B284" s="109"/>
      <c r="C284" s="110" t="s">
        <v>430</v>
      </c>
      <c r="D284" s="110" t="s">
        <v>103</v>
      </c>
      <c r="E284" s="111" t="s">
        <v>431</v>
      </c>
      <c r="F284" s="112" t="s">
        <v>432</v>
      </c>
      <c r="G284" s="113" t="s">
        <v>314</v>
      </c>
      <c r="H284" s="114">
        <v>1</v>
      </c>
      <c r="I284" s="115">
        <v>0</v>
      </c>
      <c r="J284" s="115">
        <f>ROUND(I284*H284,2)</f>
        <v>0</v>
      </c>
      <c r="K284" s="112" t="s">
        <v>107</v>
      </c>
      <c r="L284" s="28"/>
      <c r="M284" s="116" t="s">
        <v>1</v>
      </c>
      <c r="N284" s="117" t="s">
        <v>39</v>
      </c>
      <c r="O284" s="118">
        <v>0.15</v>
      </c>
      <c r="P284" s="118">
        <f>O284*H284</f>
        <v>0.15</v>
      </c>
      <c r="Q284" s="118">
        <v>2.5000000000000001E-4</v>
      </c>
      <c r="R284" s="118">
        <f>Q284*H284</f>
        <v>2.5000000000000001E-4</v>
      </c>
      <c r="S284" s="118">
        <v>0</v>
      </c>
      <c r="T284" s="119">
        <f>S284*H284</f>
        <v>0</v>
      </c>
      <c r="W284"/>
      <c r="X284"/>
      <c r="Y284"/>
      <c r="AJ284" s="120" t="s">
        <v>108</v>
      </c>
      <c r="AL284" s="120" t="s">
        <v>103</v>
      </c>
      <c r="AM284" s="120" t="s">
        <v>65</v>
      </c>
      <c r="AQ284" s="17" t="s">
        <v>101</v>
      </c>
      <c r="AW284" s="121">
        <f>IF(N284="základní",J284,0)</f>
        <v>0</v>
      </c>
      <c r="AX284" s="121">
        <f>IF(N284="snížená",J284,0)</f>
        <v>0</v>
      </c>
      <c r="AY284" s="121">
        <f>IF(N284="zákl. přenesená",J284,0)</f>
        <v>0</v>
      </c>
      <c r="AZ284" s="121">
        <f>IF(N284="sníž. přenesená",J284,0)</f>
        <v>0</v>
      </c>
      <c r="BA284" s="121">
        <f>IF(N284="nulová",J284,0)</f>
        <v>0</v>
      </c>
      <c r="BB284" s="17" t="s">
        <v>63</v>
      </c>
      <c r="BC284" s="121">
        <f>ROUND(I284*H284,2)</f>
        <v>0</v>
      </c>
      <c r="BD284" s="17" t="s">
        <v>108</v>
      </c>
      <c r="BE284" s="120" t="s">
        <v>433</v>
      </c>
    </row>
    <row r="285" spans="2:57" s="1" customFormat="1" x14ac:dyDescent="0.2">
      <c r="B285" s="28"/>
      <c r="D285" s="122" t="s">
        <v>110</v>
      </c>
      <c r="F285" s="412" t="s">
        <v>434</v>
      </c>
      <c r="L285" s="28"/>
      <c r="M285" s="124"/>
      <c r="T285" s="48"/>
      <c r="W285"/>
      <c r="X285"/>
      <c r="Y285"/>
      <c r="AL285" s="17" t="s">
        <v>110</v>
      </c>
      <c r="AM285" s="17" t="s">
        <v>65</v>
      </c>
    </row>
    <row r="286" spans="2:57" s="1" customFormat="1" ht="24.2" customHeight="1" x14ac:dyDescent="0.2">
      <c r="B286" s="109"/>
      <c r="C286" s="110" t="s">
        <v>435</v>
      </c>
      <c r="D286" s="110" t="s">
        <v>103</v>
      </c>
      <c r="E286" s="111" t="s">
        <v>436</v>
      </c>
      <c r="F286" s="112" t="s">
        <v>437</v>
      </c>
      <c r="G286" s="113" t="s">
        <v>314</v>
      </c>
      <c r="H286" s="114">
        <v>1</v>
      </c>
      <c r="I286" s="115">
        <v>0</v>
      </c>
      <c r="J286" s="115">
        <f>ROUND(I286*H286,2)</f>
        <v>0</v>
      </c>
      <c r="K286" s="112" t="s">
        <v>107</v>
      </c>
      <c r="L286" s="28"/>
      <c r="M286" s="116" t="s">
        <v>1</v>
      </c>
      <c r="N286" s="117" t="s">
        <v>39</v>
      </c>
      <c r="O286" s="118">
        <v>9.9000000000000005E-2</v>
      </c>
      <c r="P286" s="118">
        <f>O286*H286</f>
        <v>9.9000000000000005E-2</v>
      </c>
      <c r="Q286" s="118">
        <v>7.6000000000000004E-4</v>
      </c>
      <c r="R286" s="118">
        <f>Q286*H286</f>
        <v>7.6000000000000004E-4</v>
      </c>
      <c r="S286" s="118">
        <v>0</v>
      </c>
      <c r="T286" s="119">
        <f>S286*H286</f>
        <v>0</v>
      </c>
      <c r="W286"/>
      <c r="X286"/>
      <c r="Y286"/>
      <c r="AJ286" s="120" t="s">
        <v>108</v>
      </c>
      <c r="AL286" s="120" t="s">
        <v>103</v>
      </c>
      <c r="AM286" s="120" t="s">
        <v>65</v>
      </c>
      <c r="AQ286" s="17" t="s">
        <v>101</v>
      </c>
      <c r="AW286" s="121">
        <f>IF(N286="základní",J286,0)</f>
        <v>0</v>
      </c>
      <c r="AX286" s="121">
        <f>IF(N286="snížená",J286,0)</f>
        <v>0</v>
      </c>
      <c r="AY286" s="121">
        <f>IF(N286="zákl. přenesená",J286,0)</f>
        <v>0</v>
      </c>
      <c r="AZ286" s="121">
        <f>IF(N286="sníž. přenesená",J286,0)</f>
        <v>0</v>
      </c>
      <c r="BA286" s="121">
        <f>IF(N286="nulová",J286,0)</f>
        <v>0</v>
      </c>
      <c r="BB286" s="17" t="s">
        <v>63</v>
      </c>
      <c r="BC286" s="121">
        <f>ROUND(I286*H286,2)</f>
        <v>0</v>
      </c>
      <c r="BD286" s="17" t="s">
        <v>108</v>
      </c>
      <c r="BE286" s="120" t="s">
        <v>438</v>
      </c>
    </row>
    <row r="287" spans="2:57" s="1" customFormat="1" x14ac:dyDescent="0.2">
      <c r="B287" s="28"/>
      <c r="D287" s="122" t="s">
        <v>110</v>
      </c>
      <c r="F287" s="412" t="s">
        <v>439</v>
      </c>
      <c r="L287" s="28"/>
      <c r="M287" s="124"/>
      <c r="T287" s="48"/>
      <c r="W287"/>
      <c r="X287"/>
      <c r="Y287"/>
      <c r="AL287" s="17" t="s">
        <v>110</v>
      </c>
      <c r="AM287" s="17" t="s">
        <v>65</v>
      </c>
    </row>
    <row r="288" spans="2:57" s="1" customFormat="1" ht="44.25" customHeight="1" x14ac:dyDescent="0.2">
      <c r="B288" s="109"/>
      <c r="C288" s="110" t="s">
        <v>440</v>
      </c>
      <c r="D288" s="110" t="s">
        <v>103</v>
      </c>
      <c r="E288" s="111" t="s">
        <v>441</v>
      </c>
      <c r="F288" s="112" t="s">
        <v>442</v>
      </c>
      <c r="G288" s="113" t="s">
        <v>314</v>
      </c>
      <c r="H288" s="114">
        <v>1</v>
      </c>
      <c r="I288" s="115">
        <v>0</v>
      </c>
      <c r="J288" s="115">
        <f>ROUND(I288*H288,2)</f>
        <v>0</v>
      </c>
      <c r="K288" s="112" t="s">
        <v>107</v>
      </c>
      <c r="L288" s="28"/>
      <c r="M288" s="116" t="s">
        <v>1</v>
      </c>
      <c r="N288" s="117" t="s">
        <v>39</v>
      </c>
      <c r="O288" s="118">
        <v>0.625</v>
      </c>
      <c r="P288" s="118">
        <f>O288*H288</f>
        <v>0.625</v>
      </c>
      <c r="Q288" s="118">
        <v>0</v>
      </c>
      <c r="R288" s="118">
        <f>Q288*H288</f>
        <v>0</v>
      </c>
      <c r="S288" s="118">
        <v>0</v>
      </c>
      <c r="T288" s="119">
        <f>S288*H288</f>
        <v>0</v>
      </c>
      <c r="W288"/>
      <c r="X288"/>
      <c r="Y288"/>
      <c r="AJ288" s="120" t="s">
        <v>108</v>
      </c>
      <c r="AL288" s="120" t="s">
        <v>103</v>
      </c>
      <c r="AM288" s="120" t="s">
        <v>65</v>
      </c>
      <c r="AQ288" s="17" t="s">
        <v>101</v>
      </c>
      <c r="AW288" s="121">
        <f>IF(N288="základní",J288,0)</f>
        <v>0</v>
      </c>
      <c r="AX288" s="121">
        <f>IF(N288="snížená",J288,0)</f>
        <v>0</v>
      </c>
      <c r="AY288" s="121">
        <f>IF(N288="zákl. přenesená",J288,0)</f>
        <v>0</v>
      </c>
      <c r="AZ288" s="121">
        <f>IF(N288="sníž. přenesená",J288,0)</f>
        <v>0</v>
      </c>
      <c r="BA288" s="121">
        <f>IF(N288="nulová",J288,0)</f>
        <v>0</v>
      </c>
      <c r="BB288" s="17" t="s">
        <v>63</v>
      </c>
      <c r="BC288" s="121">
        <f>ROUND(I288*H288,2)</f>
        <v>0</v>
      </c>
      <c r="BD288" s="17" t="s">
        <v>108</v>
      </c>
      <c r="BE288" s="120" t="s">
        <v>443</v>
      </c>
    </row>
    <row r="289" spans="2:57" s="1" customFormat="1" x14ac:dyDescent="0.2">
      <c r="B289" s="28"/>
      <c r="D289" s="122" t="s">
        <v>110</v>
      </c>
      <c r="F289" s="412" t="s">
        <v>444</v>
      </c>
      <c r="L289" s="28"/>
      <c r="M289" s="124"/>
      <c r="T289" s="48"/>
      <c r="W289"/>
      <c r="X289"/>
      <c r="Y289"/>
      <c r="AL289" s="17" t="s">
        <v>110</v>
      </c>
      <c r="AM289" s="17" t="s">
        <v>65</v>
      </c>
    </row>
    <row r="290" spans="2:57" s="1" customFormat="1" ht="16.5" customHeight="1" x14ac:dyDescent="0.2">
      <c r="B290" s="109"/>
      <c r="C290" s="143" t="s">
        <v>445</v>
      </c>
      <c r="D290" s="143" t="s">
        <v>252</v>
      </c>
      <c r="E290" s="144" t="s">
        <v>446</v>
      </c>
      <c r="F290" s="145" t="s">
        <v>447</v>
      </c>
      <c r="G290" s="146" t="s">
        <v>314</v>
      </c>
      <c r="H290" s="147">
        <v>1</v>
      </c>
      <c r="I290" s="148">
        <v>0</v>
      </c>
      <c r="J290" s="148">
        <f>ROUND(I290*H290,2)</f>
        <v>0</v>
      </c>
      <c r="K290" s="145" t="s">
        <v>107</v>
      </c>
      <c r="L290" s="149"/>
      <c r="M290" s="150" t="s">
        <v>1</v>
      </c>
      <c r="N290" s="151" t="s">
        <v>39</v>
      </c>
      <c r="O290" s="118">
        <v>0</v>
      </c>
      <c r="P290" s="118">
        <f>O290*H290</f>
        <v>0</v>
      </c>
      <c r="Q290" s="118">
        <v>3.8999999999999999E-4</v>
      </c>
      <c r="R290" s="118">
        <f>Q290*H290</f>
        <v>3.8999999999999999E-4</v>
      </c>
      <c r="S290" s="118">
        <v>0</v>
      </c>
      <c r="T290" s="119">
        <f>S290*H290</f>
        <v>0</v>
      </c>
      <c r="W290"/>
      <c r="X290"/>
      <c r="Y290"/>
      <c r="AJ290" s="120" t="s">
        <v>171</v>
      </c>
      <c r="AL290" s="120" t="s">
        <v>252</v>
      </c>
      <c r="AM290" s="120" t="s">
        <v>65</v>
      </c>
      <c r="AQ290" s="17" t="s">
        <v>101</v>
      </c>
      <c r="AW290" s="121">
        <f>IF(N290="základní",J290,0)</f>
        <v>0</v>
      </c>
      <c r="AX290" s="121">
        <f>IF(N290="snížená",J290,0)</f>
        <v>0</v>
      </c>
      <c r="AY290" s="121">
        <f>IF(N290="zákl. přenesená",J290,0)</f>
        <v>0</v>
      </c>
      <c r="AZ290" s="121">
        <f>IF(N290="sníž. přenesená",J290,0)</f>
        <v>0</v>
      </c>
      <c r="BA290" s="121">
        <f>IF(N290="nulová",J290,0)</f>
        <v>0</v>
      </c>
      <c r="BB290" s="17" t="s">
        <v>63</v>
      </c>
      <c r="BC290" s="121">
        <f>ROUND(I290*H290,2)</f>
        <v>0</v>
      </c>
      <c r="BD290" s="17" t="s">
        <v>108</v>
      </c>
      <c r="BE290" s="120" t="s">
        <v>448</v>
      </c>
    </row>
    <row r="291" spans="2:57" s="1" customFormat="1" ht="37.9" customHeight="1" x14ac:dyDescent="0.2">
      <c r="B291" s="109"/>
      <c r="C291" s="110" t="s">
        <v>449</v>
      </c>
      <c r="D291" s="110" t="s">
        <v>103</v>
      </c>
      <c r="E291" s="111" t="s">
        <v>450</v>
      </c>
      <c r="F291" s="112" t="s">
        <v>451</v>
      </c>
      <c r="G291" s="113" t="s">
        <v>314</v>
      </c>
      <c r="H291" s="114">
        <v>2</v>
      </c>
      <c r="I291" s="115">
        <v>0</v>
      </c>
      <c r="J291" s="115">
        <f>ROUND(I291*H291,2)</f>
        <v>0</v>
      </c>
      <c r="K291" s="112" t="s">
        <v>107</v>
      </c>
      <c r="L291" s="28"/>
      <c r="M291" s="116" t="s">
        <v>1</v>
      </c>
      <c r="N291" s="117" t="s">
        <v>39</v>
      </c>
      <c r="O291" s="118">
        <v>0.57899999999999996</v>
      </c>
      <c r="P291" s="118">
        <f>O291*H291</f>
        <v>1.1579999999999999</v>
      </c>
      <c r="Q291" s="118">
        <v>0</v>
      </c>
      <c r="R291" s="118">
        <f>Q291*H291</f>
        <v>0</v>
      </c>
      <c r="S291" s="118">
        <v>0</v>
      </c>
      <c r="T291" s="119">
        <f>S291*H291</f>
        <v>0</v>
      </c>
      <c r="W291"/>
      <c r="X291"/>
      <c r="Y291"/>
      <c r="AJ291" s="120" t="s">
        <v>108</v>
      </c>
      <c r="AL291" s="120" t="s">
        <v>103</v>
      </c>
      <c r="AM291" s="120" t="s">
        <v>65</v>
      </c>
      <c r="AQ291" s="17" t="s">
        <v>101</v>
      </c>
      <c r="AW291" s="121">
        <f>IF(N291="základní",J291,0)</f>
        <v>0</v>
      </c>
      <c r="AX291" s="121">
        <f>IF(N291="snížená",J291,0)</f>
        <v>0</v>
      </c>
      <c r="AY291" s="121">
        <f>IF(N291="zákl. přenesená",J291,0)</f>
        <v>0</v>
      </c>
      <c r="AZ291" s="121">
        <f>IF(N291="sníž. přenesená",J291,0)</f>
        <v>0</v>
      </c>
      <c r="BA291" s="121">
        <f>IF(N291="nulová",J291,0)</f>
        <v>0</v>
      </c>
      <c r="BB291" s="17" t="s">
        <v>63</v>
      </c>
      <c r="BC291" s="121">
        <f>ROUND(I291*H291,2)</f>
        <v>0</v>
      </c>
      <c r="BD291" s="17" t="s">
        <v>108</v>
      </c>
      <c r="BE291" s="120" t="s">
        <v>452</v>
      </c>
    </row>
    <row r="292" spans="2:57" s="1" customFormat="1" x14ac:dyDescent="0.2">
      <c r="B292" s="28"/>
      <c r="D292" s="122" t="s">
        <v>110</v>
      </c>
      <c r="F292" s="412" t="s">
        <v>453</v>
      </c>
      <c r="L292" s="28"/>
      <c r="M292" s="124"/>
      <c r="T292" s="48"/>
      <c r="W292"/>
      <c r="X292"/>
      <c r="Y292"/>
      <c r="AL292" s="17" t="s">
        <v>110</v>
      </c>
      <c r="AM292" s="17" t="s">
        <v>65</v>
      </c>
    </row>
    <row r="293" spans="2:57" s="1" customFormat="1" ht="21.75" customHeight="1" x14ac:dyDescent="0.2">
      <c r="B293" s="109"/>
      <c r="C293" s="143" t="s">
        <v>454</v>
      </c>
      <c r="D293" s="143" t="s">
        <v>252</v>
      </c>
      <c r="E293" s="144" t="s">
        <v>455</v>
      </c>
      <c r="F293" s="145" t="s">
        <v>456</v>
      </c>
      <c r="G293" s="146" t="s">
        <v>314</v>
      </c>
      <c r="H293" s="147">
        <v>1</v>
      </c>
      <c r="I293" s="148">
        <v>0</v>
      </c>
      <c r="J293" s="148">
        <f>ROUND(I293*H293,2)</f>
        <v>0</v>
      </c>
      <c r="K293" s="145" t="s">
        <v>107</v>
      </c>
      <c r="L293" s="149"/>
      <c r="M293" s="150" t="s">
        <v>1</v>
      </c>
      <c r="N293" s="151" t="s">
        <v>39</v>
      </c>
      <c r="O293" s="118">
        <v>0</v>
      </c>
      <c r="P293" s="118">
        <f>O293*H293</f>
        <v>0</v>
      </c>
      <c r="Q293" s="118">
        <v>5.5999999999999995E-4</v>
      </c>
      <c r="R293" s="118">
        <f>Q293*H293</f>
        <v>5.5999999999999995E-4</v>
      </c>
      <c r="S293" s="118">
        <v>0</v>
      </c>
      <c r="T293" s="119">
        <f>S293*H293</f>
        <v>0</v>
      </c>
      <c r="W293"/>
      <c r="X293"/>
      <c r="Y293"/>
      <c r="AJ293" s="120" t="s">
        <v>171</v>
      </c>
      <c r="AL293" s="120" t="s">
        <v>252</v>
      </c>
      <c r="AM293" s="120" t="s">
        <v>65</v>
      </c>
      <c r="AQ293" s="17" t="s">
        <v>101</v>
      </c>
      <c r="AW293" s="121">
        <f>IF(N293="základní",J293,0)</f>
        <v>0</v>
      </c>
      <c r="AX293" s="121">
        <f>IF(N293="snížená",J293,0)</f>
        <v>0</v>
      </c>
      <c r="AY293" s="121">
        <f>IF(N293="zákl. přenesená",J293,0)</f>
        <v>0</v>
      </c>
      <c r="AZ293" s="121">
        <f>IF(N293="sníž. přenesená",J293,0)</f>
        <v>0</v>
      </c>
      <c r="BA293" s="121">
        <f>IF(N293="nulová",J293,0)</f>
        <v>0</v>
      </c>
      <c r="BB293" s="17" t="s">
        <v>63</v>
      </c>
      <c r="BC293" s="121">
        <f>ROUND(I293*H293,2)</f>
        <v>0</v>
      </c>
      <c r="BD293" s="17" t="s">
        <v>108</v>
      </c>
      <c r="BE293" s="120" t="s">
        <v>457</v>
      </c>
    </row>
    <row r="294" spans="2:57" s="1" customFormat="1" ht="44.25" customHeight="1" x14ac:dyDescent="0.2">
      <c r="B294" s="109"/>
      <c r="C294" s="110" t="s">
        <v>458</v>
      </c>
      <c r="D294" s="110" t="s">
        <v>103</v>
      </c>
      <c r="E294" s="111" t="s">
        <v>459</v>
      </c>
      <c r="F294" s="112" t="s">
        <v>460</v>
      </c>
      <c r="G294" s="113" t="s">
        <v>314</v>
      </c>
      <c r="H294" s="114">
        <v>1</v>
      </c>
      <c r="I294" s="115">
        <v>0</v>
      </c>
      <c r="J294" s="115">
        <f>ROUND(I294*H294,2)</f>
        <v>0</v>
      </c>
      <c r="K294" s="112" t="s">
        <v>107</v>
      </c>
      <c r="L294" s="28"/>
      <c r="M294" s="116" t="s">
        <v>1</v>
      </c>
      <c r="N294" s="117" t="s">
        <v>39</v>
      </c>
      <c r="O294" s="118">
        <v>0.67500000000000004</v>
      </c>
      <c r="P294" s="118">
        <f>O294*H294</f>
        <v>0.67500000000000004</v>
      </c>
      <c r="Q294" s="118">
        <v>0</v>
      </c>
      <c r="R294" s="118">
        <f>Q294*H294</f>
        <v>0</v>
      </c>
      <c r="S294" s="118">
        <v>0</v>
      </c>
      <c r="T294" s="119">
        <f>S294*H294</f>
        <v>0</v>
      </c>
      <c r="W294"/>
      <c r="X294"/>
      <c r="Y294"/>
      <c r="AJ294" s="120" t="s">
        <v>108</v>
      </c>
      <c r="AL294" s="120" t="s">
        <v>103</v>
      </c>
      <c r="AM294" s="120" t="s">
        <v>65</v>
      </c>
      <c r="AQ294" s="17" t="s">
        <v>101</v>
      </c>
      <c r="AW294" s="121">
        <f>IF(N294="základní",J294,0)</f>
        <v>0</v>
      </c>
      <c r="AX294" s="121">
        <f>IF(N294="snížená",J294,0)</f>
        <v>0</v>
      </c>
      <c r="AY294" s="121">
        <f>IF(N294="zákl. přenesená",J294,0)</f>
        <v>0</v>
      </c>
      <c r="AZ294" s="121">
        <f>IF(N294="sníž. přenesená",J294,0)</f>
        <v>0</v>
      </c>
      <c r="BA294" s="121">
        <f>IF(N294="nulová",J294,0)</f>
        <v>0</v>
      </c>
      <c r="BB294" s="17" t="s">
        <v>63</v>
      </c>
      <c r="BC294" s="121">
        <f>ROUND(I294*H294,2)</f>
        <v>0</v>
      </c>
      <c r="BD294" s="17" t="s">
        <v>108</v>
      </c>
      <c r="BE294" s="120" t="s">
        <v>461</v>
      </c>
    </row>
    <row r="295" spans="2:57" s="1" customFormat="1" x14ac:dyDescent="0.2">
      <c r="B295" s="28"/>
      <c r="D295" s="122" t="s">
        <v>110</v>
      </c>
      <c r="F295" s="412" t="s">
        <v>462</v>
      </c>
      <c r="L295" s="28"/>
      <c r="M295" s="124"/>
      <c r="T295" s="48"/>
      <c r="W295"/>
      <c r="X295"/>
      <c r="Y295"/>
      <c r="AL295" s="17" t="s">
        <v>110</v>
      </c>
      <c r="AM295" s="17" t="s">
        <v>65</v>
      </c>
    </row>
    <row r="296" spans="2:57" s="1" customFormat="1" ht="16.5" customHeight="1" x14ac:dyDescent="0.2">
      <c r="B296" s="109"/>
      <c r="C296" s="143" t="s">
        <v>463</v>
      </c>
      <c r="D296" s="143" t="s">
        <v>252</v>
      </c>
      <c r="E296" s="144" t="s">
        <v>464</v>
      </c>
      <c r="F296" s="145" t="s">
        <v>465</v>
      </c>
      <c r="G296" s="146" t="s">
        <v>314</v>
      </c>
      <c r="H296" s="147">
        <v>2</v>
      </c>
      <c r="I296" s="148">
        <v>0</v>
      </c>
      <c r="J296" s="148">
        <f>ROUND(I296*H296,2)</f>
        <v>0</v>
      </c>
      <c r="K296" s="145" t="s">
        <v>107</v>
      </c>
      <c r="L296" s="149"/>
      <c r="M296" s="150" t="s">
        <v>1</v>
      </c>
      <c r="N296" s="151" t="s">
        <v>39</v>
      </c>
      <c r="O296" s="118">
        <v>0</v>
      </c>
      <c r="P296" s="118">
        <f>O296*H296</f>
        <v>0</v>
      </c>
      <c r="Q296" s="118">
        <v>7.2000000000000005E-4</v>
      </c>
      <c r="R296" s="118">
        <f>Q296*H296</f>
        <v>1.4400000000000001E-3</v>
      </c>
      <c r="S296" s="118">
        <v>0</v>
      </c>
      <c r="T296" s="119">
        <f>S296*H296</f>
        <v>0</v>
      </c>
      <c r="W296"/>
      <c r="X296"/>
      <c r="Y296"/>
      <c r="AJ296" s="120" t="s">
        <v>171</v>
      </c>
      <c r="AL296" s="120" t="s">
        <v>252</v>
      </c>
      <c r="AM296" s="120" t="s">
        <v>65</v>
      </c>
      <c r="AQ296" s="17" t="s">
        <v>101</v>
      </c>
      <c r="AW296" s="121">
        <f>IF(N296="základní",J296,0)</f>
        <v>0</v>
      </c>
      <c r="AX296" s="121">
        <f>IF(N296="snížená",J296,0)</f>
        <v>0</v>
      </c>
      <c r="AY296" s="121">
        <f>IF(N296="zákl. přenesená",J296,0)</f>
        <v>0</v>
      </c>
      <c r="AZ296" s="121">
        <f>IF(N296="sníž. přenesená",J296,0)</f>
        <v>0</v>
      </c>
      <c r="BA296" s="121">
        <f>IF(N296="nulová",J296,0)</f>
        <v>0</v>
      </c>
      <c r="BB296" s="17" t="s">
        <v>63</v>
      </c>
      <c r="BC296" s="121">
        <f>ROUND(I296*H296,2)</f>
        <v>0</v>
      </c>
      <c r="BD296" s="17" t="s">
        <v>108</v>
      </c>
      <c r="BE296" s="120" t="s">
        <v>466</v>
      </c>
    </row>
    <row r="297" spans="2:57" s="1" customFormat="1" ht="37.9" customHeight="1" x14ac:dyDescent="0.2">
      <c r="B297" s="109"/>
      <c r="C297" s="110" t="s">
        <v>467</v>
      </c>
      <c r="D297" s="110" t="s">
        <v>103</v>
      </c>
      <c r="E297" s="111" t="s">
        <v>468</v>
      </c>
      <c r="F297" s="112" t="s">
        <v>469</v>
      </c>
      <c r="G297" s="113" t="s">
        <v>314</v>
      </c>
      <c r="H297" s="114">
        <v>1</v>
      </c>
      <c r="I297" s="115">
        <v>0</v>
      </c>
      <c r="J297" s="115">
        <f>ROUND(I297*H297,2)</f>
        <v>0</v>
      </c>
      <c r="K297" s="112" t="s">
        <v>107</v>
      </c>
      <c r="L297" s="28"/>
      <c r="M297" s="116" t="s">
        <v>1</v>
      </c>
      <c r="N297" s="117" t="s">
        <v>39</v>
      </c>
      <c r="O297" s="118">
        <v>0.61899999999999999</v>
      </c>
      <c r="P297" s="118">
        <f>O297*H297</f>
        <v>0.61899999999999999</v>
      </c>
      <c r="Q297" s="118">
        <v>0</v>
      </c>
      <c r="R297" s="118">
        <f>Q297*H297</f>
        <v>0</v>
      </c>
      <c r="S297" s="118">
        <v>0</v>
      </c>
      <c r="T297" s="119">
        <f>S297*H297</f>
        <v>0</v>
      </c>
      <c r="W297"/>
      <c r="X297"/>
      <c r="Y297"/>
      <c r="AJ297" s="120" t="s">
        <v>108</v>
      </c>
      <c r="AL297" s="120" t="s">
        <v>103</v>
      </c>
      <c r="AM297" s="120" t="s">
        <v>65</v>
      </c>
      <c r="AQ297" s="17" t="s">
        <v>101</v>
      </c>
      <c r="AW297" s="121">
        <f>IF(N297="základní",J297,0)</f>
        <v>0</v>
      </c>
      <c r="AX297" s="121">
        <f>IF(N297="snížená",J297,0)</f>
        <v>0</v>
      </c>
      <c r="AY297" s="121">
        <f>IF(N297="zákl. přenesená",J297,0)</f>
        <v>0</v>
      </c>
      <c r="AZ297" s="121">
        <f>IF(N297="sníž. přenesená",J297,0)</f>
        <v>0</v>
      </c>
      <c r="BA297" s="121">
        <f>IF(N297="nulová",J297,0)</f>
        <v>0</v>
      </c>
      <c r="BB297" s="17" t="s">
        <v>63</v>
      </c>
      <c r="BC297" s="121">
        <f>ROUND(I297*H297,2)</f>
        <v>0</v>
      </c>
      <c r="BD297" s="17" t="s">
        <v>108</v>
      </c>
      <c r="BE297" s="120" t="s">
        <v>470</v>
      </c>
    </row>
    <row r="298" spans="2:57" s="1" customFormat="1" x14ac:dyDescent="0.2">
      <c r="B298" s="28"/>
      <c r="D298" s="122" t="s">
        <v>110</v>
      </c>
      <c r="F298" s="412" t="s">
        <v>471</v>
      </c>
      <c r="L298" s="28"/>
      <c r="M298" s="124"/>
      <c r="T298" s="48"/>
      <c r="W298"/>
      <c r="X298"/>
      <c r="Y298"/>
      <c r="AL298" s="17" t="s">
        <v>110</v>
      </c>
      <c r="AM298" s="17" t="s">
        <v>65</v>
      </c>
    </row>
    <row r="299" spans="2:57" s="1" customFormat="1" ht="16.5" customHeight="1" x14ac:dyDescent="0.2">
      <c r="B299" s="109"/>
      <c r="C299" s="143" t="s">
        <v>472</v>
      </c>
      <c r="D299" s="143" t="s">
        <v>252</v>
      </c>
      <c r="E299" s="144" t="s">
        <v>473</v>
      </c>
      <c r="F299" s="145" t="s">
        <v>474</v>
      </c>
      <c r="G299" s="146" t="s">
        <v>314</v>
      </c>
      <c r="H299" s="147">
        <v>1</v>
      </c>
      <c r="I299" s="148">
        <v>0</v>
      </c>
      <c r="J299" s="148">
        <f>ROUND(I299*H299,2)</f>
        <v>0</v>
      </c>
      <c r="K299" s="145" t="s">
        <v>107</v>
      </c>
      <c r="L299" s="149"/>
      <c r="M299" s="150" t="s">
        <v>1</v>
      </c>
      <c r="N299" s="151" t="s">
        <v>39</v>
      </c>
      <c r="O299" s="118">
        <v>0</v>
      </c>
      <c r="P299" s="118">
        <f>O299*H299</f>
        <v>0</v>
      </c>
      <c r="Q299" s="118">
        <v>1.2099999999999999E-3</v>
      </c>
      <c r="R299" s="118">
        <f>Q299*H299</f>
        <v>1.2099999999999999E-3</v>
      </c>
      <c r="S299" s="118">
        <v>0</v>
      </c>
      <c r="T299" s="119">
        <f>S299*H299</f>
        <v>0</v>
      </c>
      <c r="W299"/>
      <c r="X299"/>
      <c r="Y299"/>
      <c r="AJ299" s="120" t="s">
        <v>171</v>
      </c>
      <c r="AL299" s="120" t="s">
        <v>252</v>
      </c>
      <c r="AM299" s="120" t="s">
        <v>65</v>
      </c>
      <c r="AQ299" s="17" t="s">
        <v>101</v>
      </c>
      <c r="AW299" s="121">
        <f>IF(N299="základní",J299,0)</f>
        <v>0</v>
      </c>
      <c r="AX299" s="121">
        <f>IF(N299="snížená",J299,0)</f>
        <v>0</v>
      </c>
      <c r="AY299" s="121">
        <f>IF(N299="zákl. přenesená",J299,0)</f>
        <v>0</v>
      </c>
      <c r="AZ299" s="121">
        <f>IF(N299="sníž. přenesená",J299,0)</f>
        <v>0</v>
      </c>
      <c r="BA299" s="121">
        <f>IF(N299="nulová",J299,0)</f>
        <v>0</v>
      </c>
      <c r="BB299" s="17" t="s">
        <v>63</v>
      </c>
      <c r="BC299" s="121">
        <f>ROUND(I299*H299,2)</f>
        <v>0</v>
      </c>
      <c r="BD299" s="17" t="s">
        <v>108</v>
      </c>
      <c r="BE299" s="120" t="s">
        <v>475</v>
      </c>
    </row>
    <row r="300" spans="2:57" s="1" customFormat="1" ht="37.9" customHeight="1" x14ac:dyDescent="0.2">
      <c r="B300" s="109"/>
      <c r="C300" s="110" t="s">
        <v>476</v>
      </c>
      <c r="D300" s="110" t="s">
        <v>103</v>
      </c>
      <c r="E300" s="111" t="s">
        <v>477</v>
      </c>
      <c r="F300" s="112" t="s">
        <v>478</v>
      </c>
      <c r="G300" s="113" t="s">
        <v>314</v>
      </c>
      <c r="H300" s="114">
        <v>1</v>
      </c>
      <c r="I300" s="115">
        <v>0</v>
      </c>
      <c r="J300" s="115">
        <f>ROUND(I300*H300,2)</f>
        <v>0</v>
      </c>
      <c r="K300" s="112" t="s">
        <v>107</v>
      </c>
      <c r="L300" s="28"/>
      <c r="M300" s="116" t="s">
        <v>1</v>
      </c>
      <c r="N300" s="117" t="s">
        <v>39</v>
      </c>
      <c r="O300" s="118">
        <v>0.622</v>
      </c>
      <c r="P300" s="118">
        <f>O300*H300</f>
        <v>0.622</v>
      </c>
      <c r="Q300" s="118">
        <v>0</v>
      </c>
      <c r="R300" s="118">
        <f>Q300*H300</f>
        <v>0</v>
      </c>
      <c r="S300" s="118">
        <v>0</v>
      </c>
      <c r="T300" s="119">
        <f>S300*H300</f>
        <v>0</v>
      </c>
      <c r="W300"/>
      <c r="X300"/>
      <c r="Y300"/>
      <c r="AJ300" s="120" t="s">
        <v>108</v>
      </c>
      <c r="AL300" s="120" t="s">
        <v>103</v>
      </c>
      <c r="AM300" s="120" t="s">
        <v>65</v>
      </c>
      <c r="AQ300" s="17" t="s">
        <v>101</v>
      </c>
      <c r="AW300" s="121">
        <f>IF(N300="základní",J300,0)</f>
        <v>0</v>
      </c>
      <c r="AX300" s="121">
        <f>IF(N300="snížená",J300,0)</f>
        <v>0</v>
      </c>
      <c r="AY300" s="121">
        <f>IF(N300="zákl. přenesená",J300,0)</f>
        <v>0</v>
      </c>
      <c r="AZ300" s="121">
        <f>IF(N300="sníž. přenesená",J300,0)</f>
        <v>0</v>
      </c>
      <c r="BA300" s="121">
        <f>IF(N300="nulová",J300,0)</f>
        <v>0</v>
      </c>
      <c r="BB300" s="17" t="s">
        <v>63</v>
      </c>
      <c r="BC300" s="121">
        <f>ROUND(I300*H300,2)</f>
        <v>0</v>
      </c>
      <c r="BD300" s="17" t="s">
        <v>108</v>
      </c>
      <c r="BE300" s="120" t="s">
        <v>479</v>
      </c>
    </row>
    <row r="301" spans="2:57" s="1" customFormat="1" x14ac:dyDescent="0.2">
      <c r="B301" s="28"/>
      <c r="D301" s="122" t="s">
        <v>110</v>
      </c>
      <c r="F301" s="412" t="s">
        <v>480</v>
      </c>
      <c r="L301" s="28"/>
      <c r="M301" s="124"/>
      <c r="T301" s="48"/>
      <c r="W301"/>
      <c r="X301"/>
      <c r="Y301"/>
      <c r="AL301" s="17" t="s">
        <v>110</v>
      </c>
      <c r="AM301" s="17" t="s">
        <v>65</v>
      </c>
    </row>
    <row r="302" spans="2:57" s="1" customFormat="1" ht="21.75" customHeight="1" x14ac:dyDescent="0.2">
      <c r="B302" s="109"/>
      <c r="C302" s="143" t="s">
        <v>481</v>
      </c>
      <c r="D302" s="143" t="s">
        <v>252</v>
      </c>
      <c r="E302" s="144" t="s">
        <v>482</v>
      </c>
      <c r="F302" s="145" t="s">
        <v>483</v>
      </c>
      <c r="G302" s="146" t="s">
        <v>314</v>
      </c>
      <c r="H302" s="147">
        <v>1</v>
      </c>
      <c r="I302" s="148">
        <v>0</v>
      </c>
      <c r="J302" s="148">
        <f>ROUND(I302*H302,2)</f>
        <v>0</v>
      </c>
      <c r="K302" s="145" t="s">
        <v>107</v>
      </c>
      <c r="L302" s="149"/>
      <c r="M302" s="150" t="s">
        <v>1</v>
      </c>
      <c r="N302" s="151" t="s">
        <v>39</v>
      </c>
      <c r="O302" s="118">
        <v>0</v>
      </c>
      <c r="P302" s="118">
        <f>O302*H302</f>
        <v>0</v>
      </c>
      <c r="Q302" s="118">
        <v>9.1E-4</v>
      </c>
      <c r="R302" s="118">
        <f>Q302*H302</f>
        <v>9.1E-4</v>
      </c>
      <c r="S302" s="118">
        <v>0</v>
      </c>
      <c r="T302" s="119">
        <f>S302*H302</f>
        <v>0</v>
      </c>
      <c r="W302"/>
      <c r="X302"/>
      <c r="Y302"/>
      <c r="AJ302" s="120" t="s">
        <v>171</v>
      </c>
      <c r="AL302" s="120" t="s">
        <v>252</v>
      </c>
      <c r="AM302" s="120" t="s">
        <v>65</v>
      </c>
      <c r="AQ302" s="17" t="s">
        <v>101</v>
      </c>
      <c r="AW302" s="121">
        <f>IF(N302="základní",J302,0)</f>
        <v>0</v>
      </c>
      <c r="AX302" s="121">
        <f>IF(N302="snížená",J302,0)</f>
        <v>0</v>
      </c>
      <c r="AY302" s="121">
        <f>IF(N302="zákl. přenesená",J302,0)</f>
        <v>0</v>
      </c>
      <c r="AZ302" s="121">
        <f>IF(N302="sníž. přenesená",J302,0)</f>
        <v>0</v>
      </c>
      <c r="BA302" s="121">
        <f>IF(N302="nulová",J302,0)</f>
        <v>0</v>
      </c>
      <c r="BB302" s="17" t="s">
        <v>63</v>
      </c>
      <c r="BC302" s="121">
        <f>ROUND(I302*H302,2)</f>
        <v>0</v>
      </c>
      <c r="BD302" s="17" t="s">
        <v>108</v>
      </c>
      <c r="BE302" s="120" t="s">
        <v>484</v>
      </c>
    </row>
    <row r="303" spans="2:57" s="1" customFormat="1" ht="44.25" customHeight="1" x14ac:dyDescent="0.2">
      <c r="B303" s="109"/>
      <c r="C303" s="110" t="s">
        <v>485</v>
      </c>
      <c r="D303" s="110" t="s">
        <v>103</v>
      </c>
      <c r="E303" s="111" t="s">
        <v>486</v>
      </c>
      <c r="F303" s="112" t="s">
        <v>487</v>
      </c>
      <c r="G303" s="113" t="s">
        <v>314</v>
      </c>
      <c r="H303" s="114">
        <v>3</v>
      </c>
      <c r="I303" s="115">
        <v>0</v>
      </c>
      <c r="J303" s="115">
        <f>ROUND(I303*H303,2)</f>
        <v>0</v>
      </c>
      <c r="K303" s="112" t="s">
        <v>107</v>
      </c>
      <c r="L303" s="28"/>
      <c r="M303" s="116" t="s">
        <v>1</v>
      </c>
      <c r="N303" s="117" t="s">
        <v>39</v>
      </c>
      <c r="O303" s="118">
        <v>0.90400000000000003</v>
      </c>
      <c r="P303" s="118">
        <f>O303*H303</f>
        <v>2.7120000000000002</v>
      </c>
      <c r="Q303" s="118">
        <v>0</v>
      </c>
      <c r="R303" s="118">
        <f>Q303*H303</f>
        <v>0</v>
      </c>
      <c r="S303" s="118">
        <v>0</v>
      </c>
      <c r="T303" s="119">
        <f>S303*H303</f>
        <v>0</v>
      </c>
      <c r="W303"/>
      <c r="X303"/>
      <c r="Y303"/>
      <c r="AJ303" s="120" t="s">
        <v>108</v>
      </c>
      <c r="AL303" s="120" t="s">
        <v>103</v>
      </c>
      <c r="AM303" s="120" t="s">
        <v>65</v>
      </c>
      <c r="AQ303" s="17" t="s">
        <v>101</v>
      </c>
      <c r="AW303" s="121">
        <f>IF(N303="základní",J303,0)</f>
        <v>0</v>
      </c>
      <c r="AX303" s="121">
        <f>IF(N303="snížená",J303,0)</f>
        <v>0</v>
      </c>
      <c r="AY303" s="121">
        <f>IF(N303="zákl. přenesená",J303,0)</f>
        <v>0</v>
      </c>
      <c r="AZ303" s="121">
        <f>IF(N303="sníž. přenesená",J303,0)</f>
        <v>0</v>
      </c>
      <c r="BA303" s="121">
        <f>IF(N303="nulová",J303,0)</f>
        <v>0</v>
      </c>
      <c r="BB303" s="17" t="s">
        <v>63</v>
      </c>
      <c r="BC303" s="121">
        <f>ROUND(I303*H303,2)</f>
        <v>0</v>
      </c>
      <c r="BD303" s="17" t="s">
        <v>108</v>
      </c>
      <c r="BE303" s="120" t="s">
        <v>488</v>
      </c>
    </row>
    <row r="304" spans="2:57" s="1" customFormat="1" x14ac:dyDescent="0.2">
      <c r="B304" s="28"/>
      <c r="D304" s="122" t="s">
        <v>110</v>
      </c>
      <c r="F304" s="412" t="s">
        <v>489</v>
      </c>
      <c r="L304" s="28"/>
      <c r="M304" s="124"/>
      <c r="T304" s="48"/>
      <c r="W304"/>
      <c r="X304"/>
      <c r="Y304"/>
      <c r="AL304" s="17" t="s">
        <v>110</v>
      </c>
      <c r="AM304" s="17" t="s">
        <v>65</v>
      </c>
    </row>
    <row r="305" spans="2:57" s="1" customFormat="1" ht="16.5" customHeight="1" x14ac:dyDescent="0.2">
      <c r="B305" s="109"/>
      <c r="C305" s="143" t="s">
        <v>490</v>
      </c>
      <c r="D305" s="143" t="s">
        <v>252</v>
      </c>
      <c r="E305" s="144" t="s">
        <v>491</v>
      </c>
      <c r="F305" s="145" t="s">
        <v>492</v>
      </c>
      <c r="G305" s="146" t="s">
        <v>314</v>
      </c>
      <c r="H305" s="147">
        <v>3</v>
      </c>
      <c r="I305" s="148">
        <v>0</v>
      </c>
      <c r="J305" s="148">
        <f>ROUND(I305*H305,2)</f>
        <v>0</v>
      </c>
      <c r="K305" s="145" t="s">
        <v>107</v>
      </c>
      <c r="L305" s="149"/>
      <c r="M305" s="150" t="s">
        <v>1</v>
      </c>
      <c r="N305" s="151" t="s">
        <v>39</v>
      </c>
      <c r="O305" s="118">
        <v>0</v>
      </c>
      <c r="P305" s="118">
        <f>O305*H305</f>
        <v>0</v>
      </c>
      <c r="Q305" s="118">
        <v>8.1999999999999998E-4</v>
      </c>
      <c r="R305" s="118">
        <f>Q305*H305</f>
        <v>2.4599999999999999E-3</v>
      </c>
      <c r="S305" s="118">
        <v>0</v>
      </c>
      <c r="T305" s="119">
        <f>S305*H305</f>
        <v>0</v>
      </c>
      <c r="W305"/>
      <c r="X305"/>
      <c r="Y305"/>
      <c r="AJ305" s="120" t="s">
        <v>171</v>
      </c>
      <c r="AL305" s="120" t="s">
        <v>252</v>
      </c>
      <c r="AM305" s="120" t="s">
        <v>65</v>
      </c>
      <c r="AQ305" s="17" t="s">
        <v>101</v>
      </c>
      <c r="AW305" s="121">
        <f>IF(N305="základní",J305,0)</f>
        <v>0</v>
      </c>
      <c r="AX305" s="121">
        <f>IF(N305="snížená",J305,0)</f>
        <v>0</v>
      </c>
      <c r="AY305" s="121">
        <f>IF(N305="zákl. přenesená",J305,0)</f>
        <v>0</v>
      </c>
      <c r="AZ305" s="121">
        <f>IF(N305="sníž. přenesená",J305,0)</f>
        <v>0</v>
      </c>
      <c r="BA305" s="121">
        <f>IF(N305="nulová",J305,0)</f>
        <v>0</v>
      </c>
      <c r="BB305" s="17" t="s">
        <v>63</v>
      </c>
      <c r="BC305" s="121">
        <f>ROUND(I305*H305,2)</f>
        <v>0</v>
      </c>
      <c r="BD305" s="17" t="s">
        <v>108</v>
      </c>
      <c r="BE305" s="120" t="s">
        <v>493</v>
      </c>
    </row>
    <row r="306" spans="2:57" s="1" customFormat="1" ht="37.9" customHeight="1" x14ac:dyDescent="0.2">
      <c r="B306" s="109"/>
      <c r="C306" s="110" t="s">
        <v>494</v>
      </c>
      <c r="D306" s="110" t="s">
        <v>103</v>
      </c>
      <c r="E306" s="111" t="s">
        <v>495</v>
      </c>
      <c r="F306" s="112" t="s">
        <v>496</v>
      </c>
      <c r="G306" s="113" t="s">
        <v>314</v>
      </c>
      <c r="H306" s="114">
        <v>1</v>
      </c>
      <c r="I306" s="115">
        <v>0</v>
      </c>
      <c r="J306" s="115">
        <f>ROUND(I306*H306,2)</f>
        <v>0</v>
      </c>
      <c r="K306" s="112" t="s">
        <v>107</v>
      </c>
      <c r="L306" s="28"/>
      <c r="M306" s="116" t="s">
        <v>1</v>
      </c>
      <c r="N306" s="117" t="s">
        <v>39</v>
      </c>
      <c r="O306" s="118">
        <v>0.82599999999999996</v>
      </c>
      <c r="P306" s="118">
        <f>O306*H306</f>
        <v>0.82599999999999996</v>
      </c>
      <c r="Q306" s="118">
        <v>0</v>
      </c>
      <c r="R306" s="118">
        <f>Q306*H306</f>
        <v>0</v>
      </c>
      <c r="S306" s="118">
        <v>0</v>
      </c>
      <c r="T306" s="119">
        <f>S306*H306</f>
        <v>0</v>
      </c>
      <c r="W306"/>
      <c r="X306"/>
      <c r="Y306"/>
      <c r="AJ306" s="120" t="s">
        <v>108</v>
      </c>
      <c r="AL306" s="120" t="s">
        <v>103</v>
      </c>
      <c r="AM306" s="120" t="s">
        <v>65</v>
      </c>
      <c r="AQ306" s="17" t="s">
        <v>101</v>
      </c>
      <c r="AW306" s="121">
        <f>IF(N306="základní",J306,0)</f>
        <v>0</v>
      </c>
      <c r="AX306" s="121">
        <f>IF(N306="snížená",J306,0)</f>
        <v>0</v>
      </c>
      <c r="AY306" s="121">
        <f>IF(N306="zákl. přenesená",J306,0)</f>
        <v>0</v>
      </c>
      <c r="AZ306" s="121">
        <f>IF(N306="sníž. přenesená",J306,0)</f>
        <v>0</v>
      </c>
      <c r="BA306" s="121">
        <f>IF(N306="nulová",J306,0)</f>
        <v>0</v>
      </c>
      <c r="BB306" s="17" t="s">
        <v>63</v>
      </c>
      <c r="BC306" s="121">
        <f>ROUND(I306*H306,2)</f>
        <v>0</v>
      </c>
      <c r="BD306" s="17" t="s">
        <v>108</v>
      </c>
      <c r="BE306" s="120" t="s">
        <v>497</v>
      </c>
    </row>
    <row r="307" spans="2:57" s="1" customFormat="1" x14ac:dyDescent="0.2">
      <c r="B307" s="28"/>
      <c r="D307" s="122" t="s">
        <v>110</v>
      </c>
      <c r="F307" s="412" t="s">
        <v>498</v>
      </c>
      <c r="L307" s="28"/>
      <c r="M307" s="124"/>
      <c r="T307" s="48"/>
      <c r="W307"/>
      <c r="X307"/>
      <c r="Y307"/>
      <c r="AL307" s="17" t="s">
        <v>110</v>
      </c>
      <c r="AM307" s="17" t="s">
        <v>65</v>
      </c>
    </row>
    <row r="308" spans="2:57" s="1" customFormat="1" ht="16.5" customHeight="1" x14ac:dyDescent="0.2">
      <c r="B308" s="109"/>
      <c r="C308" s="143" t="s">
        <v>499</v>
      </c>
      <c r="D308" s="143" t="s">
        <v>252</v>
      </c>
      <c r="E308" s="144" t="s">
        <v>500</v>
      </c>
      <c r="F308" s="145" t="s">
        <v>501</v>
      </c>
      <c r="G308" s="146" t="s">
        <v>314</v>
      </c>
      <c r="H308" s="147">
        <v>1</v>
      </c>
      <c r="I308" s="148">
        <v>0</v>
      </c>
      <c r="J308" s="148">
        <f>ROUND(I308*H308,2)</f>
        <v>0</v>
      </c>
      <c r="K308" s="145" t="s">
        <v>107</v>
      </c>
      <c r="L308" s="149"/>
      <c r="M308" s="150" t="s">
        <v>1</v>
      </c>
      <c r="N308" s="151" t="s">
        <v>39</v>
      </c>
      <c r="O308" s="118">
        <v>0</v>
      </c>
      <c r="P308" s="118">
        <f>O308*H308</f>
        <v>0</v>
      </c>
      <c r="Q308" s="118">
        <v>2.0999999999999999E-3</v>
      </c>
      <c r="R308" s="118">
        <f>Q308*H308</f>
        <v>2.0999999999999999E-3</v>
      </c>
      <c r="S308" s="118">
        <v>0</v>
      </c>
      <c r="T308" s="119">
        <f>S308*H308</f>
        <v>0</v>
      </c>
      <c r="W308"/>
      <c r="X308"/>
      <c r="Y308"/>
      <c r="AJ308" s="120" t="s">
        <v>171</v>
      </c>
      <c r="AL308" s="120" t="s">
        <v>252</v>
      </c>
      <c r="AM308" s="120" t="s">
        <v>65</v>
      </c>
      <c r="AQ308" s="17" t="s">
        <v>101</v>
      </c>
      <c r="AW308" s="121">
        <f>IF(N308="základní",J308,0)</f>
        <v>0</v>
      </c>
      <c r="AX308" s="121">
        <f>IF(N308="snížená",J308,0)</f>
        <v>0</v>
      </c>
      <c r="AY308" s="121">
        <f>IF(N308="zákl. přenesená",J308,0)</f>
        <v>0</v>
      </c>
      <c r="AZ308" s="121">
        <f>IF(N308="sníž. přenesená",J308,0)</f>
        <v>0</v>
      </c>
      <c r="BA308" s="121">
        <f>IF(N308="nulová",J308,0)</f>
        <v>0</v>
      </c>
      <c r="BB308" s="17" t="s">
        <v>63</v>
      </c>
      <c r="BC308" s="121">
        <f>ROUND(I308*H308,2)</f>
        <v>0</v>
      </c>
      <c r="BD308" s="17" t="s">
        <v>108</v>
      </c>
      <c r="BE308" s="120" t="s">
        <v>502</v>
      </c>
    </row>
    <row r="309" spans="2:57" s="1" customFormat="1" ht="49.15" customHeight="1" x14ac:dyDescent="0.2">
      <c r="B309" s="109"/>
      <c r="C309" s="110" t="s">
        <v>503</v>
      </c>
      <c r="D309" s="110" t="s">
        <v>103</v>
      </c>
      <c r="E309" s="111" t="s">
        <v>504</v>
      </c>
      <c r="F309" s="112" t="s">
        <v>505</v>
      </c>
      <c r="G309" s="113" t="s">
        <v>314</v>
      </c>
      <c r="H309" s="114">
        <v>1</v>
      </c>
      <c r="I309" s="115">
        <v>0</v>
      </c>
      <c r="J309" s="115">
        <f>ROUND(I309*H309,2)</f>
        <v>0</v>
      </c>
      <c r="K309" s="112" t="s">
        <v>107</v>
      </c>
      <c r="L309" s="28"/>
      <c r="M309" s="116" t="s">
        <v>1</v>
      </c>
      <c r="N309" s="117" t="s">
        <v>39</v>
      </c>
      <c r="O309" s="118">
        <v>1.554</v>
      </c>
      <c r="P309" s="118">
        <f>O309*H309</f>
        <v>1.554</v>
      </c>
      <c r="Q309" s="118">
        <v>1.6199999999999999E-3</v>
      </c>
      <c r="R309" s="118">
        <f>Q309*H309</f>
        <v>1.6199999999999999E-3</v>
      </c>
      <c r="S309" s="118">
        <v>0</v>
      </c>
      <c r="T309" s="119">
        <f>S309*H309</f>
        <v>0</v>
      </c>
      <c r="W309"/>
      <c r="X309"/>
      <c r="Y309"/>
      <c r="AJ309" s="120" t="s">
        <v>108</v>
      </c>
      <c r="AL309" s="120" t="s">
        <v>103</v>
      </c>
      <c r="AM309" s="120" t="s">
        <v>65</v>
      </c>
      <c r="AQ309" s="17" t="s">
        <v>101</v>
      </c>
      <c r="AW309" s="121">
        <f>IF(N309="základní",J309,0)</f>
        <v>0</v>
      </c>
      <c r="AX309" s="121">
        <f>IF(N309="snížená",J309,0)</f>
        <v>0</v>
      </c>
      <c r="AY309" s="121">
        <f>IF(N309="zákl. přenesená",J309,0)</f>
        <v>0</v>
      </c>
      <c r="AZ309" s="121">
        <f>IF(N309="sníž. přenesená",J309,0)</f>
        <v>0</v>
      </c>
      <c r="BA309" s="121">
        <f>IF(N309="nulová",J309,0)</f>
        <v>0</v>
      </c>
      <c r="BB309" s="17" t="s">
        <v>63</v>
      </c>
      <c r="BC309" s="121">
        <f>ROUND(I309*H309,2)</f>
        <v>0</v>
      </c>
      <c r="BD309" s="17" t="s">
        <v>108</v>
      </c>
      <c r="BE309" s="120" t="s">
        <v>506</v>
      </c>
    </row>
    <row r="310" spans="2:57" s="1" customFormat="1" x14ac:dyDescent="0.2">
      <c r="B310" s="28"/>
      <c r="D310" s="122" t="s">
        <v>110</v>
      </c>
      <c r="F310" s="412" t="s">
        <v>507</v>
      </c>
      <c r="L310" s="28"/>
      <c r="M310" s="124"/>
      <c r="T310" s="48"/>
      <c r="W310"/>
      <c r="X310"/>
      <c r="Y310"/>
      <c r="AL310" s="17" t="s">
        <v>110</v>
      </c>
      <c r="AM310" s="17" t="s">
        <v>65</v>
      </c>
    </row>
    <row r="311" spans="2:57" s="1" customFormat="1" ht="24.2" customHeight="1" x14ac:dyDescent="0.2">
      <c r="B311" s="109"/>
      <c r="C311" s="143" t="s">
        <v>508</v>
      </c>
      <c r="D311" s="143" t="s">
        <v>252</v>
      </c>
      <c r="E311" s="144" t="s">
        <v>509</v>
      </c>
      <c r="F311" s="145" t="s">
        <v>510</v>
      </c>
      <c r="G311" s="146" t="s">
        <v>314</v>
      </c>
      <c r="H311" s="147">
        <v>1</v>
      </c>
      <c r="I311" s="148">
        <v>0</v>
      </c>
      <c r="J311" s="148">
        <f>ROUND(I311*H311,2)</f>
        <v>0</v>
      </c>
      <c r="K311" s="145" t="s">
        <v>107</v>
      </c>
      <c r="L311" s="149"/>
      <c r="M311" s="150" t="s">
        <v>1</v>
      </c>
      <c r="N311" s="151" t="s">
        <v>39</v>
      </c>
      <c r="O311" s="118">
        <v>0</v>
      </c>
      <c r="P311" s="118">
        <f>O311*H311</f>
        <v>0</v>
      </c>
      <c r="Q311" s="118">
        <v>1.7999999999999999E-2</v>
      </c>
      <c r="R311" s="118">
        <f>Q311*H311</f>
        <v>1.7999999999999999E-2</v>
      </c>
      <c r="S311" s="118">
        <v>0</v>
      </c>
      <c r="T311" s="119">
        <f>S311*H311</f>
        <v>0</v>
      </c>
      <c r="W311"/>
      <c r="X311"/>
      <c r="Y311"/>
      <c r="AJ311" s="120" t="s">
        <v>171</v>
      </c>
      <c r="AL311" s="120" t="s">
        <v>252</v>
      </c>
      <c r="AM311" s="120" t="s">
        <v>65</v>
      </c>
      <c r="AQ311" s="17" t="s">
        <v>101</v>
      </c>
      <c r="AW311" s="121">
        <f>IF(N311="základní",J311,0)</f>
        <v>0</v>
      </c>
      <c r="AX311" s="121">
        <f>IF(N311="snížená",J311,0)</f>
        <v>0</v>
      </c>
      <c r="AY311" s="121">
        <f>IF(N311="zákl. přenesená",J311,0)</f>
        <v>0</v>
      </c>
      <c r="AZ311" s="121">
        <f>IF(N311="sníž. přenesená",J311,0)</f>
        <v>0</v>
      </c>
      <c r="BA311" s="121">
        <f>IF(N311="nulová",J311,0)</f>
        <v>0</v>
      </c>
      <c r="BB311" s="17" t="s">
        <v>63</v>
      </c>
      <c r="BC311" s="121">
        <f>ROUND(I311*H311,2)</f>
        <v>0</v>
      </c>
      <c r="BD311" s="17" t="s">
        <v>108</v>
      </c>
      <c r="BE311" s="120" t="s">
        <v>511</v>
      </c>
    </row>
    <row r="312" spans="2:57" s="1" customFormat="1" ht="21.75" customHeight="1" x14ac:dyDescent="0.2">
      <c r="B312" s="109"/>
      <c r="C312" s="143" t="s">
        <v>512</v>
      </c>
      <c r="D312" s="143" t="s">
        <v>252</v>
      </c>
      <c r="E312" s="144" t="s">
        <v>513</v>
      </c>
      <c r="F312" s="145" t="s">
        <v>514</v>
      </c>
      <c r="G312" s="146" t="s">
        <v>314</v>
      </c>
      <c r="H312" s="147">
        <v>1</v>
      </c>
      <c r="I312" s="148">
        <v>0</v>
      </c>
      <c r="J312" s="148">
        <f>ROUND(I312*H312,2)</f>
        <v>0</v>
      </c>
      <c r="K312" s="145" t="s">
        <v>107</v>
      </c>
      <c r="L312" s="149"/>
      <c r="M312" s="150" t="s">
        <v>1</v>
      </c>
      <c r="N312" s="151" t="s">
        <v>39</v>
      </c>
      <c r="O312" s="118">
        <v>0</v>
      </c>
      <c r="P312" s="118">
        <f>O312*H312</f>
        <v>0</v>
      </c>
      <c r="Q312" s="118">
        <v>3.5000000000000001E-3</v>
      </c>
      <c r="R312" s="118">
        <f>Q312*H312</f>
        <v>3.5000000000000001E-3</v>
      </c>
      <c r="S312" s="118">
        <v>0</v>
      </c>
      <c r="T312" s="119">
        <f>S312*H312</f>
        <v>0</v>
      </c>
      <c r="W312"/>
      <c r="X312"/>
      <c r="Y312"/>
      <c r="AJ312" s="120" t="s">
        <v>171</v>
      </c>
      <c r="AL312" s="120" t="s">
        <v>252</v>
      </c>
      <c r="AM312" s="120" t="s">
        <v>65</v>
      </c>
      <c r="AQ312" s="17" t="s">
        <v>101</v>
      </c>
      <c r="AW312" s="121">
        <f>IF(N312="základní",J312,0)</f>
        <v>0</v>
      </c>
      <c r="AX312" s="121">
        <f>IF(N312="snížená",J312,0)</f>
        <v>0</v>
      </c>
      <c r="AY312" s="121">
        <f>IF(N312="zákl. přenesená",J312,0)</f>
        <v>0</v>
      </c>
      <c r="AZ312" s="121">
        <f>IF(N312="sníž. přenesená",J312,0)</f>
        <v>0</v>
      </c>
      <c r="BA312" s="121">
        <f>IF(N312="nulová",J312,0)</f>
        <v>0</v>
      </c>
      <c r="BB312" s="17" t="s">
        <v>63</v>
      </c>
      <c r="BC312" s="121">
        <f>ROUND(I312*H312,2)</f>
        <v>0</v>
      </c>
      <c r="BD312" s="17" t="s">
        <v>108</v>
      </c>
      <c r="BE312" s="120" t="s">
        <v>515</v>
      </c>
    </row>
    <row r="313" spans="2:57" s="1" customFormat="1" ht="24.2" customHeight="1" x14ac:dyDescent="0.2">
      <c r="B313" s="109"/>
      <c r="C313" s="110" t="s">
        <v>516</v>
      </c>
      <c r="D313" s="110" t="s">
        <v>103</v>
      </c>
      <c r="E313" s="111" t="s">
        <v>517</v>
      </c>
      <c r="F313" s="112" t="s">
        <v>518</v>
      </c>
      <c r="G313" s="113" t="s">
        <v>314</v>
      </c>
      <c r="H313" s="114">
        <v>1</v>
      </c>
      <c r="I313" s="115">
        <v>0</v>
      </c>
      <c r="J313" s="115">
        <f>ROUND(I313*H313,2)</f>
        <v>0</v>
      </c>
      <c r="K313" s="112" t="s">
        <v>107</v>
      </c>
      <c r="L313" s="28"/>
      <c r="M313" s="116" t="s">
        <v>1</v>
      </c>
      <c r="N313" s="117" t="s">
        <v>39</v>
      </c>
      <c r="O313" s="118">
        <v>1.333</v>
      </c>
      <c r="P313" s="118">
        <f>O313*H313</f>
        <v>1.333</v>
      </c>
      <c r="Q313" s="118">
        <v>1.3600000000000001E-3</v>
      </c>
      <c r="R313" s="118">
        <f>Q313*H313</f>
        <v>1.3600000000000001E-3</v>
      </c>
      <c r="S313" s="118">
        <v>0</v>
      </c>
      <c r="T313" s="119">
        <f>S313*H313</f>
        <v>0</v>
      </c>
      <c r="W313"/>
      <c r="X313"/>
      <c r="Y313"/>
      <c r="AJ313" s="120" t="s">
        <v>108</v>
      </c>
      <c r="AL313" s="120" t="s">
        <v>103</v>
      </c>
      <c r="AM313" s="120" t="s">
        <v>65</v>
      </c>
      <c r="AQ313" s="17" t="s">
        <v>101</v>
      </c>
      <c r="AW313" s="121">
        <f>IF(N313="základní",J313,0)</f>
        <v>0</v>
      </c>
      <c r="AX313" s="121">
        <f>IF(N313="snížená",J313,0)</f>
        <v>0</v>
      </c>
      <c r="AY313" s="121">
        <f>IF(N313="zákl. přenesená",J313,0)</f>
        <v>0</v>
      </c>
      <c r="AZ313" s="121">
        <f>IF(N313="sníž. přenesená",J313,0)</f>
        <v>0</v>
      </c>
      <c r="BA313" s="121">
        <f>IF(N313="nulová",J313,0)</f>
        <v>0</v>
      </c>
      <c r="BB313" s="17" t="s">
        <v>63</v>
      </c>
      <c r="BC313" s="121">
        <f>ROUND(I313*H313,2)</f>
        <v>0</v>
      </c>
      <c r="BD313" s="17" t="s">
        <v>108</v>
      </c>
      <c r="BE313" s="120" t="s">
        <v>519</v>
      </c>
    </row>
    <row r="314" spans="2:57" s="1" customFormat="1" x14ac:dyDescent="0.2">
      <c r="B314" s="28"/>
      <c r="D314" s="122" t="s">
        <v>110</v>
      </c>
      <c r="F314" s="412" t="s">
        <v>520</v>
      </c>
      <c r="L314" s="28"/>
      <c r="M314" s="124"/>
      <c r="T314" s="48"/>
      <c r="W314"/>
      <c r="X314"/>
      <c r="Y314"/>
      <c r="AL314" s="17" t="s">
        <v>110</v>
      </c>
      <c r="AM314" s="17" t="s">
        <v>65</v>
      </c>
    </row>
    <row r="315" spans="2:57" s="1" customFormat="1" ht="24.2" customHeight="1" x14ac:dyDescent="0.2">
      <c r="B315" s="109"/>
      <c r="C315" s="143" t="s">
        <v>521</v>
      </c>
      <c r="D315" s="143" t="s">
        <v>252</v>
      </c>
      <c r="E315" s="144" t="s">
        <v>522</v>
      </c>
      <c r="F315" s="145" t="s">
        <v>523</v>
      </c>
      <c r="G315" s="146" t="s">
        <v>314</v>
      </c>
      <c r="H315" s="147">
        <v>1</v>
      </c>
      <c r="I315" s="148">
        <v>0</v>
      </c>
      <c r="J315" s="148">
        <f>ROUND(I315*H315,2)</f>
        <v>0</v>
      </c>
      <c r="K315" s="145" t="s">
        <v>107</v>
      </c>
      <c r="L315" s="149"/>
      <c r="M315" s="150" t="s">
        <v>1</v>
      </c>
      <c r="N315" s="151" t="s">
        <v>39</v>
      </c>
      <c r="O315" s="118">
        <v>0</v>
      </c>
      <c r="P315" s="118">
        <f>O315*H315</f>
        <v>0</v>
      </c>
      <c r="Q315" s="118">
        <v>3.2500000000000001E-2</v>
      </c>
      <c r="R315" s="118">
        <f>Q315*H315</f>
        <v>3.2500000000000001E-2</v>
      </c>
      <c r="S315" s="118">
        <v>0</v>
      </c>
      <c r="T315" s="119">
        <f>S315*H315</f>
        <v>0</v>
      </c>
      <c r="W315"/>
      <c r="X315"/>
      <c r="Y315"/>
      <c r="AJ315" s="120" t="s">
        <v>171</v>
      </c>
      <c r="AL315" s="120" t="s">
        <v>252</v>
      </c>
      <c r="AM315" s="120" t="s">
        <v>65</v>
      </c>
      <c r="AQ315" s="17" t="s">
        <v>101</v>
      </c>
      <c r="AW315" s="121">
        <f>IF(N315="základní",J315,0)</f>
        <v>0</v>
      </c>
      <c r="AX315" s="121">
        <f>IF(N315="snížená",J315,0)</f>
        <v>0</v>
      </c>
      <c r="AY315" s="121">
        <f>IF(N315="zákl. přenesená",J315,0)</f>
        <v>0</v>
      </c>
      <c r="AZ315" s="121">
        <f>IF(N315="sníž. přenesená",J315,0)</f>
        <v>0</v>
      </c>
      <c r="BA315" s="121">
        <f>IF(N315="nulová",J315,0)</f>
        <v>0</v>
      </c>
      <c r="BB315" s="17" t="s">
        <v>63</v>
      </c>
      <c r="BC315" s="121">
        <f>ROUND(I315*H315,2)</f>
        <v>0</v>
      </c>
      <c r="BD315" s="17" t="s">
        <v>108</v>
      </c>
      <c r="BE315" s="120" t="s">
        <v>524</v>
      </c>
    </row>
    <row r="316" spans="2:57" s="1" customFormat="1" ht="24.2" customHeight="1" x14ac:dyDescent="0.2">
      <c r="B316" s="109"/>
      <c r="C316" s="143" t="s">
        <v>525</v>
      </c>
      <c r="D316" s="143" t="s">
        <v>252</v>
      </c>
      <c r="E316" s="144" t="s">
        <v>526</v>
      </c>
      <c r="F316" s="145" t="s">
        <v>527</v>
      </c>
      <c r="G316" s="146" t="s">
        <v>314</v>
      </c>
      <c r="H316" s="147">
        <v>1</v>
      </c>
      <c r="I316" s="148">
        <v>0</v>
      </c>
      <c r="J316" s="148">
        <f>ROUND(I316*H316,2)</f>
        <v>0</v>
      </c>
      <c r="K316" s="145" t="s">
        <v>1</v>
      </c>
      <c r="L316" s="149"/>
      <c r="M316" s="150" t="s">
        <v>1</v>
      </c>
      <c r="N316" s="151" t="s">
        <v>39</v>
      </c>
      <c r="O316" s="118">
        <v>0</v>
      </c>
      <c r="P316" s="118">
        <f>O316*H316</f>
        <v>0</v>
      </c>
      <c r="Q316" s="118">
        <v>1.5E-3</v>
      </c>
      <c r="R316" s="118">
        <f>Q316*H316</f>
        <v>1.5E-3</v>
      </c>
      <c r="S316" s="118">
        <v>0</v>
      </c>
      <c r="T316" s="119">
        <f>S316*H316</f>
        <v>0</v>
      </c>
      <c r="W316"/>
      <c r="X316"/>
      <c r="Y316"/>
      <c r="AJ316" s="120" t="s">
        <v>171</v>
      </c>
      <c r="AL316" s="120" t="s">
        <v>252</v>
      </c>
      <c r="AM316" s="120" t="s">
        <v>65</v>
      </c>
      <c r="AQ316" s="17" t="s">
        <v>101</v>
      </c>
      <c r="AW316" s="121">
        <f>IF(N316="základní",J316,0)</f>
        <v>0</v>
      </c>
      <c r="AX316" s="121">
        <f>IF(N316="snížená",J316,0)</f>
        <v>0</v>
      </c>
      <c r="AY316" s="121">
        <f>IF(N316="zákl. přenesená",J316,0)</f>
        <v>0</v>
      </c>
      <c r="AZ316" s="121">
        <f>IF(N316="sníž. přenesená",J316,0)</f>
        <v>0</v>
      </c>
      <c r="BA316" s="121">
        <f>IF(N316="nulová",J316,0)</f>
        <v>0</v>
      </c>
      <c r="BB316" s="17" t="s">
        <v>63</v>
      </c>
      <c r="BC316" s="121">
        <f>ROUND(I316*H316,2)</f>
        <v>0</v>
      </c>
      <c r="BD316" s="17" t="s">
        <v>108</v>
      </c>
      <c r="BE316" s="120" t="s">
        <v>528</v>
      </c>
    </row>
    <row r="317" spans="2:57" s="1" customFormat="1" ht="49.15" customHeight="1" x14ac:dyDescent="0.2">
      <c r="B317" s="109"/>
      <c r="C317" s="110" t="s">
        <v>529</v>
      </c>
      <c r="D317" s="110" t="s">
        <v>103</v>
      </c>
      <c r="E317" s="111" t="s">
        <v>530</v>
      </c>
      <c r="F317" s="112" t="s">
        <v>531</v>
      </c>
      <c r="G317" s="113" t="s">
        <v>314</v>
      </c>
      <c r="H317" s="114">
        <v>2</v>
      </c>
      <c r="I317" s="115">
        <v>0</v>
      </c>
      <c r="J317" s="115">
        <f>ROUND(I317*H317,2)</f>
        <v>0</v>
      </c>
      <c r="K317" s="112" t="s">
        <v>107</v>
      </c>
      <c r="L317" s="28"/>
      <c r="M317" s="116" t="s">
        <v>1</v>
      </c>
      <c r="N317" s="117" t="s">
        <v>39</v>
      </c>
      <c r="O317" s="118">
        <v>1.8660000000000001</v>
      </c>
      <c r="P317" s="118">
        <f>O317*H317</f>
        <v>3.7320000000000002</v>
      </c>
      <c r="Q317" s="118">
        <v>1.65E-3</v>
      </c>
      <c r="R317" s="118">
        <f>Q317*H317</f>
        <v>3.3E-3</v>
      </c>
      <c r="S317" s="118">
        <v>0</v>
      </c>
      <c r="T317" s="119">
        <f>S317*H317</f>
        <v>0</v>
      </c>
      <c r="W317"/>
      <c r="X317"/>
      <c r="Y317"/>
      <c r="AJ317" s="120" t="s">
        <v>108</v>
      </c>
      <c r="AL317" s="120" t="s">
        <v>103</v>
      </c>
      <c r="AM317" s="120" t="s">
        <v>65</v>
      </c>
      <c r="AQ317" s="17" t="s">
        <v>101</v>
      </c>
      <c r="AW317" s="121">
        <f>IF(N317="základní",J317,0)</f>
        <v>0</v>
      </c>
      <c r="AX317" s="121">
        <f>IF(N317="snížená",J317,0)</f>
        <v>0</v>
      </c>
      <c r="AY317" s="121">
        <f>IF(N317="zákl. přenesená",J317,0)</f>
        <v>0</v>
      </c>
      <c r="AZ317" s="121">
        <f>IF(N317="sníž. přenesená",J317,0)</f>
        <v>0</v>
      </c>
      <c r="BA317" s="121">
        <f>IF(N317="nulová",J317,0)</f>
        <v>0</v>
      </c>
      <c r="BB317" s="17" t="s">
        <v>63</v>
      </c>
      <c r="BC317" s="121">
        <f>ROUND(I317*H317,2)</f>
        <v>0</v>
      </c>
      <c r="BD317" s="17" t="s">
        <v>108</v>
      </c>
      <c r="BE317" s="120" t="s">
        <v>532</v>
      </c>
    </row>
    <row r="318" spans="2:57" s="1" customFormat="1" x14ac:dyDescent="0.2">
      <c r="B318" s="28"/>
      <c r="D318" s="122" t="s">
        <v>110</v>
      </c>
      <c r="F318" s="412" t="s">
        <v>533</v>
      </c>
      <c r="L318" s="28"/>
      <c r="M318" s="124"/>
      <c r="T318" s="48"/>
      <c r="W318"/>
      <c r="X318"/>
      <c r="Y318"/>
      <c r="AL318" s="17" t="s">
        <v>110</v>
      </c>
      <c r="AM318" s="17" t="s">
        <v>65</v>
      </c>
    </row>
    <row r="319" spans="2:57" s="1" customFormat="1" ht="24.2" customHeight="1" x14ac:dyDescent="0.2">
      <c r="B319" s="109"/>
      <c r="C319" s="143" t="s">
        <v>534</v>
      </c>
      <c r="D319" s="143" t="s">
        <v>252</v>
      </c>
      <c r="E319" s="144" t="s">
        <v>535</v>
      </c>
      <c r="F319" s="145" t="s">
        <v>536</v>
      </c>
      <c r="G319" s="146" t="s">
        <v>314</v>
      </c>
      <c r="H319" s="147">
        <v>2</v>
      </c>
      <c r="I319" s="148">
        <v>0</v>
      </c>
      <c r="J319" s="148">
        <f>ROUND(I319*H319,2)</f>
        <v>0</v>
      </c>
      <c r="K319" s="145" t="s">
        <v>107</v>
      </c>
      <c r="L319" s="149"/>
      <c r="M319" s="150" t="s">
        <v>1</v>
      </c>
      <c r="N319" s="151" t="s">
        <v>39</v>
      </c>
      <c r="O319" s="118">
        <v>0</v>
      </c>
      <c r="P319" s="118">
        <f>O319*H319</f>
        <v>0</v>
      </c>
      <c r="Q319" s="118">
        <v>2.3E-2</v>
      </c>
      <c r="R319" s="118">
        <f>Q319*H319</f>
        <v>4.5999999999999999E-2</v>
      </c>
      <c r="S319" s="118">
        <v>0</v>
      </c>
      <c r="T319" s="119">
        <f>S319*H319</f>
        <v>0</v>
      </c>
      <c r="W319"/>
      <c r="X319"/>
      <c r="Y319"/>
      <c r="AJ319" s="120" t="s">
        <v>171</v>
      </c>
      <c r="AL319" s="120" t="s">
        <v>252</v>
      </c>
      <c r="AM319" s="120" t="s">
        <v>65</v>
      </c>
      <c r="AQ319" s="17" t="s">
        <v>101</v>
      </c>
      <c r="AW319" s="121">
        <f>IF(N319="základní",J319,0)</f>
        <v>0</v>
      </c>
      <c r="AX319" s="121">
        <f>IF(N319="snížená",J319,0)</f>
        <v>0</v>
      </c>
      <c r="AY319" s="121">
        <f>IF(N319="zákl. přenesená",J319,0)</f>
        <v>0</v>
      </c>
      <c r="AZ319" s="121">
        <f>IF(N319="sníž. přenesená",J319,0)</f>
        <v>0</v>
      </c>
      <c r="BA319" s="121">
        <f>IF(N319="nulová",J319,0)</f>
        <v>0</v>
      </c>
      <c r="BB319" s="17" t="s">
        <v>63</v>
      </c>
      <c r="BC319" s="121">
        <f>ROUND(I319*H319,2)</f>
        <v>0</v>
      </c>
      <c r="BD319" s="17" t="s">
        <v>108</v>
      </c>
      <c r="BE319" s="120" t="s">
        <v>537</v>
      </c>
    </row>
    <row r="320" spans="2:57" s="1" customFormat="1" ht="21.75" customHeight="1" x14ac:dyDescent="0.2">
      <c r="B320" s="109"/>
      <c r="C320" s="143" t="s">
        <v>538</v>
      </c>
      <c r="D320" s="143" t="s">
        <v>252</v>
      </c>
      <c r="E320" s="144" t="s">
        <v>539</v>
      </c>
      <c r="F320" s="145" t="s">
        <v>540</v>
      </c>
      <c r="G320" s="146" t="s">
        <v>314</v>
      </c>
      <c r="H320" s="147">
        <v>2</v>
      </c>
      <c r="I320" s="148">
        <v>0</v>
      </c>
      <c r="J320" s="148">
        <f>ROUND(I320*H320,2)</f>
        <v>0</v>
      </c>
      <c r="K320" s="145" t="s">
        <v>107</v>
      </c>
      <c r="L320" s="149"/>
      <c r="M320" s="150" t="s">
        <v>1</v>
      </c>
      <c r="N320" s="151" t="s">
        <v>39</v>
      </c>
      <c r="O320" s="118">
        <v>0</v>
      </c>
      <c r="P320" s="118">
        <f>O320*H320</f>
        <v>0</v>
      </c>
      <c r="Q320" s="118">
        <v>4.0000000000000001E-3</v>
      </c>
      <c r="R320" s="118">
        <f>Q320*H320</f>
        <v>8.0000000000000002E-3</v>
      </c>
      <c r="S320" s="118">
        <v>0</v>
      </c>
      <c r="T320" s="119">
        <f>S320*H320</f>
        <v>0</v>
      </c>
      <c r="W320"/>
      <c r="X320"/>
      <c r="Y320"/>
      <c r="AJ320" s="120" t="s">
        <v>171</v>
      </c>
      <c r="AL320" s="120" t="s">
        <v>252</v>
      </c>
      <c r="AM320" s="120" t="s">
        <v>65</v>
      </c>
      <c r="AQ320" s="17" t="s">
        <v>101</v>
      </c>
      <c r="AW320" s="121">
        <f>IF(N320="základní",J320,0)</f>
        <v>0</v>
      </c>
      <c r="AX320" s="121">
        <f>IF(N320="snížená",J320,0)</f>
        <v>0</v>
      </c>
      <c r="AY320" s="121">
        <f>IF(N320="zákl. přenesená",J320,0)</f>
        <v>0</v>
      </c>
      <c r="AZ320" s="121">
        <f>IF(N320="sníž. přenesená",J320,0)</f>
        <v>0</v>
      </c>
      <c r="BA320" s="121">
        <f>IF(N320="nulová",J320,0)</f>
        <v>0</v>
      </c>
      <c r="BB320" s="17" t="s">
        <v>63</v>
      </c>
      <c r="BC320" s="121">
        <f>ROUND(I320*H320,2)</f>
        <v>0</v>
      </c>
      <c r="BD320" s="17" t="s">
        <v>108</v>
      </c>
      <c r="BE320" s="120" t="s">
        <v>541</v>
      </c>
    </row>
    <row r="321" spans="2:57" s="1" customFormat="1" ht="49.15" customHeight="1" x14ac:dyDescent="0.2">
      <c r="B321" s="109"/>
      <c r="C321" s="110" t="s">
        <v>542</v>
      </c>
      <c r="D321" s="110" t="s">
        <v>103</v>
      </c>
      <c r="E321" s="111" t="s">
        <v>543</v>
      </c>
      <c r="F321" s="112" t="s">
        <v>544</v>
      </c>
      <c r="G321" s="113" t="s">
        <v>314</v>
      </c>
      <c r="H321" s="114">
        <v>3</v>
      </c>
      <c r="I321" s="115">
        <v>0</v>
      </c>
      <c r="J321" s="115">
        <f>ROUND(I321*H321,2)</f>
        <v>0</v>
      </c>
      <c r="K321" s="112" t="s">
        <v>107</v>
      </c>
      <c r="L321" s="28"/>
      <c r="M321" s="116" t="s">
        <v>1</v>
      </c>
      <c r="N321" s="117" t="s">
        <v>39</v>
      </c>
      <c r="O321" s="118">
        <v>2.1280000000000001</v>
      </c>
      <c r="P321" s="118">
        <f>O321*H321</f>
        <v>6.3840000000000003</v>
      </c>
      <c r="Q321" s="118">
        <v>2.81E-3</v>
      </c>
      <c r="R321" s="118">
        <f>Q321*H321</f>
        <v>8.43E-3</v>
      </c>
      <c r="S321" s="118">
        <v>0</v>
      </c>
      <c r="T321" s="119">
        <f>S321*H321</f>
        <v>0</v>
      </c>
      <c r="W321"/>
      <c r="X321"/>
      <c r="Y321"/>
      <c r="AJ321" s="120" t="s">
        <v>108</v>
      </c>
      <c r="AL321" s="120" t="s">
        <v>103</v>
      </c>
      <c r="AM321" s="120" t="s">
        <v>65</v>
      </c>
      <c r="AQ321" s="17" t="s">
        <v>101</v>
      </c>
      <c r="AW321" s="121">
        <f>IF(N321="základní",J321,0)</f>
        <v>0</v>
      </c>
      <c r="AX321" s="121">
        <f>IF(N321="snížená",J321,0)</f>
        <v>0</v>
      </c>
      <c r="AY321" s="121">
        <f>IF(N321="zákl. přenesená",J321,0)</f>
        <v>0</v>
      </c>
      <c r="AZ321" s="121">
        <f>IF(N321="sníž. přenesená",J321,0)</f>
        <v>0</v>
      </c>
      <c r="BA321" s="121">
        <f>IF(N321="nulová",J321,0)</f>
        <v>0</v>
      </c>
      <c r="BB321" s="17" t="s">
        <v>63</v>
      </c>
      <c r="BC321" s="121">
        <f>ROUND(I321*H321,2)</f>
        <v>0</v>
      </c>
      <c r="BD321" s="17" t="s">
        <v>108</v>
      </c>
      <c r="BE321" s="120" t="s">
        <v>545</v>
      </c>
    </row>
    <row r="322" spans="2:57" s="1" customFormat="1" x14ac:dyDescent="0.2">
      <c r="B322" s="28"/>
      <c r="D322" s="122" t="s">
        <v>110</v>
      </c>
      <c r="F322" s="412" t="s">
        <v>546</v>
      </c>
      <c r="L322" s="28"/>
      <c r="M322" s="124"/>
      <c r="T322" s="48"/>
      <c r="W322"/>
      <c r="X322"/>
      <c r="Y322"/>
      <c r="AL322" s="17" t="s">
        <v>110</v>
      </c>
      <c r="AM322" s="17" t="s">
        <v>65</v>
      </c>
    </row>
    <row r="323" spans="2:57" s="1" customFormat="1" ht="24.2" customHeight="1" x14ac:dyDescent="0.2">
      <c r="B323" s="109"/>
      <c r="C323" s="143" t="s">
        <v>547</v>
      </c>
      <c r="D323" s="143" t="s">
        <v>252</v>
      </c>
      <c r="E323" s="144" t="s">
        <v>548</v>
      </c>
      <c r="F323" s="145" t="s">
        <v>549</v>
      </c>
      <c r="G323" s="146" t="s">
        <v>314</v>
      </c>
      <c r="H323" s="147">
        <v>2</v>
      </c>
      <c r="I323" s="148">
        <v>0</v>
      </c>
      <c r="J323" s="148">
        <f>ROUND(I323*H323,2)</f>
        <v>0</v>
      </c>
      <c r="K323" s="145" t="s">
        <v>107</v>
      </c>
      <c r="L323" s="149"/>
      <c r="M323" s="150" t="s">
        <v>1</v>
      </c>
      <c r="N323" s="151" t="s">
        <v>39</v>
      </c>
      <c r="O323" s="118">
        <v>0</v>
      </c>
      <c r="P323" s="118">
        <f>O323*H323</f>
        <v>0</v>
      </c>
      <c r="Q323" s="118">
        <v>4.5999999999999999E-2</v>
      </c>
      <c r="R323" s="118">
        <f>Q323*H323</f>
        <v>9.1999999999999998E-2</v>
      </c>
      <c r="S323" s="118">
        <v>0</v>
      </c>
      <c r="T323" s="119">
        <f>S323*H323</f>
        <v>0</v>
      </c>
      <c r="W323"/>
      <c r="X323"/>
      <c r="Y323"/>
      <c r="AJ323" s="120" t="s">
        <v>171</v>
      </c>
      <c r="AL323" s="120" t="s">
        <v>252</v>
      </c>
      <c r="AM323" s="120" t="s">
        <v>65</v>
      </c>
      <c r="AQ323" s="17" t="s">
        <v>101</v>
      </c>
      <c r="AW323" s="121">
        <f>IF(N323="základní",J323,0)</f>
        <v>0</v>
      </c>
      <c r="AX323" s="121">
        <f>IF(N323="snížená",J323,0)</f>
        <v>0</v>
      </c>
      <c r="AY323" s="121">
        <f>IF(N323="zákl. přenesená",J323,0)</f>
        <v>0</v>
      </c>
      <c r="AZ323" s="121">
        <f>IF(N323="sníž. přenesená",J323,0)</f>
        <v>0</v>
      </c>
      <c r="BA323" s="121">
        <f>IF(N323="nulová",J323,0)</f>
        <v>0</v>
      </c>
      <c r="BB323" s="17" t="s">
        <v>63</v>
      </c>
      <c r="BC323" s="121">
        <f>ROUND(I323*H323,2)</f>
        <v>0</v>
      </c>
      <c r="BD323" s="17" t="s">
        <v>108</v>
      </c>
      <c r="BE323" s="120" t="s">
        <v>550</v>
      </c>
    </row>
    <row r="324" spans="2:57" s="1" customFormat="1" ht="24.2" customHeight="1" x14ac:dyDescent="0.2">
      <c r="B324" s="109"/>
      <c r="C324" s="143" t="s">
        <v>551</v>
      </c>
      <c r="D324" s="143" t="s">
        <v>252</v>
      </c>
      <c r="E324" s="144" t="s">
        <v>552</v>
      </c>
      <c r="F324" s="145" t="s">
        <v>553</v>
      </c>
      <c r="G324" s="146" t="s">
        <v>314</v>
      </c>
      <c r="H324" s="147">
        <v>1</v>
      </c>
      <c r="I324" s="148">
        <v>0</v>
      </c>
      <c r="J324" s="148">
        <f>ROUND(I324*H324,2)</f>
        <v>0</v>
      </c>
      <c r="K324" s="145" t="s">
        <v>1</v>
      </c>
      <c r="L324" s="149"/>
      <c r="M324" s="150" t="s">
        <v>1</v>
      </c>
      <c r="N324" s="151" t="s">
        <v>39</v>
      </c>
      <c r="O324" s="118">
        <v>0</v>
      </c>
      <c r="P324" s="118">
        <f>O324*H324</f>
        <v>0</v>
      </c>
      <c r="Q324" s="118">
        <v>4.5999999999999999E-2</v>
      </c>
      <c r="R324" s="118">
        <f>Q324*H324</f>
        <v>4.5999999999999999E-2</v>
      </c>
      <c r="S324" s="118">
        <v>0</v>
      </c>
      <c r="T324" s="119">
        <f>S324*H324</f>
        <v>0</v>
      </c>
      <c r="W324"/>
      <c r="X324"/>
      <c r="Y324"/>
      <c r="AJ324" s="120" t="s">
        <v>171</v>
      </c>
      <c r="AL324" s="120" t="s">
        <v>252</v>
      </c>
      <c r="AM324" s="120" t="s">
        <v>65</v>
      </c>
      <c r="AQ324" s="17" t="s">
        <v>101</v>
      </c>
      <c r="AW324" s="121">
        <f>IF(N324="základní",J324,0)</f>
        <v>0</v>
      </c>
      <c r="AX324" s="121">
        <f>IF(N324="snížená",J324,0)</f>
        <v>0</v>
      </c>
      <c r="AY324" s="121">
        <f>IF(N324="zákl. přenesená",J324,0)</f>
        <v>0</v>
      </c>
      <c r="AZ324" s="121">
        <f>IF(N324="sníž. přenesená",J324,0)</f>
        <v>0</v>
      </c>
      <c r="BA324" s="121">
        <f>IF(N324="nulová",J324,0)</f>
        <v>0</v>
      </c>
      <c r="BB324" s="17" t="s">
        <v>63</v>
      </c>
      <c r="BC324" s="121">
        <f>ROUND(I324*H324,2)</f>
        <v>0</v>
      </c>
      <c r="BD324" s="17" t="s">
        <v>108</v>
      </c>
      <c r="BE324" s="120" t="s">
        <v>554</v>
      </c>
    </row>
    <row r="325" spans="2:57" s="1" customFormat="1" ht="21.75" customHeight="1" x14ac:dyDescent="0.2">
      <c r="B325" s="109"/>
      <c r="C325" s="143" t="s">
        <v>555</v>
      </c>
      <c r="D325" s="143" t="s">
        <v>252</v>
      </c>
      <c r="E325" s="144" t="s">
        <v>539</v>
      </c>
      <c r="F325" s="145" t="s">
        <v>540</v>
      </c>
      <c r="G325" s="146" t="s">
        <v>314</v>
      </c>
      <c r="H325" s="147">
        <v>3</v>
      </c>
      <c r="I325" s="148">
        <v>0</v>
      </c>
      <c r="J325" s="148">
        <f>ROUND(I325*H325,2)</f>
        <v>0</v>
      </c>
      <c r="K325" s="145" t="s">
        <v>107</v>
      </c>
      <c r="L325" s="149"/>
      <c r="M325" s="150" t="s">
        <v>1</v>
      </c>
      <c r="N325" s="151" t="s">
        <v>39</v>
      </c>
      <c r="O325" s="118">
        <v>0</v>
      </c>
      <c r="P325" s="118">
        <f>O325*H325</f>
        <v>0</v>
      </c>
      <c r="Q325" s="118">
        <v>4.0000000000000001E-3</v>
      </c>
      <c r="R325" s="118">
        <f>Q325*H325</f>
        <v>1.2E-2</v>
      </c>
      <c r="S325" s="118">
        <v>0</v>
      </c>
      <c r="T325" s="119">
        <f>S325*H325</f>
        <v>0</v>
      </c>
      <c r="W325"/>
      <c r="X325"/>
      <c r="Y325"/>
      <c r="AJ325" s="120" t="s">
        <v>171</v>
      </c>
      <c r="AL325" s="120" t="s">
        <v>252</v>
      </c>
      <c r="AM325" s="120" t="s">
        <v>65</v>
      </c>
      <c r="AQ325" s="17" t="s">
        <v>101</v>
      </c>
      <c r="AW325" s="121">
        <f>IF(N325="základní",J325,0)</f>
        <v>0</v>
      </c>
      <c r="AX325" s="121">
        <f>IF(N325="snížená",J325,0)</f>
        <v>0</v>
      </c>
      <c r="AY325" s="121">
        <f>IF(N325="zákl. přenesená",J325,0)</f>
        <v>0</v>
      </c>
      <c r="AZ325" s="121">
        <f>IF(N325="sníž. přenesená",J325,0)</f>
        <v>0</v>
      </c>
      <c r="BA325" s="121">
        <f>IF(N325="nulová",J325,0)</f>
        <v>0</v>
      </c>
      <c r="BB325" s="17" t="s">
        <v>63</v>
      </c>
      <c r="BC325" s="121">
        <f>ROUND(I325*H325,2)</f>
        <v>0</v>
      </c>
      <c r="BD325" s="17" t="s">
        <v>108</v>
      </c>
      <c r="BE325" s="120" t="s">
        <v>556</v>
      </c>
    </row>
    <row r="326" spans="2:57" s="1" customFormat="1" ht="16.5" customHeight="1" x14ac:dyDescent="0.2">
      <c r="B326" s="109"/>
      <c r="C326" s="110" t="s">
        <v>557</v>
      </c>
      <c r="D326" s="110" t="s">
        <v>103</v>
      </c>
      <c r="E326" s="111" t="s">
        <v>558</v>
      </c>
      <c r="F326" s="112" t="s">
        <v>559</v>
      </c>
      <c r="G326" s="113" t="s">
        <v>106</v>
      </c>
      <c r="H326" s="114">
        <v>12.3</v>
      </c>
      <c r="I326" s="115">
        <v>0</v>
      </c>
      <c r="J326" s="115">
        <f>ROUND(I326*H326,2)</f>
        <v>0</v>
      </c>
      <c r="K326" s="112" t="s">
        <v>107</v>
      </c>
      <c r="L326" s="28"/>
      <c r="M326" s="116" t="s">
        <v>1</v>
      </c>
      <c r="N326" s="117" t="s">
        <v>39</v>
      </c>
      <c r="O326" s="118">
        <v>4.3999999999999997E-2</v>
      </c>
      <c r="P326" s="118">
        <f>O326*H326</f>
        <v>0.54120000000000001</v>
      </c>
      <c r="Q326" s="118">
        <v>0</v>
      </c>
      <c r="R326" s="118">
        <f>Q326*H326</f>
        <v>0</v>
      </c>
      <c r="S326" s="118">
        <v>0</v>
      </c>
      <c r="T326" s="119">
        <f>S326*H326</f>
        <v>0</v>
      </c>
      <c r="W326"/>
      <c r="X326"/>
      <c r="Y326"/>
      <c r="AJ326" s="120" t="s">
        <v>108</v>
      </c>
      <c r="AL326" s="120" t="s">
        <v>103</v>
      </c>
      <c r="AM326" s="120" t="s">
        <v>65</v>
      </c>
      <c r="AQ326" s="17" t="s">
        <v>101</v>
      </c>
      <c r="AW326" s="121">
        <f>IF(N326="základní",J326,0)</f>
        <v>0</v>
      </c>
      <c r="AX326" s="121">
        <f>IF(N326="snížená",J326,0)</f>
        <v>0</v>
      </c>
      <c r="AY326" s="121">
        <f>IF(N326="zákl. přenesená",J326,0)</f>
        <v>0</v>
      </c>
      <c r="AZ326" s="121">
        <f>IF(N326="sníž. přenesená",J326,0)</f>
        <v>0</v>
      </c>
      <c r="BA326" s="121">
        <f>IF(N326="nulová",J326,0)</f>
        <v>0</v>
      </c>
      <c r="BB326" s="17" t="s">
        <v>63</v>
      </c>
      <c r="BC326" s="121">
        <f>ROUND(I326*H326,2)</f>
        <v>0</v>
      </c>
      <c r="BD326" s="17" t="s">
        <v>108</v>
      </c>
      <c r="BE326" s="120" t="s">
        <v>560</v>
      </c>
    </row>
    <row r="327" spans="2:57" s="1" customFormat="1" x14ac:dyDescent="0.2">
      <c r="B327" s="28"/>
      <c r="D327" s="122" t="s">
        <v>110</v>
      </c>
      <c r="F327" s="412" t="s">
        <v>561</v>
      </c>
      <c r="L327" s="28"/>
      <c r="M327" s="124"/>
      <c r="T327" s="48"/>
      <c r="W327"/>
      <c r="X327"/>
      <c r="Y327"/>
      <c r="AL327" s="17" t="s">
        <v>110</v>
      </c>
      <c r="AM327" s="17" t="s">
        <v>65</v>
      </c>
    </row>
    <row r="328" spans="2:57" s="1" customFormat="1" ht="21.75" customHeight="1" x14ac:dyDescent="0.2">
      <c r="B328" s="109"/>
      <c r="C328" s="110" t="s">
        <v>562</v>
      </c>
      <c r="D328" s="110" t="s">
        <v>103</v>
      </c>
      <c r="E328" s="111" t="s">
        <v>563</v>
      </c>
      <c r="F328" s="112" t="s">
        <v>564</v>
      </c>
      <c r="G328" s="113" t="s">
        <v>106</v>
      </c>
      <c r="H328" s="114">
        <f>189.9*0.18</f>
        <v>34.182000000000002</v>
      </c>
      <c r="I328" s="115">
        <v>0</v>
      </c>
      <c r="J328" s="115">
        <f>ROUND(I328*H328,2)</f>
        <v>0</v>
      </c>
      <c r="K328" s="112" t="s">
        <v>107</v>
      </c>
      <c r="L328" s="28"/>
      <c r="M328" s="116" t="s">
        <v>1</v>
      </c>
      <c r="N328" s="117" t="s">
        <v>39</v>
      </c>
      <c r="O328" s="118">
        <v>4.3999999999999997E-2</v>
      </c>
      <c r="P328" s="118">
        <f>O328*H328</f>
        <v>1.504008</v>
      </c>
      <c r="Q328" s="118">
        <v>0</v>
      </c>
      <c r="R328" s="118">
        <f>Q328*H328</f>
        <v>0</v>
      </c>
      <c r="S328" s="118">
        <v>0</v>
      </c>
      <c r="T328" s="119">
        <f>S328*H328</f>
        <v>0</v>
      </c>
      <c r="W328"/>
      <c r="X328"/>
      <c r="Y328"/>
      <c r="AJ328" s="120" t="s">
        <v>108</v>
      </c>
      <c r="AL328" s="120" t="s">
        <v>103</v>
      </c>
      <c r="AM328" s="120" t="s">
        <v>65</v>
      </c>
      <c r="AQ328" s="17" t="s">
        <v>101</v>
      </c>
      <c r="AW328" s="121">
        <f>IF(N328="základní",J328,0)</f>
        <v>0</v>
      </c>
      <c r="AX328" s="121">
        <f>IF(N328="snížená",J328,0)</f>
        <v>0</v>
      </c>
      <c r="AY328" s="121">
        <f>IF(N328="zákl. přenesená",J328,0)</f>
        <v>0</v>
      </c>
      <c r="AZ328" s="121">
        <f>IF(N328="sníž. přenesená",J328,0)</f>
        <v>0</v>
      </c>
      <c r="BA328" s="121">
        <f>IF(N328="nulová",J328,0)</f>
        <v>0</v>
      </c>
      <c r="BB328" s="17" t="s">
        <v>63</v>
      </c>
      <c r="BC328" s="121">
        <f>ROUND(I328*H328,2)</f>
        <v>0</v>
      </c>
      <c r="BD328" s="17" t="s">
        <v>108</v>
      </c>
      <c r="BE328" s="120" t="s">
        <v>565</v>
      </c>
    </row>
    <row r="329" spans="2:57" s="1" customFormat="1" x14ac:dyDescent="0.2">
      <c r="B329" s="28"/>
      <c r="D329" s="122" t="s">
        <v>110</v>
      </c>
      <c r="F329" s="412" t="s">
        <v>566</v>
      </c>
      <c r="L329" s="28"/>
      <c r="M329" s="124"/>
      <c r="T329" s="48"/>
      <c r="W329"/>
      <c r="X329"/>
      <c r="Y329"/>
      <c r="AL329" s="17" t="s">
        <v>110</v>
      </c>
      <c r="AM329" s="17" t="s">
        <v>65</v>
      </c>
    </row>
    <row r="330" spans="2:57" s="1" customFormat="1" ht="21.75" customHeight="1" x14ac:dyDescent="0.2">
      <c r="B330" s="109"/>
      <c r="C330" s="110" t="s">
        <v>567</v>
      </c>
      <c r="D330" s="110" t="s">
        <v>103</v>
      </c>
      <c r="E330" s="111" t="s">
        <v>568</v>
      </c>
      <c r="F330" s="112" t="s">
        <v>569</v>
      </c>
      <c r="G330" s="113" t="s">
        <v>106</v>
      </c>
      <c r="H330" s="114">
        <f>392.1*0.18</f>
        <v>70.578000000000003</v>
      </c>
      <c r="I330" s="115">
        <v>0</v>
      </c>
      <c r="J330" s="115">
        <f>ROUND(I330*H330,2)</f>
        <v>0</v>
      </c>
      <c r="K330" s="112" t="s">
        <v>107</v>
      </c>
      <c r="L330" s="28"/>
      <c r="M330" s="116" t="s">
        <v>1</v>
      </c>
      <c r="N330" s="117" t="s">
        <v>39</v>
      </c>
      <c r="O330" s="118">
        <v>5.5E-2</v>
      </c>
      <c r="P330" s="118">
        <f>O330*H330</f>
        <v>3.8817900000000001</v>
      </c>
      <c r="Q330" s="118">
        <v>0</v>
      </c>
      <c r="R330" s="118">
        <f>Q330*H330</f>
        <v>0</v>
      </c>
      <c r="S330" s="118">
        <v>0</v>
      </c>
      <c r="T330" s="119">
        <f>S330*H330</f>
        <v>0</v>
      </c>
      <c r="W330"/>
      <c r="X330"/>
      <c r="Y330"/>
      <c r="AJ330" s="120" t="s">
        <v>108</v>
      </c>
      <c r="AL330" s="120" t="s">
        <v>103</v>
      </c>
      <c r="AM330" s="120" t="s">
        <v>65</v>
      </c>
      <c r="AQ330" s="17" t="s">
        <v>101</v>
      </c>
      <c r="AW330" s="121">
        <f>IF(N330="základní",J330,0)</f>
        <v>0</v>
      </c>
      <c r="AX330" s="121">
        <f>IF(N330="snížená",J330,0)</f>
        <v>0</v>
      </c>
      <c r="AY330" s="121">
        <f>IF(N330="zákl. přenesená",J330,0)</f>
        <v>0</v>
      </c>
      <c r="AZ330" s="121">
        <f>IF(N330="sníž. přenesená",J330,0)</f>
        <v>0</v>
      </c>
      <c r="BA330" s="121">
        <f>IF(N330="nulová",J330,0)</f>
        <v>0</v>
      </c>
      <c r="BB330" s="17" t="s">
        <v>63</v>
      </c>
      <c r="BC330" s="121">
        <f>ROUND(I330*H330,2)</f>
        <v>0</v>
      </c>
      <c r="BD330" s="17" t="s">
        <v>108</v>
      </c>
      <c r="BE330" s="120" t="s">
        <v>570</v>
      </c>
    </row>
    <row r="331" spans="2:57" s="1" customFormat="1" x14ac:dyDescent="0.2">
      <c r="B331" s="28"/>
      <c r="D331" s="122" t="s">
        <v>110</v>
      </c>
      <c r="F331" s="412" t="s">
        <v>571</v>
      </c>
      <c r="L331" s="28"/>
      <c r="M331" s="124"/>
      <c r="T331" s="48"/>
      <c r="W331"/>
      <c r="X331"/>
      <c r="Y331"/>
      <c r="AL331" s="17" t="s">
        <v>110</v>
      </c>
      <c r="AM331" s="17" t="s">
        <v>65</v>
      </c>
    </row>
    <row r="332" spans="2:57" s="1" customFormat="1" ht="24.2" customHeight="1" x14ac:dyDescent="0.2">
      <c r="B332" s="109"/>
      <c r="C332" s="110" t="s">
        <v>572</v>
      </c>
      <c r="D332" s="110" t="s">
        <v>103</v>
      </c>
      <c r="E332" s="111" t="s">
        <v>573</v>
      </c>
      <c r="F332" s="112" t="s">
        <v>574</v>
      </c>
      <c r="G332" s="113" t="s">
        <v>106</v>
      </c>
      <c r="H332" s="114">
        <f>202.2*0.18</f>
        <v>36.395999999999994</v>
      </c>
      <c r="I332" s="115">
        <v>0</v>
      </c>
      <c r="J332" s="115">
        <f>ROUND(I332*H332,2)</f>
        <v>0</v>
      </c>
      <c r="K332" s="112" t="s">
        <v>107</v>
      </c>
      <c r="L332" s="28"/>
      <c r="M332" s="116" t="s">
        <v>1</v>
      </c>
      <c r="N332" s="117" t="s">
        <v>39</v>
      </c>
      <c r="O332" s="118">
        <v>7.9000000000000001E-2</v>
      </c>
      <c r="P332" s="118">
        <f>O332*H332</f>
        <v>2.8752839999999997</v>
      </c>
      <c r="Q332" s="118">
        <v>0</v>
      </c>
      <c r="R332" s="118">
        <f>Q332*H332</f>
        <v>0</v>
      </c>
      <c r="S332" s="118">
        <v>0</v>
      </c>
      <c r="T332" s="119">
        <f>S332*H332</f>
        <v>0</v>
      </c>
      <c r="W332"/>
      <c r="X332"/>
      <c r="Y332"/>
      <c r="AJ332" s="120" t="s">
        <v>108</v>
      </c>
      <c r="AL332" s="120" t="s">
        <v>103</v>
      </c>
      <c r="AM332" s="120" t="s">
        <v>65</v>
      </c>
      <c r="AQ332" s="17" t="s">
        <v>101</v>
      </c>
      <c r="AW332" s="121">
        <f>IF(N332="základní",J332,0)</f>
        <v>0</v>
      </c>
      <c r="AX332" s="121">
        <f>IF(N332="snížená",J332,0)</f>
        <v>0</v>
      </c>
      <c r="AY332" s="121">
        <f>IF(N332="zákl. přenesená",J332,0)</f>
        <v>0</v>
      </c>
      <c r="AZ332" s="121">
        <f>IF(N332="sníž. přenesená",J332,0)</f>
        <v>0</v>
      </c>
      <c r="BA332" s="121">
        <f>IF(N332="nulová",J332,0)</f>
        <v>0</v>
      </c>
      <c r="BB332" s="17" t="s">
        <v>63</v>
      </c>
      <c r="BC332" s="121">
        <f>ROUND(I332*H332,2)</f>
        <v>0</v>
      </c>
      <c r="BD332" s="17" t="s">
        <v>108</v>
      </c>
      <c r="BE332" s="120" t="s">
        <v>575</v>
      </c>
    </row>
    <row r="333" spans="2:57" s="1" customFormat="1" x14ac:dyDescent="0.2">
      <c r="B333" s="28"/>
      <c r="D333" s="122" t="s">
        <v>110</v>
      </c>
      <c r="F333" s="412" t="s">
        <v>576</v>
      </c>
      <c r="L333" s="28"/>
      <c r="M333" s="124"/>
      <c r="T333" s="48"/>
      <c r="W333"/>
      <c r="X333"/>
      <c r="Y333"/>
      <c r="AL333" s="17" t="s">
        <v>110</v>
      </c>
      <c r="AM333" s="17" t="s">
        <v>65</v>
      </c>
    </row>
    <row r="334" spans="2:57" s="13" customFormat="1" x14ac:dyDescent="0.2">
      <c r="B334" s="131"/>
      <c r="D334" s="126" t="s">
        <v>112</v>
      </c>
      <c r="E334" s="132" t="s">
        <v>1</v>
      </c>
      <c r="F334" s="133" t="s">
        <v>577</v>
      </c>
      <c r="H334" s="134">
        <v>189.9</v>
      </c>
      <c r="L334" s="131"/>
      <c r="M334" s="135"/>
      <c r="T334" s="136"/>
      <c r="W334"/>
      <c r="X334"/>
      <c r="Y334"/>
      <c r="AL334" s="132" t="s">
        <v>112</v>
      </c>
      <c r="AM334" s="132" t="s">
        <v>65</v>
      </c>
      <c r="AN334" s="13" t="s">
        <v>65</v>
      </c>
      <c r="AO334" s="13" t="s">
        <v>30</v>
      </c>
      <c r="AP334" s="13" t="s">
        <v>55</v>
      </c>
      <c r="AQ334" s="132" t="s">
        <v>101</v>
      </c>
    </row>
    <row r="335" spans="2:57" s="13" customFormat="1" x14ac:dyDescent="0.2">
      <c r="B335" s="131"/>
      <c r="D335" s="126" t="s">
        <v>112</v>
      </c>
      <c r="E335" s="132" t="s">
        <v>1</v>
      </c>
      <c r="F335" s="133" t="s">
        <v>578</v>
      </c>
      <c r="H335" s="134">
        <v>12.3</v>
      </c>
      <c r="L335" s="131"/>
      <c r="M335" s="135"/>
      <c r="T335" s="136"/>
      <c r="W335"/>
      <c r="X335"/>
      <c r="Y335"/>
      <c r="AL335" s="132" t="s">
        <v>112</v>
      </c>
      <c r="AM335" s="132" t="s">
        <v>65</v>
      </c>
      <c r="AN335" s="13" t="s">
        <v>65</v>
      </c>
      <c r="AO335" s="13" t="s">
        <v>30</v>
      </c>
      <c r="AP335" s="13" t="s">
        <v>55</v>
      </c>
      <c r="AQ335" s="132" t="s">
        <v>101</v>
      </c>
    </row>
    <row r="336" spans="2:57" s="14" customFormat="1" x14ac:dyDescent="0.2">
      <c r="B336" s="137"/>
      <c r="D336" s="126" t="s">
        <v>112</v>
      </c>
      <c r="E336" s="138" t="s">
        <v>1</v>
      </c>
      <c r="F336" s="139" t="s">
        <v>127</v>
      </c>
      <c r="H336" s="140">
        <v>202.2</v>
      </c>
      <c r="L336" s="137"/>
      <c r="M336" s="141"/>
      <c r="T336" s="142"/>
      <c r="W336"/>
      <c r="X336"/>
      <c r="Y336"/>
      <c r="AL336" s="138" t="s">
        <v>112</v>
      </c>
      <c r="AM336" s="138" t="s">
        <v>65</v>
      </c>
      <c r="AN336" s="14" t="s">
        <v>108</v>
      </c>
      <c r="AO336" s="14" t="s">
        <v>30</v>
      </c>
      <c r="AP336" s="14" t="s">
        <v>63</v>
      </c>
      <c r="AQ336" s="138" t="s">
        <v>101</v>
      </c>
    </row>
    <row r="337" spans="2:57" s="14" customFormat="1" x14ac:dyDescent="0.2">
      <c r="B337" s="137"/>
      <c r="D337" s="126"/>
      <c r="E337" s="138"/>
      <c r="F337" s="139" t="s">
        <v>1834</v>
      </c>
      <c r="H337" s="140">
        <f>H336*0.18</f>
        <v>36.395999999999994</v>
      </c>
      <c r="L337" s="137"/>
      <c r="M337" s="141"/>
      <c r="T337" s="142"/>
      <c r="W337"/>
      <c r="X337"/>
      <c r="Y337"/>
      <c r="AL337" s="138"/>
      <c r="AM337" s="138"/>
      <c r="AQ337" s="138"/>
    </row>
    <row r="338" spans="2:57" s="1" customFormat="1" ht="24.2" customHeight="1" x14ac:dyDescent="0.2">
      <c r="B338" s="109"/>
      <c r="C338" s="110" t="s">
        <v>579</v>
      </c>
      <c r="D338" s="110" t="s">
        <v>103</v>
      </c>
      <c r="E338" s="111" t="s">
        <v>580</v>
      </c>
      <c r="F338" s="112" t="s">
        <v>581</v>
      </c>
      <c r="G338" s="113" t="s">
        <v>106</v>
      </c>
      <c r="H338" s="114">
        <f>392.1*0.18</f>
        <v>70.578000000000003</v>
      </c>
      <c r="I338" s="115">
        <v>0</v>
      </c>
      <c r="J338" s="115">
        <f>ROUND(I338*H338,2)</f>
        <v>0</v>
      </c>
      <c r="K338" s="112" t="s">
        <v>107</v>
      </c>
      <c r="L338" s="28"/>
      <c r="M338" s="116" t="s">
        <v>1</v>
      </c>
      <c r="N338" s="117" t="s">
        <v>39</v>
      </c>
      <c r="O338" s="118">
        <v>0.124</v>
      </c>
      <c r="P338" s="118">
        <f>O338*H338</f>
        <v>8.751672000000001</v>
      </c>
      <c r="Q338" s="118">
        <v>0</v>
      </c>
      <c r="R338" s="118">
        <f>Q338*H338</f>
        <v>0</v>
      </c>
      <c r="S338" s="118">
        <v>0</v>
      </c>
      <c r="T338" s="119">
        <f>S338*H338</f>
        <v>0</v>
      </c>
      <c r="W338"/>
      <c r="X338"/>
      <c r="Y338"/>
      <c r="AJ338" s="120" t="s">
        <v>108</v>
      </c>
      <c r="AL338" s="120" t="s">
        <v>103</v>
      </c>
      <c r="AM338" s="120" t="s">
        <v>65</v>
      </c>
      <c r="AQ338" s="17" t="s">
        <v>101</v>
      </c>
      <c r="AW338" s="121">
        <f>IF(N338="základní",J338,0)</f>
        <v>0</v>
      </c>
      <c r="AX338" s="121">
        <f>IF(N338="snížená",J338,0)</f>
        <v>0</v>
      </c>
      <c r="AY338" s="121">
        <f>IF(N338="zákl. přenesená",J338,0)</f>
        <v>0</v>
      </c>
      <c r="AZ338" s="121">
        <f>IF(N338="sníž. přenesená",J338,0)</f>
        <v>0</v>
      </c>
      <c r="BA338" s="121">
        <f>IF(N338="nulová",J338,0)</f>
        <v>0</v>
      </c>
      <c r="BB338" s="17" t="s">
        <v>63</v>
      </c>
      <c r="BC338" s="121">
        <f>ROUND(I338*H338,2)</f>
        <v>0</v>
      </c>
      <c r="BD338" s="17" t="s">
        <v>108</v>
      </c>
      <c r="BE338" s="120" t="s">
        <v>582</v>
      </c>
    </row>
    <row r="339" spans="2:57" s="1" customFormat="1" x14ac:dyDescent="0.2">
      <c r="B339" s="28"/>
      <c r="D339" s="122" t="s">
        <v>110</v>
      </c>
      <c r="F339" s="412" t="s">
        <v>583</v>
      </c>
      <c r="L339" s="28"/>
      <c r="M339" s="124"/>
      <c r="T339" s="48"/>
      <c r="W339"/>
      <c r="X339"/>
      <c r="Y339"/>
      <c r="AL339" s="17" t="s">
        <v>110</v>
      </c>
      <c r="AM339" s="17" t="s">
        <v>65</v>
      </c>
    </row>
    <row r="340" spans="2:57" s="1" customFormat="1" ht="16.5" customHeight="1" x14ac:dyDescent="0.2">
      <c r="B340" s="109"/>
      <c r="C340" s="110" t="s">
        <v>584</v>
      </c>
      <c r="D340" s="110" t="s">
        <v>103</v>
      </c>
      <c r="E340" s="111" t="s">
        <v>585</v>
      </c>
      <c r="F340" s="112" t="s">
        <v>586</v>
      </c>
      <c r="G340" s="113" t="s">
        <v>314</v>
      </c>
      <c r="H340" s="114">
        <v>5</v>
      </c>
      <c r="I340" s="115">
        <v>0</v>
      </c>
      <c r="J340" s="115">
        <f>ROUND(I340*H340,2)</f>
        <v>0</v>
      </c>
      <c r="K340" s="112" t="s">
        <v>107</v>
      </c>
      <c r="L340" s="28"/>
      <c r="M340" s="116" t="s">
        <v>1</v>
      </c>
      <c r="N340" s="117" t="s">
        <v>39</v>
      </c>
      <c r="O340" s="118">
        <v>0.86299999999999999</v>
      </c>
      <c r="P340" s="118">
        <f>O340*H340</f>
        <v>4.3149999999999995</v>
      </c>
      <c r="Q340" s="118">
        <v>0.04</v>
      </c>
      <c r="R340" s="118">
        <f>Q340*H340</f>
        <v>0.2</v>
      </c>
      <c r="S340" s="118">
        <v>0</v>
      </c>
      <c r="T340" s="119">
        <f>S340*H340</f>
        <v>0</v>
      </c>
      <c r="W340"/>
      <c r="X340"/>
      <c r="Y340"/>
      <c r="AJ340" s="120" t="s">
        <v>108</v>
      </c>
      <c r="AL340" s="120" t="s">
        <v>103</v>
      </c>
      <c r="AM340" s="120" t="s">
        <v>65</v>
      </c>
      <c r="AQ340" s="17" t="s">
        <v>101</v>
      </c>
      <c r="AW340" s="121">
        <f>IF(N340="základní",J340,0)</f>
        <v>0</v>
      </c>
      <c r="AX340" s="121">
        <f>IF(N340="snížená",J340,0)</f>
        <v>0</v>
      </c>
      <c r="AY340" s="121">
        <f>IF(N340="zákl. přenesená",J340,0)</f>
        <v>0</v>
      </c>
      <c r="AZ340" s="121">
        <f>IF(N340="sníž. přenesená",J340,0)</f>
        <v>0</v>
      </c>
      <c r="BA340" s="121">
        <f>IF(N340="nulová",J340,0)</f>
        <v>0</v>
      </c>
      <c r="BB340" s="17" t="s">
        <v>63</v>
      </c>
      <c r="BC340" s="121">
        <f>ROUND(I340*H340,2)</f>
        <v>0</v>
      </c>
      <c r="BD340" s="17" t="s">
        <v>108</v>
      </c>
      <c r="BE340" s="120" t="s">
        <v>587</v>
      </c>
    </row>
    <row r="341" spans="2:57" s="1" customFormat="1" x14ac:dyDescent="0.2">
      <c r="B341" s="28"/>
      <c r="D341" s="122" t="s">
        <v>110</v>
      </c>
      <c r="F341" s="412" t="s">
        <v>588</v>
      </c>
      <c r="L341" s="28"/>
      <c r="M341" s="124"/>
      <c r="T341" s="48"/>
      <c r="W341"/>
      <c r="X341"/>
      <c r="Y341"/>
      <c r="AL341" s="17" t="s">
        <v>110</v>
      </c>
      <c r="AM341" s="17" t="s">
        <v>65</v>
      </c>
    </row>
    <row r="342" spans="2:57" s="1" customFormat="1" ht="24.2" customHeight="1" x14ac:dyDescent="0.2">
      <c r="B342" s="109"/>
      <c r="C342" s="143" t="s">
        <v>589</v>
      </c>
      <c r="D342" s="143" t="s">
        <v>252</v>
      </c>
      <c r="E342" s="144" t="s">
        <v>590</v>
      </c>
      <c r="F342" s="145" t="s">
        <v>591</v>
      </c>
      <c r="G342" s="146" t="s">
        <v>314</v>
      </c>
      <c r="H342" s="147">
        <v>5</v>
      </c>
      <c r="I342" s="148">
        <v>0</v>
      </c>
      <c r="J342" s="148">
        <f>ROUND(I342*H342,2)</f>
        <v>0</v>
      </c>
      <c r="K342" s="145" t="s">
        <v>107</v>
      </c>
      <c r="L342" s="149"/>
      <c r="M342" s="150" t="s">
        <v>1</v>
      </c>
      <c r="N342" s="151" t="s">
        <v>39</v>
      </c>
      <c r="O342" s="118">
        <v>0</v>
      </c>
      <c r="P342" s="118">
        <f>O342*H342</f>
        <v>0</v>
      </c>
      <c r="Q342" s="118">
        <v>1.3299999999999999E-2</v>
      </c>
      <c r="R342" s="118">
        <f>Q342*H342</f>
        <v>6.6500000000000004E-2</v>
      </c>
      <c r="S342" s="118">
        <v>0</v>
      </c>
      <c r="T342" s="119">
        <f>S342*H342</f>
        <v>0</v>
      </c>
      <c r="W342"/>
      <c r="X342"/>
      <c r="Y342"/>
      <c r="AJ342" s="120" t="s">
        <v>171</v>
      </c>
      <c r="AL342" s="120" t="s">
        <v>252</v>
      </c>
      <c r="AM342" s="120" t="s">
        <v>65</v>
      </c>
      <c r="AQ342" s="17" t="s">
        <v>101</v>
      </c>
      <c r="AW342" s="121">
        <f>IF(N342="základní",J342,0)</f>
        <v>0</v>
      </c>
      <c r="AX342" s="121">
        <f>IF(N342="snížená",J342,0)</f>
        <v>0</v>
      </c>
      <c r="AY342" s="121">
        <f>IF(N342="zákl. přenesená",J342,0)</f>
        <v>0</v>
      </c>
      <c r="AZ342" s="121">
        <f>IF(N342="sníž. přenesená",J342,0)</f>
        <v>0</v>
      </c>
      <c r="BA342" s="121">
        <f>IF(N342="nulová",J342,0)</f>
        <v>0</v>
      </c>
      <c r="BB342" s="17" t="s">
        <v>63</v>
      </c>
      <c r="BC342" s="121">
        <f>ROUND(I342*H342,2)</f>
        <v>0</v>
      </c>
      <c r="BD342" s="17" t="s">
        <v>108</v>
      </c>
      <c r="BE342" s="120" t="s">
        <v>592</v>
      </c>
    </row>
    <row r="343" spans="2:57" s="1" customFormat="1" ht="24.2" customHeight="1" x14ac:dyDescent="0.2">
      <c r="B343" s="109"/>
      <c r="C343" s="143" t="s">
        <v>593</v>
      </c>
      <c r="D343" s="143" t="s">
        <v>252</v>
      </c>
      <c r="E343" s="144" t="s">
        <v>594</v>
      </c>
      <c r="F343" s="145" t="s">
        <v>595</v>
      </c>
      <c r="G343" s="146" t="s">
        <v>314</v>
      </c>
      <c r="H343" s="147">
        <v>5</v>
      </c>
      <c r="I343" s="148">
        <v>0</v>
      </c>
      <c r="J343" s="148">
        <f>ROUND(I343*H343,2)</f>
        <v>0</v>
      </c>
      <c r="K343" s="145" t="s">
        <v>107</v>
      </c>
      <c r="L343" s="149"/>
      <c r="M343" s="150" t="s">
        <v>1</v>
      </c>
      <c r="N343" s="151" t="s">
        <v>39</v>
      </c>
      <c r="O343" s="118">
        <v>0</v>
      </c>
      <c r="P343" s="118">
        <f>O343*H343</f>
        <v>0</v>
      </c>
      <c r="Q343" s="118">
        <v>2.9999999999999997E-4</v>
      </c>
      <c r="R343" s="118">
        <f>Q343*H343</f>
        <v>1.4999999999999998E-3</v>
      </c>
      <c r="S343" s="118">
        <v>0</v>
      </c>
      <c r="T343" s="119">
        <f>S343*H343</f>
        <v>0</v>
      </c>
      <c r="W343"/>
      <c r="X343"/>
      <c r="Y343"/>
      <c r="AJ343" s="120" t="s">
        <v>171</v>
      </c>
      <c r="AL343" s="120" t="s">
        <v>252</v>
      </c>
      <c r="AM343" s="120" t="s">
        <v>65</v>
      </c>
      <c r="AQ343" s="17" t="s">
        <v>101</v>
      </c>
      <c r="AW343" s="121">
        <f>IF(N343="základní",J343,0)</f>
        <v>0</v>
      </c>
      <c r="AX343" s="121">
        <f>IF(N343="snížená",J343,0)</f>
        <v>0</v>
      </c>
      <c r="AY343" s="121">
        <f>IF(N343="zákl. přenesená",J343,0)</f>
        <v>0</v>
      </c>
      <c r="AZ343" s="121">
        <f>IF(N343="sníž. přenesená",J343,0)</f>
        <v>0</v>
      </c>
      <c r="BA343" s="121">
        <f>IF(N343="nulová",J343,0)</f>
        <v>0</v>
      </c>
      <c r="BB343" s="17" t="s">
        <v>63</v>
      </c>
      <c r="BC343" s="121">
        <f>ROUND(I343*H343,2)</f>
        <v>0</v>
      </c>
      <c r="BD343" s="17" t="s">
        <v>108</v>
      </c>
      <c r="BE343" s="120" t="s">
        <v>596</v>
      </c>
    </row>
    <row r="344" spans="2:57" s="1" customFormat="1" ht="16.5" customHeight="1" x14ac:dyDescent="0.2">
      <c r="B344" s="109"/>
      <c r="C344" s="110" t="s">
        <v>597</v>
      </c>
      <c r="D344" s="110" t="s">
        <v>103</v>
      </c>
      <c r="E344" s="111" t="s">
        <v>598</v>
      </c>
      <c r="F344" s="112" t="s">
        <v>599</v>
      </c>
      <c r="G344" s="113" t="s">
        <v>314</v>
      </c>
      <c r="H344" s="114">
        <v>1</v>
      </c>
      <c r="I344" s="115">
        <v>0</v>
      </c>
      <c r="J344" s="115">
        <f>ROUND(I344*H344,2)</f>
        <v>0</v>
      </c>
      <c r="K344" s="112" t="s">
        <v>107</v>
      </c>
      <c r="L344" s="28"/>
      <c r="M344" s="116" t="s">
        <v>1</v>
      </c>
      <c r="N344" s="117" t="s">
        <v>39</v>
      </c>
      <c r="O344" s="118">
        <v>1.1819999999999999</v>
      </c>
      <c r="P344" s="118">
        <f>O344*H344</f>
        <v>1.1819999999999999</v>
      </c>
      <c r="Q344" s="118">
        <v>0.05</v>
      </c>
      <c r="R344" s="118">
        <f>Q344*H344</f>
        <v>0.05</v>
      </c>
      <c r="S344" s="118">
        <v>0</v>
      </c>
      <c r="T344" s="119">
        <f>S344*H344</f>
        <v>0</v>
      </c>
      <c r="W344"/>
      <c r="X344"/>
      <c r="Y344"/>
      <c r="AJ344" s="120" t="s">
        <v>108</v>
      </c>
      <c r="AL344" s="120" t="s">
        <v>103</v>
      </c>
      <c r="AM344" s="120" t="s">
        <v>65</v>
      </c>
      <c r="AQ344" s="17" t="s">
        <v>101</v>
      </c>
      <c r="AW344" s="121">
        <f>IF(N344="základní",J344,0)</f>
        <v>0</v>
      </c>
      <c r="AX344" s="121">
        <f>IF(N344="snížená",J344,0)</f>
        <v>0</v>
      </c>
      <c r="AY344" s="121">
        <f>IF(N344="zákl. přenesená",J344,0)</f>
        <v>0</v>
      </c>
      <c r="AZ344" s="121">
        <f>IF(N344="sníž. přenesená",J344,0)</f>
        <v>0</v>
      </c>
      <c r="BA344" s="121">
        <f>IF(N344="nulová",J344,0)</f>
        <v>0</v>
      </c>
      <c r="BB344" s="17" t="s">
        <v>63</v>
      </c>
      <c r="BC344" s="121">
        <f>ROUND(I344*H344,2)</f>
        <v>0</v>
      </c>
      <c r="BD344" s="17" t="s">
        <v>108</v>
      </c>
      <c r="BE344" s="120" t="s">
        <v>600</v>
      </c>
    </row>
    <row r="345" spans="2:57" s="1" customFormat="1" x14ac:dyDescent="0.2">
      <c r="B345" s="28"/>
      <c r="D345" s="122" t="s">
        <v>110</v>
      </c>
      <c r="F345" s="412" t="s">
        <v>601</v>
      </c>
      <c r="L345" s="28"/>
      <c r="M345" s="124"/>
      <c r="T345" s="48"/>
      <c r="W345"/>
      <c r="X345"/>
      <c r="Y345"/>
      <c r="AL345" s="17" t="s">
        <v>110</v>
      </c>
      <c r="AM345" s="17" t="s">
        <v>65</v>
      </c>
    </row>
    <row r="346" spans="2:57" s="1" customFormat="1" ht="16.5" customHeight="1" x14ac:dyDescent="0.2">
      <c r="B346" s="109"/>
      <c r="C346" s="143" t="s">
        <v>602</v>
      </c>
      <c r="D346" s="143" t="s">
        <v>252</v>
      </c>
      <c r="E346" s="144" t="s">
        <v>603</v>
      </c>
      <c r="F346" s="145" t="s">
        <v>604</v>
      </c>
      <c r="G346" s="146" t="s">
        <v>314</v>
      </c>
      <c r="H346" s="147">
        <v>1</v>
      </c>
      <c r="I346" s="148">
        <v>0</v>
      </c>
      <c r="J346" s="148">
        <f>ROUND(I346*H346,2)</f>
        <v>0</v>
      </c>
      <c r="K346" s="145" t="s">
        <v>107</v>
      </c>
      <c r="L346" s="149"/>
      <c r="M346" s="150" t="s">
        <v>1</v>
      </c>
      <c r="N346" s="151" t="s">
        <v>39</v>
      </c>
      <c r="O346" s="118">
        <v>0</v>
      </c>
      <c r="P346" s="118">
        <f>O346*H346</f>
        <v>0</v>
      </c>
      <c r="Q346" s="118">
        <v>2.9499999999999998E-2</v>
      </c>
      <c r="R346" s="118">
        <f>Q346*H346</f>
        <v>2.9499999999999998E-2</v>
      </c>
      <c r="S346" s="118">
        <v>0</v>
      </c>
      <c r="T346" s="119">
        <f>S346*H346</f>
        <v>0</v>
      </c>
      <c r="W346"/>
      <c r="X346"/>
      <c r="Y346"/>
      <c r="AJ346" s="120" t="s">
        <v>171</v>
      </c>
      <c r="AL346" s="120" t="s">
        <v>252</v>
      </c>
      <c r="AM346" s="120" t="s">
        <v>65</v>
      </c>
      <c r="AQ346" s="17" t="s">
        <v>101</v>
      </c>
      <c r="AW346" s="121">
        <f>IF(N346="základní",J346,0)</f>
        <v>0</v>
      </c>
      <c r="AX346" s="121">
        <f>IF(N346="snížená",J346,0)</f>
        <v>0</v>
      </c>
      <c r="AY346" s="121">
        <f>IF(N346="zákl. přenesená",J346,0)</f>
        <v>0</v>
      </c>
      <c r="AZ346" s="121">
        <f>IF(N346="sníž. přenesená",J346,0)</f>
        <v>0</v>
      </c>
      <c r="BA346" s="121">
        <f>IF(N346="nulová",J346,0)</f>
        <v>0</v>
      </c>
      <c r="BB346" s="17" t="s">
        <v>63</v>
      </c>
      <c r="BC346" s="121">
        <f>ROUND(I346*H346,2)</f>
        <v>0</v>
      </c>
      <c r="BD346" s="17" t="s">
        <v>108</v>
      </c>
      <c r="BE346" s="120" t="s">
        <v>605</v>
      </c>
    </row>
    <row r="347" spans="2:57" s="1" customFormat="1" ht="24.2" customHeight="1" x14ac:dyDescent="0.2">
      <c r="B347" s="109"/>
      <c r="C347" s="143" t="s">
        <v>606</v>
      </c>
      <c r="D347" s="143" t="s">
        <v>252</v>
      </c>
      <c r="E347" s="144" t="s">
        <v>607</v>
      </c>
      <c r="F347" s="145" t="s">
        <v>608</v>
      </c>
      <c r="G347" s="146" t="s">
        <v>314</v>
      </c>
      <c r="H347" s="147">
        <v>1</v>
      </c>
      <c r="I347" s="148">
        <v>0</v>
      </c>
      <c r="J347" s="148">
        <f>ROUND(I347*H347,2)</f>
        <v>0</v>
      </c>
      <c r="K347" s="145" t="s">
        <v>107</v>
      </c>
      <c r="L347" s="149"/>
      <c r="M347" s="150" t="s">
        <v>1</v>
      </c>
      <c r="N347" s="151" t="s">
        <v>39</v>
      </c>
      <c r="O347" s="118">
        <v>0</v>
      </c>
      <c r="P347" s="118">
        <f>O347*H347</f>
        <v>0</v>
      </c>
      <c r="Q347" s="118">
        <v>2.5000000000000001E-3</v>
      </c>
      <c r="R347" s="118">
        <f>Q347*H347</f>
        <v>2.5000000000000001E-3</v>
      </c>
      <c r="S347" s="118">
        <v>0</v>
      </c>
      <c r="T347" s="119">
        <f>S347*H347</f>
        <v>0</v>
      </c>
      <c r="W347"/>
      <c r="X347"/>
      <c r="Y347"/>
      <c r="AJ347" s="120" t="s">
        <v>171</v>
      </c>
      <c r="AL347" s="120" t="s">
        <v>252</v>
      </c>
      <c r="AM347" s="120" t="s">
        <v>65</v>
      </c>
      <c r="AQ347" s="17" t="s">
        <v>101</v>
      </c>
      <c r="AW347" s="121">
        <f>IF(N347="základní",J347,0)</f>
        <v>0</v>
      </c>
      <c r="AX347" s="121">
        <f>IF(N347="snížená",J347,0)</f>
        <v>0</v>
      </c>
      <c r="AY347" s="121">
        <f>IF(N347="zákl. přenesená",J347,0)</f>
        <v>0</v>
      </c>
      <c r="AZ347" s="121">
        <f>IF(N347="sníž. přenesená",J347,0)</f>
        <v>0</v>
      </c>
      <c r="BA347" s="121">
        <f>IF(N347="nulová",J347,0)</f>
        <v>0</v>
      </c>
      <c r="BB347" s="17" t="s">
        <v>63</v>
      </c>
      <c r="BC347" s="121">
        <f>ROUND(I347*H347,2)</f>
        <v>0</v>
      </c>
      <c r="BD347" s="17" t="s">
        <v>108</v>
      </c>
      <c r="BE347" s="120" t="s">
        <v>609</v>
      </c>
    </row>
    <row r="348" spans="2:57" s="1" customFormat="1" ht="33" customHeight="1" x14ac:dyDescent="0.2">
      <c r="B348" s="109"/>
      <c r="C348" s="110" t="s">
        <v>610</v>
      </c>
      <c r="D348" s="110" t="s">
        <v>103</v>
      </c>
      <c r="E348" s="111" t="s">
        <v>611</v>
      </c>
      <c r="F348" s="112" t="s">
        <v>612</v>
      </c>
      <c r="G348" s="113" t="s">
        <v>314</v>
      </c>
      <c r="H348" s="114">
        <v>11</v>
      </c>
      <c r="I348" s="115">
        <v>0</v>
      </c>
      <c r="J348" s="115">
        <f>ROUND(I348*H348,2)</f>
        <v>0</v>
      </c>
      <c r="K348" s="112" t="s">
        <v>107</v>
      </c>
      <c r="L348" s="28"/>
      <c r="M348" s="116" t="s">
        <v>1</v>
      </c>
      <c r="N348" s="117" t="s">
        <v>39</v>
      </c>
      <c r="O348" s="118">
        <v>0.40300000000000002</v>
      </c>
      <c r="P348" s="118">
        <f>O348*H348</f>
        <v>4.4329999999999998</v>
      </c>
      <c r="Q348" s="118">
        <v>1.6000000000000001E-4</v>
      </c>
      <c r="R348" s="118">
        <f>Q348*H348</f>
        <v>1.7600000000000001E-3</v>
      </c>
      <c r="S348" s="118">
        <v>0</v>
      </c>
      <c r="T348" s="119">
        <f>S348*H348</f>
        <v>0</v>
      </c>
      <c r="W348"/>
      <c r="X348"/>
      <c r="Y348"/>
      <c r="AJ348" s="120" t="s">
        <v>108</v>
      </c>
      <c r="AL348" s="120" t="s">
        <v>103</v>
      </c>
      <c r="AM348" s="120" t="s">
        <v>65</v>
      </c>
      <c r="AQ348" s="17" t="s">
        <v>101</v>
      </c>
      <c r="AW348" s="121">
        <f>IF(N348="základní",J348,0)</f>
        <v>0</v>
      </c>
      <c r="AX348" s="121">
        <f>IF(N348="snížená",J348,0)</f>
        <v>0</v>
      </c>
      <c r="AY348" s="121">
        <f>IF(N348="zákl. přenesená",J348,0)</f>
        <v>0</v>
      </c>
      <c r="AZ348" s="121">
        <f>IF(N348="sníž. přenesená",J348,0)</f>
        <v>0</v>
      </c>
      <c r="BA348" s="121">
        <f>IF(N348="nulová",J348,0)</f>
        <v>0</v>
      </c>
      <c r="BB348" s="17" t="s">
        <v>63</v>
      </c>
      <c r="BC348" s="121">
        <f>ROUND(I348*H348,2)</f>
        <v>0</v>
      </c>
      <c r="BD348" s="17" t="s">
        <v>108</v>
      </c>
      <c r="BE348" s="120" t="s">
        <v>613</v>
      </c>
    </row>
    <row r="349" spans="2:57" s="1" customFormat="1" x14ac:dyDescent="0.2">
      <c r="B349" s="28"/>
      <c r="D349" s="122" t="s">
        <v>110</v>
      </c>
      <c r="F349" s="412" t="s">
        <v>614</v>
      </c>
      <c r="L349" s="28"/>
      <c r="M349" s="124"/>
      <c r="T349" s="48"/>
      <c r="W349"/>
      <c r="X349"/>
      <c r="Y349"/>
      <c r="AL349" s="17" t="s">
        <v>110</v>
      </c>
      <c r="AM349" s="17" t="s">
        <v>65</v>
      </c>
    </row>
    <row r="350" spans="2:57" s="1" customFormat="1" ht="16.5" customHeight="1" x14ac:dyDescent="0.2">
      <c r="B350" s="109"/>
      <c r="C350" s="110" t="s">
        <v>615</v>
      </c>
      <c r="D350" s="110" t="s">
        <v>103</v>
      </c>
      <c r="E350" s="111" t="s">
        <v>616</v>
      </c>
      <c r="F350" s="112" t="s">
        <v>617</v>
      </c>
      <c r="G350" s="113" t="s">
        <v>106</v>
      </c>
      <c r="H350" s="114">
        <f>594.3*0.18</f>
        <v>106.97399999999999</v>
      </c>
      <c r="I350" s="115">
        <v>0</v>
      </c>
      <c r="J350" s="115">
        <f>ROUND(I350*H350,2)</f>
        <v>0</v>
      </c>
      <c r="K350" s="112" t="s">
        <v>107</v>
      </c>
      <c r="L350" s="28"/>
      <c r="M350" s="116" t="s">
        <v>1</v>
      </c>
      <c r="N350" s="117" t="s">
        <v>39</v>
      </c>
      <c r="O350" s="118">
        <v>5.3999999999999999E-2</v>
      </c>
      <c r="P350" s="118">
        <f>O350*H350</f>
        <v>5.7765959999999996</v>
      </c>
      <c r="Q350" s="118">
        <v>1.9000000000000001E-4</v>
      </c>
      <c r="R350" s="118">
        <f>Q350*H350</f>
        <v>2.0325059999999999E-2</v>
      </c>
      <c r="S350" s="118">
        <v>0</v>
      </c>
      <c r="T350" s="119">
        <f>S350*H350</f>
        <v>0</v>
      </c>
      <c r="W350"/>
      <c r="X350"/>
      <c r="Y350"/>
      <c r="AJ350" s="120" t="s">
        <v>108</v>
      </c>
      <c r="AL350" s="120" t="s">
        <v>103</v>
      </c>
      <c r="AM350" s="120" t="s">
        <v>65</v>
      </c>
      <c r="AQ350" s="17" t="s">
        <v>101</v>
      </c>
      <c r="AW350" s="121">
        <f>IF(N350="základní",J350,0)</f>
        <v>0</v>
      </c>
      <c r="AX350" s="121">
        <f>IF(N350="snížená",J350,0)</f>
        <v>0</v>
      </c>
      <c r="AY350" s="121">
        <f>IF(N350="zákl. přenesená",J350,0)</f>
        <v>0</v>
      </c>
      <c r="AZ350" s="121">
        <f>IF(N350="sníž. přenesená",J350,0)</f>
        <v>0</v>
      </c>
      <c r="BA350" s="121">
        <f>IF(N350="nulová",J350,0)</f>
        <v>0</v>
      </c>
      <c r="BB350" s="17" t="s">
        <v>63</v>
      </c>
      <c r="BC350" s="121">
        <f>ROUND(I350*H350,2)</f>
        <v>0</v>
      </c>
      <c r="BD350" s="17" t="s">
        <v>108</v>
      </c>
      <c r="BE350" s="120" t="s">
        <v>618</v>
      </c>
    </row>
    <row r="351" spans="2:57" s="1" customFormat="1" x14ac:dyDescent="0.2">
      <c r="B351" s="28"/>
      <c r="D351" s="122" t="s">
        <v>110</v>
      </c>
      <c r="F351" s="412" t="s">
        <v>619</v>
      </c>
      <c r="L351" s="28"/>
      <c r="M351" s="124"/>
      <c r="T351" s="48"/>
      <c r="W351"/>
      <c r="X351"/>
      <c r="Y351"/>
      <c r="AL351" s="17" t="s">
        <v>110</v>
      </c>
      <c r="AM351" s="17" t="s">
        <v>65</v>
      </c>
    </row>
    <row r="352" spans="2:57" s="1" customFormat="1" ht="21.75" customHeight="1" x14ac:dyDescent="0.2">
      <c r="B352" s="109"/>
      <c r="C352" s="110" t="s">
        <v>620</v>
      </c>
      <c r="D352" s="110" t="s">
        <v>103</v>
      </c>
      <c r="E352" s="111" t="s">
        <v>621</v>
      </c>
      <c r="F352" s="112" t="s">
        <v>622</v>
      </c>
      <c r="G352" s="113" t="s">
        <v>106</v>
      </c>
      <c r="H352" s="114">
        <f>594.3*0.18</f>
        <v>106.97399999999999</v>
      </c>
      <c r="I352" s="115">
        <v>0</v>
      </c>
      <c r="J352" s="115">
        <f>ROUND(I352*H352,2)</f>
        <v>0</v>
      </c>
      <c r="K352" s="112" t="s">
        <v>107</v>
      </c>
      <c r="L352" s="28"/>
      <c r="M352" s="116" t="s">
        <v>1</v>
      </c>
      <c r="N352" s="117" t="s">
        <v>39</v>
      </c>
      <c r="O352" s="118">
        <v>2.3E-2</v>
      </c>
      <c r="P352" s="118">
        <f>O352*H352</f>
        <v>2.4604019999999998</v>
      </c>
      <c r="Q352" s="118">
        <v>6.9999999999999994E-5</v>
      </c>
      <c r="R352" s="118">
        <f>Q352*H352</f>
        <v>7.4881799999999988E-3</v>
      </c>
      <c r="S352" s="118">
        <v>0</v>
      </c>
      <c r="T352" s="119">
        <f>S352*H352</f>
        <v>0</v>
      </c>
      <c r="W352"/>
      <c r="X352"/>
      <c r="Y352"/>
      <c r="AJ352" s="120" t="s">
        <v>108</v>
      </c>
      <c r="AL352" s="120" t="s">
        <v>103</v>
      </c>
      <c r="AM352" s="120" t="s">
        <v>65</v>
      </c>
      <c r="AQ352" s="17" t="s">
        <v>101</v>
      </c>
      <c r="AW352" s="121">
        <f>IF(N352="základní",J352,0)</f>
        <v>0</v>
      </c>
      <c r="AX352" s="121">
        <f>IF(N352="snížená",J352,0)</f>
        <v>0</v>
      </c>
      <c r="AY352" s="121">
        <f>IF(N352="zákl. přenesená",J352,0)</f>
        <v>0</v>
      </c>
      <c r="AZ352" s="121">
        <f>IF(N352="sníž. přenesená",J352,0)</f>
        <v>0</v>
      </c>
      <c r="BA352" s="121">
        <f>IF(N352="nulová",J352,0)</f>
        <v>0</v>
      </c>
      <c r="BB352" s="17" t="s">
        <v>63</v>
      </c>
      <c r="BC352" s="121">
        <f>ROUND(I352*H352,2)</f>
        <v>0</v>
      </c>
      <c r="BD352" s="17" t="s">
        <v>108</v>
      </c>
      <c r="BE352" s="120" t="s">
        <v>623</v>
      </c>
    </row>
    <row r="353" spans="2:65" s="1" customFormat="1" x14ac:dyDescent="0.2">
      <c r="B353" s="28"/>
      <c r="D353" s="122" t="s">
        <v>110</v>
      </c>
      <c r="F353" s="412" t="s">
        <v>624</v>
      </c>
      <c r="L353" s="28"/>
      <c r="M353" s="124"/>
      <c r="T353" s="48"/>
      <c r="W353"/>
      <c r="X353"/>
      <c r="Y353"/>
      <c r="AL353" s="17" t="s">
        <v>110</v>
      </c>
      <c r="AM353" s="17" t="s">
        <v>65</v>
      </c>
    </row>
    <row r="354" spans="2:65" s="11" customFormat="1" ht="22.9" customHeight="1" x14ac:dyDescent="0.2">
      <c r="B354" s="98"/>
      <c r="D354" s="99" t="s">
        <v>54</v>
      </c>
      <c r="E354" s="107" t="s">
        <v>625</v>
      </c>
      <c r="F354" s="107" t="s">
        <v>626</v>
      </c>
      <c r="J354" s="108">
        <f>BC354</f>
        <v>0</v>
      </c>
      <c r="L354" s="98"/>
      <c r="M354" s="102"/>
      <c r="P354" s="103">
        <f>SUM(P355:P358)</f>
        <v>2.6094657599999991</v>
      </c>
      <c r="R354" s="103">
        <f>SUM(R355:R358)</f>
        <v>0</v>
      </c>
      <c r="T354" s="104">
        <f>SUM(T355:T358)</f>
        <v>0</v>
      </c>
      <c r="W354"/>
      <c r="X354"/>
      <c r="Y354"/>
      <c r="AJ354" s="99" t="s">
        <v>63</v>
      </c>
      <c r="AL354" s="105" t="s">
        <v>54</v>
      </c>
      <c r="AM354" s="105" t="s">
        <v>63</v>
      </c>
      <c r="AQ354" s="99" t="s">
        <v>101</v>
      </c>
      <c r="BC354" s="106">
        <f>SUM(BK355:BK358)</f>
        <v>0</v>
      </c>
    </row>
    <row r="355" spans="2:65" s="1" customFormat="1" ht="49.15" customHeight="1" x14ac:dyDescent="0.2">
      <c r="B355" s="109"/>
      <c r="C355" s="110" t="s">
        <v>627</v>
      </c>
      <c r="D355" s="110" t="s">
        <v>103</v>
      </c>
      <c r="E355" s="111" t="s">
        <v>628</v>
      </c>
      <c r="F355" s="112" t="s">
        <v>629</v>
      </c>
      <c r="G355" s="113" t="s">
        <v>231</v>
      </c>
      <c r="H355" s="114">
        <f>5.874*0.18</f>
        <v>1.0573199999999998</v>
      </c>
      <c r="I355" s="115">
        <v>0</v>
      </c>
      <c r="J355" s="115">
        <f>ROUND(I355*H355,2)</f>
        <v>0</v>
      </c>
      <c r="K355" s="112" t="s">
        <v>107</v>
      </c>
      <c r="L355" s="28"/>
      <c r="M355" s="116" t="s">
        <v>1</v>
      </c>
      <c r="N355" s="117" t="s">
        <v>39</v>
      </c>
      <c r="O355" s="118">
        <v>1.48</v>
      </c>
      <c r="P355" s="118">
        <f>O355*H355</f>
        <v>1.5648335999999996</v>
      </c>
      <c r="Q355" s="118">
        <v>0</v>
      </c>
      <c r="R355" s="118">
        <f>Q355*H355</f>
        <v>0</v>
      </c>
      <c r="S355" s="118">
        <v>0</v>
      </c>
      <c r="T355" s="119">
        <f>S355*H355</f>
        <v>0</v>
      </c>
      <c r="W355"/>
      <c r="X355"/>
      <c r="Y355"/>
      <c r="AJ355" s="120" t="s">
        <v>108</v>
      </c>
      <c r="AL355" s="120" t="s">
        <v>103</v>
      </c>
      <c r="AM355" s="120" t="s">
        <v>65</v>
      </c>
      <c r="AQ355" s="17" t="s">
        <v>101</v>
      </c>
      <c r="AW355" s="121">
        <f>IF(N355="základní",J355,0)</f>
        <v>0</v>
      </c>
      <c r="AX355" s="121">
        <f>IF(N355="snížená",J355,0)</f>
        <v>0</v>
      </c>
      <c r="AY355" s="121">
        <f>IF(N355="zákl. přenesená",J355,0)</f>
        <v>0</v>
      </c>
      <c r="AZ355" s="121">
        <f>IF(N355="sníž. přenesená",J355,0)</f>
        <v>0</v>
      </c>
      <c r="BA355" s="121">
        <f>IF(N355="nulová",J355,0)</f>
        <v>0</v>
      </c>
      <c r="BB355" s="17" t="s">
        <v>63</v>
      </c>
      <c r="BC355" s="121">
        <f>ROUND(I355*H355,2)</f>
        <v>0</v>
      </c>
      <c r="BD355" s="17" t="s">
        <v>108</v>
      </c>
      <c r="BE355" s="120" t="s">
        <v>630</v>
      </c>
    </row>
    <row r="356" spans="2:65" s="1" customFormat="1" x14ac:dyDescent="0.2">
      <c r="B356" s="28"/>
      <c r="D356" s="122" t="s">
        <v>110</v>
      </c>
      <c r="F356" s="412" t="s">
        <v>631</v>
      </c>
      <c r="L356" s="28"/>
      <c r="M356" s="124"/>
      <c r="T356" s="48"/>
      <c r="W356"/>
      <c r="X356"/>
      <c r="Y356"/>
      <c r="AT356" s="17" t="s">
        <v>110</v>
      </c>
      <c r="AU356" s="17" t="s">
        <v>65</v>
      </c>
    </row>
    <row r="357" spans="2:65" s="1" customFormat="1" ht="55.5" customHeight="1" x14ac:dyDescent="0.2">
      <c r="B357" s="109"/>
      <c r="C357" s="110" t="s">
        <v>632</v>
      </c>
      <c r="D357" s="110" t="s">
        <v>103</v>
      </c>
      <c r="E357" s="111" t="s">
        <v>633</v>
      </c>
      <c r="F357" s="112" t="s">
        <v>634</v>
      </c>
      <c r="G357" s="113" t="s">
        <v>231</v>
      </c>
      <c r="H357" s="114">
        <f>5.874*0.18</f>
        <v>1.0573199999999998</v>
      </c>
      <c r="I357" s="115">
        <v>0</v>
      </c>
      <c r="J357" s="115">
        <f>ROUND(I357*H357,2)</f>
        <v>0</v>
      </c>
      <c r="K357" s="112" t="s">
        <v>107</v>
      </c>
      <c r="L357" s="28"/>
      <c r="M357" s="116" t="s">
        <v>1</v>
      </c>
      <c r="N357" s="117" t="s">
        <v>39</v>
      </c>
      <c r="O357" s="118">
        <v>0.98799999999999999</v>
      </c>
      <c r="P357" s="118">
        <f>O357*H357</f>
        <v>1.0446321599999997</v>
      </c>
      <c r="Q357" s="118">
        <v>0</v>
      </c>
      <c r="R357" s="118">
        <f>Q357*H357</f>
        <v>0</v>
      </c>
      <c r="S357" s="118">
        <v>0</v>
      </c>
      <c r="T357" s="119">
        <f>S357*H357</f>
        <v>0</v>
      </c>
      <c r="W357"/>
      <c r="X357"/>
      <c r="Y357"/>
      <c r="AR357" s="120" t="s">
        <v>108</v>
      </c>
      <c r="AT357" s="120" t="s">
        <v>103</v>
      </c>
      <c r="AU357" s="120" t="s">
        <v>65</v>
      </c>
      <c r="AY357" s="17" t="s">
        <v>101</v>
      </c>
      <c r="BE357" s="121">
        <f>IF(N357="základní",J357,0)</f>
        <v>0</v>
      </c>
      <c r="BF357" s="121">
        <f>IF(N357="snížená",J357,0)</f>
        <v>0</v>
      </c>
      <c r="BG357" s="121">
        <f>IF(N357="zákl. přenesená",J357,0)</f>
        <v>0</v>
      </c>
      <c r="BH357" s="121">
        <f>IF(N357="sníž. přenesená",J357,0)</f>
        <v>0</v>
      </c>
      <c r="BI357" s="121">
        <f>IF(N357="nulová",J357,0)</f>
        <v>0</v>
      </c>
      <c r="BJ357" s="17" t="s">
        <v>63</v>
      </c>
      <c r="BK357" s="121">
        <f>ROUND(I357*H357,2)</f>
        <v>0</v>
      </c>
      <c r="BL357" s="17" t="s">
        <v>108</v>
      </c>
      <c r="BM357" s="120" t="s">
        <v>635</v>
      </c>
    </row>
    <row r="358" spans="2:65" s="1" customFormat="1" x14ac:dyDescent="0.2">
      <c r="B358" s="28"/>
      <c r="D358" s="122" t="s">
        <v>110</v>
      </c>
      <c r="F358" s="123" t="s">
        <v>636</v>
      </c>
      <c r="L358" s="28"/>
      <c r="M358" s="124"/>
      <c r="T358" s="48"/>
      <c r="W358"/>
      <c r="X358"/>
      <c r="Y358"/>
      <c r="AT358" s="17" t="s">
        <v>110</v>
      </c>
      <c r="AU358" s="17" t="s">
        <v>65</v>
      </c>
    </row>
    <row r="359" spans="2:65" s="11" customFormat="1" ht="25.9" customHeight="1" x14ac:dyDescent="0.2">
      <c r="B359" s="98"/>
      <c r="D359" s="99" t="s">
        <v>54</v>
      </c>
      <c r="E359" s="100" t="s">
        <v>637</v>
      </c>
      <c r="F359" s="100" t="s">
        <v>638</v>
      </c>
      <c r="J359" s="101">
        <f>BK359</f>
        <v>0</v>
      </c>
      <c r="L359" s="98"/>
      <c r="M359" s="102"/>
      <c r="P359" s="103">
        <f>P360</f>
        <v>0</v>
      </c>
      <c r="R359" s="103">
        <f>R360</f>
        <v>0</v>
      </c>
      <c r="T359" s="104">
        <f>T360</f>
        <v>0</v>
      </c>
      <c r="W359"/>
      <c r="X359"/>
      <c r="Y359"/>
      <c r="AR359" s="99" t="s">
        <v>141</v>
      </c>
      <c r="AT359" s="105" t="s">
        <v>54</v>
      </c>
      <c r="AU359" s="105" t="s">
        <v>55</v>
      </c>
      <c r="AY359" s="99" t="s">
        <v>101</v>
      </c>
      <c r="BK359" s="106">
        <f>BK360</f>
        <v>0</v>
      </c>
    </row>
    <row r="360" spans="2:65" s="11" customFormat="1" ht="22.9" customHeight="1" x14ac:dyDescent="0.2">
      <c r="B360" s="98"/>
      <c r="D360" s="99" t="s">
        <v>54</v>
      </c>
      <c r="E360" s="107" t="s">
        <v>639</v>
      </c>
      <c r="F360" s="107" t="s">
        <v>640</v>
      </c>
      <c r="J360" s="108">
        <f>BK360</f>
        <v>0</v>
      </c>
      <c r="L360" s="98"/>
      <c r="M360" s="102"/>
      <c r="P360" s="103">
        <f>P361</f>
        <v>0</v>
      </c>
      <c r="R360" s="103">
        <f>R361</f>
        <v>0</v>
      </c>
      <c r="T360" s="104">
        <f>T361</f>
        <v>0</v>
      </c>
      <c r="W360"/>
      <c r="X360"/>
      <c r="Y360"/>
      <c r="AR360" s="99" t="s">
        <v>141</v>
      </c>
      <c r="AT360" s="105" t="s">
        <v>54</v>
      </c>
      <c r="AU360" s="105" t="s">
        <v>63</v>
      </c>
      <c r="AY360" s="99" t="s">
        <v>101</v>
      </c>
      <c r="BK360" s="106">
        <f>BK361</f>
        <v>0</v>
      </c>
    </row>
    <row r="361" spans="2:65" s="1" customFormat="1" ht="24.2" customHeight="1" x14ac:dyDescent="0.2">
      <c r="B361" s="109"/>
      <c r="C361" s="110" t="s">
        <v>641</v>
      </c>
      <c r="D361" s="110" t="s">
        <v>103</v>
      </c>
      <c r="E361" s="111" t="s">
        <v>642</v>
      </c>
      <c r="F361" s="112" t="s">
        <v>643</v>
      </c>
      <c r="G361" s="113" t="s">
        <v>644</v>
      </c>
      <c r="H361" s="114">
        <v>1</v>
      </c>
      <c r="I361" s="115">
        <v>0</v>
      </c>
      <c r="J361" s="115">
        <f>ROUND(I361*H361,2)</f>
        <v>0</v>
      </c>
      <c r="K361" s="112" t="s">
        <v>1</v>
      </c>
      <c r="L361" s="28"/>
      <c r="M361" s="152" t="s">
        <v>1</v>
      </c>
      <c r="N361" s="153" t="s">
        <v>39</v>
      </c>
      <c r="O361" s="154">
        <v>0</v>
      </c>
      <c r="P361" s="154">
        <f>O361*H361</f>
        <v>0</v>
      </c>
      <c r="Q361" s="154">
        <v>0</v>
      </c>
      <c r="R361" s="154">
        <f>Q361*H361</f>
        <v>0</v>
      </c>
      <c r="S361" s="154">
        <v>0</v>
      </c>
      <c r="T361" s="155">
        <f>S361*H361</f>
        <v>0</v>
      </c>
      <c r="W361"/>
      <c r="X361"/>
      <c r="Y361"/>
      <c r="AR361" s="120" t="s">
        <v>645</v>
      </c>
      <c r="AT361" s="120" t="s">
        <v>103</v>
      </c>
      <c r="AU361" s="120" t="s">
        <v>65</v>
      </c>
      <c r="AY361" s="17" t="s">
        <v>101</v>
      </c>
      <c r="BE361" s="121">
        <f>IF(N361="základní",J361,0)</f>
        <v>0</v>
      </c>
      <c r="BF361" s="121">
        <f>IF(N361="snížená",J361,0)</f>
        <v>0</v>
      </c>
      <c r="BG361" s="121">
        <f>IF(N361="zákl. přenesená",J361,0)</f>
        <v>0</v>
      </c>
      <c r="BH361" s="121">
        <f>IF(N361="sníž. přenesená",J361,0)</f>
        <v>0</v>
      </c>
      <c r="BI361" s="121">
        <f>IF(N361="nulová",J361,0)</f>
        <v>0</v>
      </c>
      <c r="BJ361" s="17" t="s">
        <v>63</v>
      </c>
      <c r="BK361" s="121">
        <f>ROUND(I361*H361,2)</f>
        <v>0</v>
      </c>
      <c r="BL361" s="17" t="s">
        <v>645</v>
      </c>
      <c r="BM361" s="120" t="s">
        <v>646</v>
      </c>
    </row>
    <row r="362" spans="2:65" s="1" customFormat="1" ht="6.95" customHeight="1" x14ac:dyDescent="0.2">
      <c r="B362" s="37"/>
      <c r="C362" s="38"/>
      <c r="D362" s="38"/>
      <c r="E362" s="38"/>
      <c r="F362" s="38"/>
      <c r="G362" s="38"/>
      <c r="H362" s="38"/>
      <c r="I362" s="38"/>
      <c r="J362" s="38"/>
      <c r="K362" s="38"/>
      <c r="L362" s="28"/>
      <c r="W362"/>
      <c r="X362"/>
      <c r="Y362"/>
    </row>
  </sheetData>
  <autoFilter ref="C85:K361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4" r:id="rId2" xr:uid="{00000000-0004-0000-0100-000001000000}"/>
    <hyperlink ref="F98" r:id="rId3" xr:uid="{00000000-0004-0000-0100-000002000000}"/>
    <hyperlink ref="F105" r:id="rId4" xr:uid="{00000000-0004-0000-0100-000003000000}"/>
    <hyperlink ref="F117" r:id="rId5" xr:uid="{00000000-0004-0000-0100-000004000000}"/>
    <hyperlink ref="F129" r:id="rId6" xr:uid="{00000000-0004-0000-0100-000005000000}"/>
    <hyperlink ref="F141" r:id="rId7" xr:uid="{00000000-0004-0000-0100-000006000000}"/>
    <hyperlink ref="F145" r:id="rId8" xr:uid="{00000000-0004-0000-0100-000007000000}"/>
    <hyperlink ref="F152" r:id="rId9" xr:uid="{00000000-0004-0000-0100-000008000000}"/>
    <hyperlink ref="F154" r:id="rId10" xr:uid="{00000000-0004-0000-0100-000009000000}"/>
    <hyperlink ref="F161" r:id="rId11" xr:uid="{00000000-0004-0000-0100-00000A000000}"/>
    <hyperlink ref="F163" r:id="rId12" xr:uid="{00000000-0004-0000-0100-00000B000000}"/>
    <hyperlink ref="F165" r:id="rId13" xr:uid="{00000000-0004-0000-0100-00000C000000}"/>
    <hyperlink ref="F168" r:id="rId14" xr:uid="{00000000-0004-0000-0100-00000D000000}"/>
    <hyperlink ref="F170" r:id="rId15" xr:uid="{00000000-0004-0000-0100-00000E000000}"/>
    <hyperlink ref="F173" r:id="rId16" xr:uid="{00000000-0004-0000-0100-00000F000000}"/>
    <hyperlink ref="F180" r:id="rId17" xr:uid="{00000000-0004-0000-0100-000010000000}"/>
    <hyperlink ref="F182" r:id="rId18" xr:uid="{00000000-0004-0000-0100-000011000000}"/>
    <hyperlink ref="F185" r:id="rId19" xr:uid="{00000000-0004-0000-0100-000012000000}"/>
    <hyperlink ref="F187" r:id="rId20" xr:uid="{00000000-0004-0000-0100-000013000000}"/>
    <hyperlink ref="F201" r:id="rId21" xr:uid="{00000000-0004-0000-0100-000014000000}"/>
    <hyperlink ref="F216" r:id="rId22" xr:uid="{00000000-0004-0000-0100-000015000000}"/>
    <hyperlink ref="F228" r:id="rId23" xr:uid="{00000000-0004-0000-0100-000016000000}"/>
    <hyperlink ref="F235" r:id="rId24" xr:uid="{00000000-0004-0000-0100-000017000000}"/>
    <hyperlink ref="F245" r:id="rId25" xr:uid="{00000000-0004-0000-0100-000018000000}"/>
    <hyperlink ref="F250" r:id="rId26" xr:uid="{00000000-0004-0000-0100-000019000000}"/>
    <hyperlink ref="F255" r:id="rId27" xr:uid="{00000000-0004-0000-0100-00001A000000}"/>
    <hyperlink ref="F260" r:id="rId28" xr:uid="{00000000-0004-0000-0100-00001B000000}"/>
    <hyperlink ref="F265" r:id="rId29" xr:uid="{00000000-0004-0000-0100-00001C000000}"/>
    <hyperlink ref="F269" r:id="rId30" xr:uid="{00000000-0004-0000-0100-00001D000000}"/>
    <hyperlink ref="F274" r:id="rId31" xr:uid="{00000000-0004-0000-0100-00001E000000}"/>
    <hyperlink ref="F278" r:id="rId32" xr:uid="{00000000-0004-0000-0100-00001F000000}"/>
    <hyperlink ref="F285" r:id="rId33" xr:uid="{00000000-0004-0000-0100-000020000000}"/>
    <hyperlink ref="F287" r:id="rId34" xr:uid="{00000000-0004-0000-0100-000021000000}"/>
    <hyperlink ref="F289" r:id="rId35" xr:uid="{00000000-0004-0000-0100-000022000000}"/>
    <hyperlink ref="F292" r:id="rId36" xr:uid="{00000000-0004-0000-0100-000023000000}"/>
    <hyperlink ref="F295" r:id="rId37" xr:uid="{00000000-0004-0000-0100-000024000000}"/>
    <hyperlink ref="F298" r:id="rId38" xr:uid="{00000000-0004-0000-0100-000025000000}"/>
    <hyperlink ref="F301" r:id="rId39" xr:uid="{00000000-0004-0000-0100-000026000000}"/>
    <hyperlink ref="F304" r:id="rId40" xr:uid="{00000000-0004-0000-0100-000027000000}"/>
    <hyperlink ref="F307" r:id="rId41" xr:uid="{00000000-0004-0000-0100-000028000000}"/>
    <hyperlink ref="F310" r:id="rId42" xr:uid="{00000000-0004-0000-0100-000029000000}"/>
    <hyperlink ref="F314" r:id="rId43" xr:uid="{00000000-0004-0000-0100-00002A000000}"/>
    <hyperlink ref="F318" r:id="rId44" xr:uid="{00000000-0004-0000-0100-00002B000000}"/>
    <hyperlink ref="F322" r:id="rId45" xr:uid="{00000000-0004-0000-0100-00002C000000}"/>
    <hyperlink ref="F327" r:id="rId46" xr:uid="{00000000-0004-0000-0100-00002D000000}"/>
    <hyperlink ref="F329" r:id="rId47" xr:uid="{00000000-0004-0000-0100-00002E000000}"/>
    <hyperlink ref="F331" r:id="rId48" xr:uid="{00000000-0004-0000-0100-00002F000000}"/>
    <hyperlink ref="F333" r:id="rId49" xr:uid="{00000000-0004-0000-0100-000030000000}"/>
    <hyperlink ref="F339" r:id="rId50" xr:uid="{00000000-0004-0000-0100-000031000000}"/>
    <hyperlink ref="F341" r:id="rId51" xr:uid="{00000000-0004-0000-0100-000032000000}"/>
    <hyperlink ref="F345" r:id="rId52" xr:uid="{00000000-0004-0000-0100-000033000000}"/>
    <hyperlink ref="F349" r:id="rId53" xr:uid="{00000000-0004-0000-0100-000034000000}"/>
    <hyperlink ref="F351" r:id="rId54" xr:uid="{00000000-0004-0000-0100-000035000000}"/>
    <hyperlink ref="F353" r:id="rId55" xr:uid="{00000000-0004-0000-0100-000036000000}"/>
    <hyperlink ref="F356" r:id="rId56" xr:uid="{00000000-0004-0000-0100-000037000000}"/>
    <hyperlink ref="F358" r:id="rId57" xr:uid="{00000000-0004-0000-0100-00003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C038-E89B-40B3-83BB-ABA4C5703EAB}">
  <sheetPr>
    <pageSetUpPr fitToPage="1"/>
  </sheetPr>
  <dimension ref="B2:BM322"/>
  <sheetViews>
    <sheetView showGridLines="0" topLeftCell="C1" workbookViewId="0">
      <selection activeCell="I336" sqref="I33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7.6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 x14ac:dyDescent="0.2">
      <c r="L2" s="671" t="s">
        <v>4</v>
      </c>
      <c r="M2" s="653"/>
      <c r="N2" s="653"/>
      <c r="O2" s="653"/>
      <c r="P2" s="653"/>
      <c r="Q2" s="653"/>
      <c r="R2" s="653"/>
      <c r="S2" s="653"/>
      <c r="T2" s="653"/>
      <c r="U2" s="653"/>
      <c r="V2" s="653"/>
      <c r="AT2" s="17" t="s">
        <v>64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65</v>
      </c>
    </row>
    <row r="4" spans="2:46" ht="24.95" customHeight="1" x14ac:dyDescent="0.2">
      <c r="B4" s="20"/>
      <c r="D4" s="21" t="s">
        <v>72</v>
      </c>
      <c r="L4" s="20"/>
      <c r="M4" s="68" t="s">
        <v>9</v>
      </c>
      <c r="AT4" s="17" t="s">
        <v>2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5" t="s">
        <v>13</v>
      </c>
      <c r="L6" s="20"/>
    </row>
    <row r="7" spans="2:46" ht="16.5" customHeight="1" x14ac:dyDescent="0.2">
      <c r="B7" s="20"/>
      <c r="E7" s="669" t="str">
        <f>Rekapitulace!K6</f>
        <v>Propojení Okružní x Na hroudách</v>
      </c>
      <c r="F7" s="670"/>
      <c r="G7" s="670"/>
      <c r="H7" s="670"/>
      <c r="L7" s="20"/>
    </row>
    <row r="8" spans="2:46" s="1" customFormat="1" ht="12" customHeight="1" x14ac:dyDescent="0.2">
      <c r="B8" s="28"/>
      <c r="D8" s="25" t="s">
        <v>73</v>
      </c>
      <c r="L8" s="28"/>
    </row>
    <row r="9" spans="2:46" s="1" customFormat="1" ht="16.5" customHeight="1" x14ac:dyDescent="0.2">
      <c r="B9" s="28"/>
      <c r="E9" s="638" t="s">
        <v>74</v>
      </c>
      <c r="F9" s="668"/>
      <c r="G9" s="668"/>
      <c r="H9" s="668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</row>
    <row r="15" spans="2:46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</row>
    <row r="16" spans="2:46" s="1" customFormat="1" ht="6.95" customHeight="1" x14ac:dyDescent="0.2">
      <c r="B16" s="28"/>
      <c r="L16" s="28"/>
    </row>
    <row r="17" spans="2:26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</row>
    <row r="18" spans="2:26" s="1" customFormat="1" ht="18" customHeight="1" x14ac:dyDescent="0.2">
      <c r="B18" s="28"/>
      <c r="E18" s="652" t="str">
        <f>Rekapitulace!E14</f>
        <v xml:space="preserve"> </v>
      </c>
      <c r="F18" s="652"/>
      <c r="G18" s="652"/>
      <c r="H18" s="652"/>
      <c r="I18" s="25" t="s">
        <v>24</v>
      </c>
      <c r="J18" s="23" t="str">
        <f>Rekapitulace!AN14</f>
        <v/>
      </c>
      <c r="L18" s="28"/>
    </row>
    <row r="19" spans="2:26" s="1" customFormat="1" ht="6.95" customHeight="1" x14ac:dyDescent="0.2">
      <c r="B19" s="28"/>
      <c r="L19" s="28"/>
    </row>
    <row r="20" spans="2:26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</row>
    <row r="21" spans="2:26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</row>
    <row r="22" spans="2:26" s="1" customFormat="1" ht="6.95" customHeight="1" x14ac:dyDescent="0.2">
      <c r="B22" s="28"/>
      <c r="L22" s="28"/>
    </row>
    <row r="23" spans="2:26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</row>
    <row r="24" spans="2:26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</row>
    <row r="25" spans="2:26" s="1" customFormat="1" ht="6.95" customHeight="1" x14ac:dyDescent="0.2">
      <c r="B25" s="28"/>
      <c r="L25" s="28"/>
    </row>
    <row r="26" spans="2:26" s="1" customFormat="1" ht="12" customHeight="1" x14ac:dyDescent="0.2">
      <c r="B26" s="28"/>
      <c r="D26" s="25" t="s">
        <v>32</v>
      </c>
      <c r="L26" s="28"/>
    </row>
    <row r="27" spans="2:26" s="7" customFormat="1" ht="16.5" customHeight="1" x14ac:dyDescent="0.2">
      <c r="B27" s="69"/>
      <c r="E27" s="655" t="s">
        <v>1</v>
      </c>
      <c r="F27" s="655"/>
      <c r="G27" s="655"/>
      <c r="H27" s="655"/>
      <c r="L27" s="69"/>
    </row>
    <row r="28" spans="2:26" s="1" customFormat="1" ht="6.95" customHeight="1" x14ac:dyDescent="0.2">
      <c r="B28" s="28"/>
      <c r="L28" s="28"/>
    </row>
    <row r="29" spans="2:26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26" s="1" customFormat="1" ht="25.35" customHeight="1" x14ac:dyDescent="0.2">
      <c r="B30" s="28"/>
      <c r="D30" s="70" t="s">
        <v>34</v>
      </c>
      <c r="J30" s="58">
        <f>ROUND(J86, 2)</f>
        <v>0</v>
      </c>
      <c r="L30" s="28"/>
      <c r="X30" s="121"/>
      <c r="Y30" s="121"/>
      <c r="Z30" s="121"/>
    </row>
    <row r="31" spans="2:26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26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 x14ac:dyDescent="0.2">
      <c r="B33" s="28"/>
      <c r="D33" s="47" t="s">
        <v>38</v>
      </c>
      <c r="E33" s="25" t="s">
        <v>39</v>
      </c>
      <c r="F33" s="71">
        <f>ROUND((SUM(BE86:BE321)),  2)</f>
        <v>0</v>
      </c>
      <c r="I33" s="72">
        <v>0.21</v>
      </c>
      <c r="J33" s="71">
        <f>ROUND(((SUM(BE86:BE321))*I33),  2)</f>
        <v>0</v>
      </c>
      <c r="L33" s="28"/>
    </row>
    <row r="34" spans="2:12" s="1" customFormat="1" ht="14.45" customHeight="1" x14ac:dyDescent="0.2">
      <c r="B34" s="28"/>
      <c r="E34" s="25" t="s">
        <v>40</v>
      </c>
      <c r="F34" s="71">
        <f>ROUND((SUM(BF86:BF321)),  2)</f>
        <v>0</v>
      </c>
      <c r="I34" s="72">
        <v>0.15</v>
      </c>
      <c r="J34" s="71">
        <f>ROUND(((SUM(BF86:BF321))*I34),  2)</f>
        <v>0</v>
      </c>
      <c r="L34" s="28"/>
    </row>
    <row r="35" spans="2:12" s="1" customFormat="1" ht="14.45" hidden="1" customHeight="1" x14ac:dyDescent="0.2">
      <c r="B35" s="28"/>
      <c r="E35" s="25" t="s">
        <v>41</v>
      </c>
      <c r="F35" s="71">
        <f>ROUND((SUM(BG86:BG321)),  2)</f>
        <v>0</v>
      </c>
      <c r="I35" s="72">
        <v>0.21</v>
      </c>
      <c r="J35" s="71">
        <f>0</f>
        <v>0</v>
      </c>
      <c r="L35" s="28"/>
    </row>
    <row r="36" spans="2:12" s="1" customFormat="1" ht="14.45" hidden="1" customHeight="1" x14ac:dyDescent="0.2">
      <c r="B36" s="28"/>
      <c r="E36" s="25" t="s">
        <v>42</v>
      </c>
      <c r="F36" s="71">
        <f>ROUND((SUM(BH86:BH321)),  2)</f>
        <v>0</v>
      </c>
      <c r="I36" s="72">
        <v>0.15</v>
      </c>
      <c r="J36" s="71">
        <f>0</f>
        <v>0</v>
      </c>
      <c r="L36" s="28"/>
    </row>
    <row r="37" spans="2:12" s="1" customFormat="1" ht="14.45" hidden="1" customHeight="1" x14ac:dyDescent="0.2">
      <c r="B37" s="28"/>
      <c r="E37" s="25" t="s">
        <v>43</v>
      </c>
      <c r="F37" s="71">
        <f>ROUND((SUM(BI86:BI321)),  2)</f>
        <v>0</v>
      </c>
      <c r="I37" s="72">
        <v>0</v>
      </c>
      <c r="J37" s="71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73"/>
      <c r="D39" s="74" t="s">
        <v>44</v>
      </c>
      <c r="E39" s="49"/>
      <c r="F39" s="49"/>
      <c r="G39" s="484" t="s">
        <v>45</v>
      </c>
      <c r="H39" s="76" t="s">
        <v>46</v>
      </c>
      <c r="I39" s="49"/>
      <c r="J39" s="77">
        <f>SUM(J30:J37)</f>
        <v>0</v>
      </c>
      <c r="K39" s="78"/>
      <c r="L39" s="28"/>
    </row>
    <row r="40" spans="2:12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 x14ac:dyDescent="0.2">
      <c r="B45" s="28"/>
      <c r="C45" s="21" t="s">
        <v>75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5" t="s">
        <v>13</v>
      </c>
      <c r="L47" s="28"/>
    </row>
    <row r="48" spans="2:12" s="1" customFormat="1" ht="16.5" customHeight="1" x14ac:dyDescent="0.2">
      <c r="B48" s="28"/>
      <c r="E48" s="669" t="str">
        <f>E7</f>
        <v>Propojení Okružní x Na hroudách</v>
      </c>
      <c r="F48" s="670"/>
      <c r="G48" s="670"/>
      <c r="H48" s="670"/>
      <c r="L48" s="28"/>
    </row>
    <row r="49" spans="2:47" s="1" customFormat="1" ht="12" customHeight="1" x14ac:dyDescent="0.2">
      <c r="B49" s="28"/>
      <c r="C49" s="25" t="s">
        <v>73</v>
      </c>
      <c r="L49" s="28"/>
    </row>
    <row r="50" spans="2:47" s="1" customFormat="1" ht="16.5" customHeight="1" x14ac:dyDescent="0.2">
      <c r="B50" s="28"/>
      <c r="E50" s="638" t="str">
        <f>E9</f>
        <v>SO 310 - Vodovod</v>
      </c>
      <c r="F50" s="668"/>
      <c r="G50" s="668"/>
      <c r="H50" s="668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</row>
    <row r="55" spans="2:47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79" t="s">
        <v>76</v>
      </c>
      <c r="D57" s="73"/>
      <c r="E57" s="73"/>
      <c r="F57" s="73"/>
      <c r="H57" s="73"/>
      <c r="I57" s="73"/>
      <c r="J57" s="80" t="s">
        <v>77</v>
      </c>
      <c r="K57" s="73"/>
      <c r="L57" s="28"/>
    </row>
    <row r="58" spans="2:47" s="1" customFormat="1" ht="10.35" customHeight="1" x14ac:dyDescent="0.2">
      <c r="B58" s="28"/>
      <c r="L58" s="28"/>
    </row>
    <row r="59" spans="2:47" s="1" customFormat="1" ht="22.9" customHeight="1" x14ac:dyDescent="0.2">
      <c r="B59" s="28"/>
      <c r="C59" s="81" t="s">
        <v>53</v>
      </c>
      <c r="J59" s="58">
        <f>J86</f>
        <v>0</v>
      </c>
      <c r="L59" s="28"/>
      <c r="X59" s="121"/>
      <c r="AU59" s="17" t="s">
        <v>78</v>
      </c>
    </row>
    <row r="60" spans="2:47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J87</f>
        <v>0</v>
      </c>
      <c r="L60" s="82"/>
    </row>
    <row r="61" spans="2:47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J88</f>
        <v>0</v>
      </c>
      <c r="L61" s="86"/>
    </row>
    <row r="62" spans="2:47" s="9" customFormat="1" ht="19.899999999999999" customHeight="1" x14ac:dyDescent="0.2">
      <c r="B62" s="86"/>
      <c r="D62" s="87" t="s">
        <v>81</v>
      </c>
      <c r="E62" s="88"/>
      <c r="F62" s="88"/>
      <c r="G62" s="88"/>
      <c r="H62" s="88"/>
      <c r="I62" s="88"/>
      <c r="J62" s="89">
        <f>J195</f>
        <v>0</v>
      </c>
      <c r="L62" s="86"/>
    </row>
    <row r="63" spans="2:47" s="9" customFormat="1" ht="19.899999999999999" customHeight="1" x14ac:dyDescent="0.2">
      <c r="B63" s="86"/>
      <c r="D63" s="87" t="s">
        <v>82</v>
      </c>
      <c r="E63" s="88"/>
      <c r="F63" s="88"/>
      <c r="G63" s="88"/>
      <c r="H63" s="88"/>
      <c r="I63" s="88"/>
      <c r="J63" s="89">
        <f>J216</f>
        <v>0</v>
      </c>
      <c r="L63" s="86"/>
    </row>
    <row r="64" spans="2:47" s="9" customFormat="1" ht="19.899999999999999" customHeight="1" x14ac:dyDescent="0.2">
      <c r="B64" s="86"/>
      <c r="D64" s="87" t="s">
        <v>83</v>
      </c>
      <c r="E64" s="88"/>
      <c r="F64" s="88"/>
      <c r="G64" s="88"/>
      <c r="H64" s="88"/>
      <c r="I64" s="88"/>
      <c r="J64" s="89">
        <f>J314</f>
        <v>0</v>
      </c>
      <c r="L64" s="86"/>
    </row>
    <row r="65" spans="2:12" s="8" customFormat="1" ht="24.95" customHeight="1" x14ac:dyDescent="0.2">
      <c r="B65" s="82"/>
      <c r="D65" s="83" t="s">
        <v>84</v>
      </c>
      <c r="E65" s="84"/>
      <c r="F65" s="84"/>
      <c r="G65" s="84"/>
      <c r="H65" s="84"/>
      <c r="I65" s="84"/>
      <c r="J65" s="85">
        <f>J319</f>
        <v>0</v>
      </c>
      <c r="L65" s="82"/>
    </row>
    <row r="66" spans="2:12" s="9" customFormat="1" ht="19.899999999999999" customHeight="1" x14ac:dyDescent="0.2">
      <c r="B66" s="86"/>
      <c r="D66" s="87" t="s">
        <v>85</v>
      </c>
      <c r="E66" s="88"/>
      <c r="F66" s="88"/>
      <c r="G66" s="88"/>
      <c r="H66" s="88"/>
      <c r="I66" s="88"/>
      <c r="J66" s="89">
        <f>J320</f>
        <v>0</v>
      </c>
      <c r="L66" s="86"/>
    </row>
    <row r="67" spans="2:12" s="1" customFormat="1" ht="21.75" customHeight="1" x14ac:dyDescent="0.2">
      <c r="B67" s="28"/>
      <c r="L67" s="28"/>
    </row>
    <row r="68" spans="2:12" s="1" customFormat="1" ht="6.95" customHeight="1" x14ac:dyDescent="0.2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5" customHeigh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5" customHeight="1" x14ac:dyDescent="0.2">
      <c r="B73" s="28"/>
      <c r="C73" s="21" t="s">
        <v>86</v>
      </c>
      <c r="L73" s="28"/>
    </row>
    <row r="74" spans="2:12" s="1" customFormat="1" ht="6.95" customHeight="1" x14ac:dyDescent="0.2">
      <c r="B74" s="28"/>
      <c r="L74" s="28"/>
    </row>
    <row r="75" spans="2:12" s="1" customFormat="1" ht="12" customHeight="1" x14ac:dyDescent="0.2">
      <c r="B75" s="28"/>
      <c r="C75" s="25" t="s">
        <v>13</v>
      </c>
      <c r="L75" s="28"/>
    </row>
    <row r="76" spans="2:12" s="1" customFormat="1" ht="16.5" customHeight="1" x14ac:dyDescent="0.2">
      <c r="B76" s="28"/>
      <c r="E76" s="669" t="str">
        <f>E7</f>
        <v>Propojení Okružní x Na hroudách</v>
      </c>
      <c r="F76" s="670"/>
      <c r="G76" s="670"/>
      <c r="H76" s="670"/>
      <c r="L76" s="28"/>
    </row>
    <row r="77" spans="2:12" s="1" customFormat="1" ht="12" customHeight="1" x14ac:dyDescent="0.2">
      <c r="B77" s="28"/>
      <c r="C77" s="25" t="s">
        <v>73</v>
      </c>
      <c r="L77" s="28"/>
    </row>
    <row r="78" spans="2:12" s="1" customFormat="1" ht="16.5" customHeight="1" x14ac:dyDescent="0.2">
      <c r="B78" s="28"/>
      <c r="E78" s="638" t="str">
        <f>E9</f>
        <v>SO 310 - Vodovod</v>
      </c>
      <c r="F78" s="668"/>
      <c r="G78" s="668"/>
      <c r="H78" s="668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5" t="s">
        <v>17</v>
      </c>
      <c r="F80" s="23" t="str">
        <f>F12</f>
        <v>Nymburk</v>
      </c>
      <c r="I80" s="25" t="s">
        <v>19</v>
      </c>
      <c r="J80" s="45" t="str">
        <f>IF(J12="","",J12)</f>
        <v>29. 11. 2023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5" t="s">
        <v>21</v>
      </c>
      <c r="F82" s="23" t="str">
        <f>E15</f>
        <v xml:space="preserve"> </v>
      </c>
      <c r="I82" s="25" t="s">
        <v>26</v>
      </c>
      <c r="J82" s="26" t="str">
        <f>E21</f>
        <v>SOLICITE s.r.o.</v>
      </c>
      <c r="L82" s="28"/>
    </row>
    <row r="83" spans="2:65" s="1" customFormat="1" ht="15.2" customHeight="1" x14ac:dyDescent="0.2">
      <c r="B83" s="28"/>
      <c r="C83" s="25" t="s">
        <v>25</v>
      </c>
      <c r="F83" s="23" t="str">
        <f>IF(E18="","",E18)</f>
        <v xml:space="preserve"> </v>
      </c>
      <c r="I83" s="25" t="s">
        <v>31</v>
      </c>
      <c r="J83" s="26" t="str">
        <f>E24</f>
        <v>SOLICITE s.r.o.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90"/>
      <c r="C85" s="91" t="s">
        <v>87</v>
      </c>
      <c r="D85" s="92" t="s">
        <v>52</v>
      </c>
      <c r="E85" s="92" t="s">
        <v>48</v>
      </c>
      <c r="F85" s="92" t="s">
        <v>49</v>
      </c>
      <c r="G85" s="485" t="s">
        <v>88</v>
      </c>
      <c r="H85" s="92" t="s">
        <v>89</v>
      </c>
      <c r="I85" s="92" t="s">
        <v>90</v>
      </c>
      <c r="J85" s="92" t="s">
        <v>77</v>
      </c>
      <c r="K85" s="93" t="s">
        <v>91</v>
      </c>
      <c r="L85" s="90"/>
      <c r="M85" s="51" t="s">
        <v>1</v>
      </c>
      <c r="N85" s="52" t="s">
        <v>38</v>
      </c>
      <c r="O85" s="52" t="s">
        <v>92</v>
      </c>
      <c r="P85" s="52" t="s">
        <v>93</v>
      </c>
      <c r="Q85" s="52" t="s">
        <v>94</v>
      </c>
      <c r="R85" s="52" t="s">
        <v>95</v>
      </c>
      <c r="S85" s="52" t="s">
        <v>96</v>
      </c>
      <c r="T85" s="53" t="s">
        <v>97</v>
      </c>
    </row>
    <row r="86" spans="2:65" s="1" customFormat="1" ht="22.9" customHeight="1" x14ac:dyDescent="0.25">
      <c r="B86" s="28"/>
      <c r="C86" s="56" t="s">
        <v>98</v>
      </c>
      <c r="J86" s="94">
        <f>BK86</f>
        <v>0</v>
      </c>
      <c r="L86" s="28"/>
      <c r="M86" s="54"/>
      <c r="N86" s="46"/>
      <c r="O86" s="46"/>
      <c r="P86" s="95">
        <f>P87+P319</f>
        <v>1185.8659952999999</v>
      </c>
      <c r="Q86" s="46"/>
      <c r="R86" s="95">
        <f>R87+R319</f>
        <v>4.365950369400001</v>
      </c>
      <c r="S86" s="46"/>
      <c r="T86" s="96">
        <f>T87+T319</f>
        <v>0</v>
      </c>
      <c r="V86" s="121"/>
      <c r="AT86" s="17" t="s">
        <v>54</v>
      </c>
      <c r="AU86" s="17" t="s">
        <v>78</v>
      </c>
      <c r="BK86" s="97">
        <f>BK87+BK319</f>
        <v>0</v>
      </c>
    </row>
    <row r="87" spans="2:65" s="11" customFormat="1" ht="25.9" customHeight="1" x14ac:dyDescent="0.2">
      <c r="B87" s="98"/>
      <c r="D87" s="99" t="s">
        <v>54</v>
      </c>
      <c r="E87" s="100" t="s">
        <v>99</v>
      </c>
      <c r="F87" s="100" t="s">
        <v>100</v>
      </c>
      <c r="J87" s="101">
        <f>BK87</f>
        <v>0</v>
      </c>
      <c r="L87" s="98"/>
      <c r="M87" s="102"/>
      <c r="P87" s="103">
        <f>P88+P195+P216+P314</f>
        <v>1185.8659952999999</v>
      </c>
      <c r="R87" s="103">
        <f>R88+R195+R216+R314</f>
        <v>4.365950369400001</v>
      </c>
      <c r="T87" s="104">
        <f>T88+T195+T216+T314</f>
        <v>0</v>
      </c>
      <c r="AR87" s="99" t="s">
        <v>63</v>
      </c>
      <c r="AT87" s="105" t="s">
        <v>54</v>
      </c>
      <c r="AU87" s="105" t="s">
        <v>55</v>
      </c>
      <c r="AY87" s="99" t="s">
        <v>101</v>
      </c>
      <c r="BK87" s="106">
        <f>BK88+BK195+BK216+BK314</f>
        <v>0</v>
      </c>
    </row>
    <row r="88" spans="2:65" s="11" customFormat="1" ht="22.9" customHeight="1" x14ac:dyDescent="0.2">
      <c r="B88" s="98"/>
      <c r="D88" s="99" t="s">
        <v>54</v>
      </c>
      <c r="E88" s="107" t="s">
        <v>63</v>
      </c>
      <c r="F88" s="107" t="s">
        <v>102</v>
      </c>
      <c r="J88" s="108">
        <f>BK88</f>
        <v>0</v>
      </c>
      <c r="L88" s="98"/>
      <c r="M88" s="102"/>
      <c r="P88" s="103">
        <f>SUM(P89:P193)</f>
        <v>730.6822076599999</v>
      </c>
      <c r="R88" s="103">
        <f>SUM(R89:R193)</f>
        <v>0.15744039360000001</v>
      </c>
      <c r="T88" s="104">
        <f>SUM(T89:T193)</f>
        <v>0</v>
      </c>
      <c r="V88" s="411"/>
      <c r="AR88" s="99" t="s">
        <v>63</v>
      </c>
      <c r="AT88" s="105" t="s">
        <v>54</v>
      </c>
      <c r="AU88" s="105" t="s">
        <v>63</v>
      </c>
      <c r="AY88" s="99" t="s">
        <v>101</v>
      </c>
      <c r="BK88" s="106">
        <f>SUM(BK89:BK193)</f>
        <v>0</v>
      </c>
    </row>
    <row r="89" spans="2:65" s="1" customFormat="1" ht="55.5" customHeight="1" x14ac:dyDescent="0.2">
      <c r="B89" s="109"/>
      <c r="C89" s="110" t="s">
        <v>108</v>
      </c>
      <c r="D89" s="110" t="s">
        <v>103</v>
      </c>
      <c r="E89" s="111" t="s">
        <v>128</v>
      </c>
      <c r="F89" s="112" t="s">
        <v>129</v>
      </c>
      <c r="G89" s="113" t="s">
        <v>130</v>
      </c>
      <c r="H89" s="114">
        <f>141.449*0.82</f>
        <v>115.98818</v>
      </c>
      <c r="I89" s="115">
        <v>0</v>
      </c>
      <c r="J89" s="115">
        <f>ROUND(I89*H89,2)</f>
        <v>0</v>
      </c>
      <c r="K89" s="112" t="s">
        <v>107</v>
      </c>
      <c r="L89" s="28"/>
      <c r="M89" s="116" t="s">
        <v>1</v>
      </c>
      <c r="N89" s="117" t="s">
        <v>39</v>
      </c>
      <c r="O89" s="118">
        <v>0.23400000000000001</v>
      </c>
      <c r="P89" s="118">
        <f>O89*H89</f>
        <v>27.14123412</v>
      </c>
      <c r="Q89" s="118">
        <v>0</v>
      </c>
      <c r="R89" s="118">
        <f>Q89*H89</f>
        <v>0</v>
      </c>
      <c r="S89" s="118">
        <v>0</v>
      </c>
      <c r="T89" s="119">
        <f>S89*H89</f>
        <v>0</v>
      </c>
      <c r="W89" s="121"/>
      <c r="AA89" s="11"/>
      <c r="AB89" s="410"/>
      <c r="AR89" s="120" t="s">
        <v>108</v>
      </c>
      <c r="AT89" s="120" t="s">
        <v>103</v>
      </c>
      <c r="AU89" s="120" t="s">
        <v>65</v>
      </c>
      <c r="AY89" s="17" t="s">
        <v>101</v>
      </c>
      <c r="BE89" s="121">
        <f>IF(N89="základní",J89,0)</f>
        <v>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7" t="s">
        <v>63</v>
      </c>
      <c r="BK89" s="121">
        <f>ROUND(I89*H89,2)</f>
        <v>0</v>
      </c>
      <c r="BL89" s="17" t="s">
        <v>108</v>
      </c>
      <c r="BM89" s="120" t="s">
        <v>131</v>
      </c>
    </row>
    <row r="90" spans="2:65" s="1" customFormat="1" x14ac:dyDescent="0.2">
      <c r="B90" s="28"/>
      <c r="D90" s="122" t="s">
        <v>110</v>
      </c>
      <c r="F90" s="123" t="s">
        <v>132</v>
      </c>
      <c r="L90" s="28"/>
      <c r="M90" s="124"/>
      <c r="T90" s="48"/>
      <c r="AT90" s="17" t="s">
        <v>110</v>
      </c>
      <c r="AU90" s="17" t="s">
        <v>65</v>
      </c>
    </row>
    <row r="91" spans="2:65" s="12" customFormat="1" ht="22.5" x14ac:dyDescent="0.2">
      <c r="B91" s="125"/>
      <c r="D91" s="126" t="s">
        <v>112</v>
      </c>
      <c r="E91" s="127" t="s">
        <v>1</v>
      </c>
      <c r="F91" s="128" t="s">
        <v>133</v>
      </c>
      <c r="H91" s="127" t="s">
        <v>1</v>
      </c>
      <c r="L91" s="125"/>
      <c r="M91" s="129"/>
      <c r="T91" s="130"/>
      <c r="AT91" s="127" t="s">
        <v>112</v>
      </c>
      <c r="AU91" s="127" t="s">
        <v>65</v>
      </c>
      <c r="AV91" s="12" t="s">
        <v>63</v>
      </c>
      <c r="AW91" s="12" t="s">
        <v>30</v>
      </c>
      <c r="AX91" s="12" t="s">
        <v>55</v>
      </c>
      <c r="AY91" s="127" t="s">
        <v>101</v>
      </c>
    </row>
    <row r="92" spans="2:65" s="13" customFormat="1" x14ac:dyDescent="0.2">
      <c r="B92" s="131"/>
      <c r="D92" s="126" t="s">
        <v>112</v>
      </c>
      <c r="E92" s="132" t="s">
        <v>1</v>
      </c>
      <c r="F92" s="133" t="s">
        <v>134</v>
      </c>
      <c r="H92" s="134">
        <v>129.02099999999999</v>
      </c>
      <c r="L92" s="131"/>
      <c r="M92" s="135"/>
      <c r="T92" s="136"/>
      <c r="AT92" s="132" t="s">
        <v>112</v>
      </c>
      <c r="AU92" s="132" t="s">
        <v>65</v>
      </c>
      <c r="AV92" s="13" t="s">
        <v>65</v>
      </c>
      <c r="AW92" s="13" t="s">
        <v>30</v>
      </c>
      <c r="AX92" s="13" t="s">
        <v>55</v>
      </c>
      <c r="AY92" s="132" t="s">
        <v>101</v>
      </c>
    </row>
    <row r="93" spans="2:65" s="13" customFormat="1" x14ac:dyDescent="0.2">
      <c r="B93" s="131"/>
      <c r="D93" s="126" t="s">
        <v>112</v>
      </c>
      <c r="E93" s="132" t="s">
        <v>1</v>
      </c>
      <c r="F93" s="133" t="s">
        <v>135</v>
      </c>
      <c r="H93" s="134">
        <v>0.88800000000000001</v>
      </c>
      <c r="L93" s="131"/>
      <c r="M93" s="135"/>
      <c r="T93" s="136"/>
      <c r="AT93" s="132" t="s">
        <v>112</v>
      </c>
      <c r="AU93" s="132" t="s">
        <v>65</v>
      </c>
      <c r="AV93" s="13" t="s">
        <v>65</v>
      </c>
      <c r="AW93" s="13" t="s">
        <v>30</v>
      </c>
      <c r="AX93" s="13" t="s">
        <v>55</v>
      </c>
      <c r="AY93" s="132" t="s">
        <v>101</v>
      </c>
    </row>
    <row r="94" spans="2:65" s="13" customFormat="1" x14ac:dyDescent="0.2">
      <c r="B94" s="131"/>
      <c r="D94" s="126" t="s">
        <v>112</v>
      </c>
      <c r="E94" s="132" t="s">
        <v>1</v>
      </c>
      <c r="F94" s="133" t="s">
        <v>136</v>
      </c>
      <c r="H94" s="134">
        <v>4.1559999999999997</v>
      </c>
      <c r="L94" s="131"/>
      <c r="M94" s="135"/>
      <c r="T94" s="136"/>
      <c r="AT94" s="132" t="s">
        <v>112</v>
      </c>
      <c r="AU94" s="132" t="s">
        <v>65</v>
      </c>
      <c r="AV94" s="13" t="s">
        <v>65</v>
      </c>
      <c r="AW94" s="13" t="s">
        <v>30</v>
      </c>
      <c r="AX94" s="13" t="s">
        <v>55</v>
      </c>
      <c r="AY94" s="132" t="s">
        <v>101</v>
      </c>
    </row>
    <row r="95" spans="2:65" s="13" customFormat="1" x14ac:dyDescent="0.2">
      <c r="B95" s="131"/>
      <c r="D95" s="126" t="s">
        <v>112</v>
      </c>
      <c r="E95" s="132" t="s">
        <v>1</v>
      </c>
      <c r="F95" s="133" t="s">
        <v>137</v>
      </c>
      <c r="H95" s="134">
        <v>0.496</v>
      </c>
      <c r="L95" s="131"/>
      <c r="M95" s="135"/>
      <c r="T95" s="136"/>
      <c r="AT95" s="132" t="s">
        <v>112</v>
      </c>
      <c r="AU95" s="132" t="s">
        <v>65</v>
      </c>
      <c r="AV95" s="13" t="s">
        <v>65</v>
      </c>
      <c r="AW95" s="13" t="s">
        <v>30</v>
      </c>
      <c r="AX95" s="13" t="s">
        <v>55</v>
      </c>
      <c r="AY95" s="132" t="s">
        <v>101</v>
      </c>
    </row>
    <row r="96" spans="2:65" s="13" customFormat="1" x14ac:dyDescent="0.2">
      <c r="B96" s="131"/>
      <c r="D96" s="126" t="s">
        <v>112</v>
      </c>
      <c r="E96" s="132" t="s">
        <v>1</v>
      </c>
      <c r="F96" s="133" t="s">
        <v>138</v>
      </c>
      <c r="H96" s="134">
        <v>4.74</v>
      </c>
      <c r="L96" s="131"/>
      <c r="M96" s="135"/>
      <c r="T96" s="136"/>
      <c r="AT96" s="132" t="s">
        <v>112</v>
      </c>
      <c r="AU96" s="132" t="s">
        <v>65</v>
      </c>
      <c r="AV96" s="13" t="s">
        <v>65</v>
      </c>
      <c r="AW96" s="13" t="s">
        <v>30</v>
      </c>
      <c r="AX96" s="13" t="s">
        <v>55</v>
      </c>
      <c r="AY96" s="132" t="s">
        <v>101</v>
      </c>
    </row>
    <row r="97" spans="2:65" s="13" customFormat="1" x14ac:dyDescent="0.2">
      <c r="B97" s="131"/>
      <c r="D97" s="126" t="s">
        <v>112</v>
      </c>
      <c r="E97" s="132" t="s">
        <v>1</v>
      </c>
      <c r="F97" s="133" t="s">
        <v>139</v>
      </c>
      <c r="H97" s="134">
        <v>0.56000000000000005</v>
      </c>
      <c r="L97" s="131"/>
      <c r="M97" s="135"/>
      <c r="T97" s="136"/>
      <c r="AT97" s="132" t="s">
        <v>112</v>
      </c>
      <c r="AU97" s="132" t="s">
        <v>65</v>
      </c>
      <c r="AV97" s="13" t="s">
        <v>65</v>
      </c>
      <c r="AW97" s="13" t="s">
        <v>30</v>
      </c>
      <c r="AX97" s="13" t="s">
        <v>55</v>
      </c>
      <c r="AY97" s="132" t="s">
        <v>101</v>
      </c>
    </row>
    <row r="98" spans="2:65" s="13" customFormat="1" x14ac:dyDescent="0.2">
      <c r="B98" s="131"/>
      <c r="D98" s="126" t="s">
        <v>112</v>
      </c>
      <c r="E98" s="132" t="s">
        <v>1</v>
      </c>
      <c r="F98" s="133" t="s">
        <v>140</v>
      </c>
      <c r="H98" s="134">
        <v>1.5880000000000001</v>
      </c>
      <c r="L98" s="131"/>
      <c r="M98" s="135"/>
      <c r="T98" s="136"/>
      <c r="AT98" s="132" t="s">
        <v>112</v>
      </c>
      <c r="AU98" s="132" t="s">
        <v>65</v>
      </c>
      <c r="AV98" s="13" t="s">
        <v>65</v>
      </c>
      <c r="AW98" s="13" t="s">
        <v>30</v>
      </c>
      <c r="AX98" s="13" t="s">
        <v>55</v>
      </c>
      <c r="AY98" s="132" t="s">
        <v>101</v>
      </c>
    </row>
    <row r="99" spans="2:65" s="14" customFormat="1" x14ac:dyDescent="0.2">
      <c r="B99" s="137"/>
      <c r="D99" s="126" t="s">
        <v>112</v>
      </c>
      <c r="E99" s="138" t="s">
        <v>1</v>
      </c>
      <c r="F99" s="139" t="s">
        <v>127</v>
      </c>
      <c r="H99" s="140">
        <v>141.44900000000001</v>
      </c>
      <c r="L99" s="137"/>
      <c r="M99" s="141"/>
      <c r="T99" s="142"/>
      <c r="AT99" s="138" t="s">
        <v>112</v>
      </c>
      <c r="AU99" s="138" t="s">
        <v>65</v>
      </c>
      <c r="AV99" s="14" t="s">
        <v>108</v>
      </c>
      <c r="AW99" s="14" t="s">
        <v>30</v>
      </c>
      <c r="AX99" s="14" t="s">
        <v>63</v>
      </c>
      <c r="AY99" s="138" t="s">
        <v>101</v>
      </c>
    </row>
    <row r="100" spans="2:65" s="14" customFormat="1" x14ac:dyDescent="0.2">
      <c r="B100" s="137"/>
      <c r="D100" s="126"/>
      <c r="E100" s="138"/>
      <c r="F100" s="139" t="s">
        <v>1839</v>
      </c>
      <c r="H100" s="140">
        <f>H99*0.82</f>
        <v>115.98818</v>
      </c>
      <c r="L100" s="137"/>
      <c r="M100" s="141"/>
      <c r="T100" s="142"/>
      <c r="AT100" s="138"/>
      <c r="AU100" s="138"/>
      <c r="AY100" s="138"/>
    </row>
    <row r="101" spans="2:65" s="1" customFormat="1" ht="55.5" customHeight="1" x14ac:dyDescent="0.2">
      <c r="B101" s="109"/>
      <c r="C101" s="110" t="s">
        <v>141</v>
      </c>
      <c r="D101" s="110" t="s">
        <v>103</v>
      </c>
      <c r="E101" s="111" t="s">
        <v>142</v>
      </c>
      <c r="F101" s="112" t="s">
        <v>143</v>
      </c>
      <c r="G101" s="113" t="s">
        <v>130</v>
      </c>
      <c r="H101" s="114">
        <f>304.117*0.82</f>
        <v>249.37594000000001</v>
      </c>
      <c r="I101" s="115">
        <v>0</v>
      </c>
      <c r="J101" s="115">
        <f>ROUND(I101*H101,2)</f>
        <v>0</v>
      </c>
      <c r="K101" s="112" t="s">
        <v>107</v>
      </c>
      <c r="L101" s="28"/>
      <c r="M101" s="116" t="s">
        <v>1</v>
      </c>
      <c r="N101" s="117" t="s">
        <v>39</v>
      </c>
      <c r="O101" s="118">
        <v>0.36199999999999999</v>
      </c>
      <c r="P101" s="118">
        <f>O101*H101</f>
        <v>90.274090279999996</v>
      </c>
      <c r="Q101" s="118">
        <v>0</v>
      </c>
      <c r="R101" s="118">
        <f>Q101*H101</f>
        <v>0</v>
      </c>
      <c r="S101" s="118">
        <v>0</v>
      </c>
      <c r="T101" s="119">
        <f>S101*H101</f>
        <v>0</v>
      </c>
      <c r="AR101" s="120" t="s">
        <v>108</v>
      </c>
      <c r="AT101" s="120" t="s">
        <v>103</v>
      </c>
      <c r="AU101" s="120" t="s">
        <v>65</v>
      </c>
      <c r="AY101" s="17" t="s">
        <v>101</v>
      </c>
      <c r="BE101" s="121">
        <f>IF(N101="základní",J101,0)</f>
        <v>0</v>
      </c>
      <c r="BF101" s="121">
        <f>IF(N101="snížená",J101,0)</f>
        <v>0</v>
      </c>
      <c r="BG101" s="121">
        <f>IF(N101="zákl. přenesená",J101,0)</f>
        <v>0</v>
      </c>
      <c r="BH101" s="121">
        <f>IF(N101="sníž. přenesená",J101,0)</f>
        <v>0</v>
      </c>
      <c r="BI101" s="121">
        <f>IF(N101="nulová",J101,0)</f>
        <v>0</v>
      </c>
      <c r="BJ101" s="17" t="s">
        <v>63</v>
      </c>
      <c r="BK101" s="121">
        <f>ROUND(I101*H101,2)</f>
        <v>0</v>
      </c>
      <c r="BL101" s="17" t="s">
        <v>108</v>
      </c>
      <c r="BM101" s="120" t="s">
        <v>144</v>
      </c>
    </row>
    <row r="102" spans="2:65" s="1" customFormat="1" x14ac:dyDescent="0.2">
      <c r="B102" s="28"/>
      <c r="D102" s="122" t="s">
        <v>110</v>
      </c>
      <c r="F102" s="123" t="s">
        <v>145</v>
      </c>
      <c r="L102" s="28"/>
      <c r="M102" s="124"/>
      <c r="T102" s="48"/>
      <c r="AT102" s="17" t="s">
        <v>110</v>
      </c>
      <c r="AU102" s="17" t="s">
        <v>65</v>
      </c>
    </row>
    <row r="103" spans="2:65" s="12" customFormat="1" ht="22.5" x14ac:dyDescent="0.2">
      <c r="B103" s="125"/>
      <c r="D103" s="126" t="s">
        <v>112</v>
      </c>
      <c r="E103" s="127" t="s">
        <v>1</v>
      </c>
      <c r="F103" s="128" t="s">
        <v>133</v>
      </c>
      <c r="H103" s="127" t="s">
        <v>1</v>
      </c>
      <c r="L103" s="125"/>
      <c r="M103" s="129"/>
      <c r="T103" s="130"/>
      <c r="AT103" s="127" t="s">
        <v>112</v>
      </c>
      <c r="AU103" s="127" t="s">
        <v>65</v>
      </c>
      <c r="AV103" s="12" t="s">
        <v>63</v>
      </c>
      <c r="AW103" s="12" t="s">
        <v>30</v>
      </c>
      <c r="AX103" s="12" t="s">
        <v>55</v>
      </c>
      <c r="AY103" s="127" t="s">
        <v>101</v>
      </c>
    </row>
    <row r="104" spans="2:65" s="13" customFormat="1" x14ac:dyDescent="0.2">
      <c r="B104" s="131"/>
      <c r="D104" s="126" t="s">
        <v>112</v>
      </c>
      <c r="E104" s="132" t="s">
        <v>1</v>
      </c>
      <c r="F104" s="133" t="s">
        <v>146</v>
      </c>
      <c r="H104" s="134">
        <v>277.39499999999998</v>
      </c>
      <c r="L104" s="131"/>
      <c r="M104" s="135"/>
      <c r="T104" s="136"/>
      <c r="AT104" s="132" t="s">
        <v>112</v>
      </c>
      <c r="AU104" s="132" t="s">
        <v>65</v>
      </c>
      <c r="AV104" s="13" t="s">
        <v>65</v>
      </c>
      <c r="AW104" s="13" t="s">
        <v>30</v>
      </c>
      <c r="AX104" s="13" t="s">
        <v>55</v>
      </c>
      <c r="AY104" s="132" t="s">
        <v>101</v>
      </c>
    </row>
    <row r="105" spans="2:65" s="13" customFormat="1" x14ac:dyDescent="0.2">
      <c r="B105" s="131"/>
      <c r="D105" s="126" t="s">
        <v>112</v>
      </c>
      <c r="E105" s="132" t="s">
        <v>1</v>
      </c>
      <c r="F105" s="133" t="s">
        <v>147</v>
      </c>
      <c r="H105" s="134">
        <v>1.909</v>
      </c>
      <c r="L105" s="131"/>
      <c r="M105" s="135"/>
      <c r="T105" s="136"/>
      <c r="AT105" s="132" t="s">
        <v>112</v>
      </c>
      <c r="AU105" s="132" t="s">
        <v>65</v>
      </c>
      <c r="AV105" s="13" t="s">
        <v>65</v>
      </c>
      <c r="AW105" s="13" t="s">
        <v>30</v>
      </c>
      <c r="AX105" s="13" t="s">
        <v>55</v>
      </c>
      <c r="AY105" s="132" t="s">
        <v>101</v>
      </c>
    </row>
    <row r="106" spans="2:65" s="13" customFormat="1" x14ac:dyDescent="0.2">
      <c r="B106" s="131"/>
      <c r="D106" s="126" t="s">
        <v>112</v>
      </c>
      <c r="E106" s="132" t="s">
        <v>1</v>
      </c>
      <c r="F106" s="133" t="s">
        <v>148</v>
      </c>
      <c r="H106" s="134">
        <v>8.9359999999999999</v>
      </c>
      <c r="L106" s="131"/>
      <c r="M106" s="135"/>
      <c r="T106" s="136"/>
      <c r="AT106" s="132" t="s">
        <v>112</v>
      </c>
      <c r="AU106" s="132" t="s">
        <v>65</v>
      </c>
      <c r="AV106" s="13" t="s">
        <v>65</v>
      </c>
      <c r="AW106" s="13" t="s">
        <v>30</v>
      </c>
      <c r="AX106" s="13" t="s">
        <v>55</v>
      </c>
      <c r="AY106" s="132" t="s">
        <v>101</v>
      </c>
    </row>
    <row r="107" spans="2:65" s="13" customFormat="1" x14ac:dyDescent="0.2">
      <c r="B107" s="131"/>
      <c r="D107" s="126" t="s">
        <v>112</v>
      </c>
      <c r="E107" s="132" t="s">
        <v>1</v>
      </c>
      <c r="F107" s="133" t="s">
        <v>149</v>
      </c>
      <c r="H107" s="134">
        <v>1.0660000000000001</v>
      </c>
      <c r="L107" s="131"/>
      <c r="M107" s="135"/>
      <c r="T107" s="136"/>
      <c r="AT107" s="132" t="s">
        <v>112</v>
      </c>
      <c r="AU107" s="132" t="s">
        <v>65</v>
      </c>
      <c r="AV107" s="13" t="s">
        <v>65</v>
      </c>
      <c r="AW107" s="13" t="s">
        <v>30</v>
      </c>
      <c r="AX107" s="13" t="s">
        <v>55</v>
      </c>
      <c r="AY107" s="132" t="s">
        <v>101</v>
      </c>
    </row>
    <row r="108" spans="2:65" s="13" customFormat="1" x14ac:dyDescent="0.2">
      <c r="B108" s="131"/>
      <c r="D108" s="126" t="s">
        <v>112</v>
      </c>
      <c r="E108" s="132" t="s">
        <v>1</v>
      </c>
      <c r="F108" s="133" t="s">
        <v>150</v>
      </c>
      <c r="H108" s="134">
        <v>10.192</v>
      </c>
      <c r="L108" s="131"/>
      <c r="M108" s="135"/>
      <c r="T108" s="136"/>
      <c r="AT108" s="132" t="s">
        <v>112</v>
      </c>
      <c r="AU108" s="132" t="s">
        <v>65</v>
      </c>
      <c r="AV108" s="13" t="s">
        <v>65</v>
      </c>
      <c r="AW108" s="13" t="s">
        <v>30</v>
      </c>
      <c r="AX108" s="13" t="s">
        <v>55</v>
      </c>
      <c r="AY108" s="132" t="s">
        <v>101</v>
      </c>
    </row>
    <row r="109" spans="2:65" s="13" customFormat="1" x14ac:dyDescent="0.2">
      <c r="B109" s="131"/>
      <c r="D109" s="126" t="s">
        <v>112</v>
      </c>
      <c r="E109" s="132" t="s">
        <v>1</v>
      </c>
      <c r="F109" s="133" t="s">
        <v>151</v>
      </c>
      <c r="H109" s="134">
        <v>1.204</v>
      </c>
      <c r="L109" s="131"/>
      <c r="M109" s="135"/>
      <c r="T109" s="136"/>
      <c r="AT109" s="132" t="s">
        <v>112</v>
      </c>
      <c r="AU109" s="132" t="s">
        <v>65</v>
      </c>
      <c r="AV109" s="13" t="s">
        <v>65</v>
      </c>
      <c r="AW109" s="13" t="s">
        <v>30</v>
      </c>
      <c r="AX109" s="13" t="s">
        <v>55</v>
      </c>
      <c r="AY109" s="132" t="s">
        <v>101</v>
      </c>
    </row>
    <row r="110" spans="2:65" s="13" customFormat="1" x14ac:dyDescent="0.2">
      <c r="B110" s="131"/>
      <c r="D110" s="126" t="s">
        <v>112</v>
      </c>
      <c r="E110" s="132" t="s">
        <v>1</v>
      </c>
      <c r="F110" s="133" t="s">
        <v>152</v>
      </c>
      <c r="H110" s="134">
        <v>3.415</v>
      </c>
      <c r="L110" s="131"/>
      <c r="M110" s="135"/>
      <c r="T110" s="136"/>
      <c r="AT110" s="132" t="s">
        <v>112</v>
      </c>
      <c r="AU110" s="132" t="s">
        <v>65</v>
      </c>
      <c r="AV110" s="13" t="s">
        <v>65</v>
      </c>
      <c r="AW110" s="13" t="s">
        <v>30</v>
      </c>
      <c r="AX110" s="13" t="s">
        <v>55</v>
      </c>
      <c r="AY110" s="132" t="s">
        <v>101</v>
      </c>
    </row>
    <row r="111" spans="2:65" s="14" customFormat="1" x14ac:dyDescent="0.2">
      <c r="B111" s="137"/>
      <c r="D111" s="126" t="s">
        <v>112</v>
      </c>
      <c r="E111" s="138" t="s">
        <v>1</v>
      </c>
      <c r="F111" s="139" t="s">
        <v>127</v>
      </c>
      <c r="H111" s="140">
        <v>304.11700000000002</v>
      </c>
      <c r="L111" s="137"/>
      <c r="M111" s="141"/>
      <c r="T111" s="142"/>
      <c r="AT111" s="138" t="s">
        <v>112</v>
      </c>
      <c r="AU111" s="138" t="s">
        <v>65</v>
      </c>
      <c r="AV111" s="14" t="s">
        <v>108</v>
      </c>
      <c r="AW111" s="14" t="s">
        <v>30</v>
      </c>
      <c r="AX111" s="14" t="s">
        <v>63</v>
      </c>
      <c r="AY111" s="138" t="s">
        <v>101</v>
      </c>
    </row>
    <row r="112" spans="2:65" s="14" customFormat="1" x14ac:dyDescent="0.2">
      <c r="B112" s="137"/>
      <c r="D112" s="126"/>
      <c r="E112" s="138"/>
      <c r="F112" s="139" t="s">
        <v>1839</v>
      </c>
      <c r="H112" s="140">
        <f>H111 *0.82</f>
        <v>249.37594000000001</v>
      </c>
      <c r="L112" s="137"/>
      <c r="M112" s="141"/>
      <c r="T112" s="142"/>
      <c r="AT112" s="138"/>
      <c r="AU112" s="138"/>
      <c r="AY112" s="138"/>
    </row>
    <row r="113" spans="2:65" s="1" customFormat="1" ht="55.5" customHeight="1" x14ac:dyDescent="0.2">
      <c r="B113" s="109"/>
      <c r="C113" s="110" t="s">
        <v>153</v>
      </c>
      <c r="D113" s="110" t="s">
        <v>103</v>
      </c>
      <c r="E113" s="111" t="s">
        <v>154</v>
      </c>
      <c r="F113" s="112" t="s">
        <v>155</v>
      </c>
      <c r="G113" s="113" t="s">
        <v>130</v>
      </c>
      <c r="H113" s="114">
        <f>261.683 *0.82</f>
        <v>214.58005999999997</v>
      </c>
      <c r="I113" s="115">
        <v>0</v>
      </c>
      <c r="J113" s="115">
        <f>ROUND(I113*H113,2)</f>
        <v>0</v>
      </c>
      <c r="K113" s="112" t="s">
        <v>107</v>
      </c>
      <c r="L113" s="28"/>
      <c r="M113" s="116" t="s">
        <v>1</v>
      </c>
      <c r="N113" s="117" t="s">
        <v>39</v>
      </c>
      <c r="O113" s="118">
        <v>0.505</v>
      </c>
      <c r="P113" s="118">
        <f>O113*H113</f>
        <v>108.36293029999999</v>
      </c>
      <c r="Q113" s="118">
        <v>0</v>
      </c>
      <c r="R113" s="118">
        <f>Q113*H113</f>
        <v>0</v>
      </c>
      <c r="S113" s="118">
        <v>0</v>
      </c>
      <c r="T113" s="119">
        <f>S113*H113</f>
        <v>0</v>
      </c>
      <c r="AR113" s="120" t="s">
        <v>108</v>
      </c>
      <c r="AT113" s="120" t="s">
        <v>103</v>
      </c>
      <c r="AU113" s="120" t="s">
        <v>65</v>
      </c>
      <c r="AY113" s="17" t="s">
        <v>101</v>
      </c>
      <c r="BE113" s="121">
        <f>IF(N113="základní",J113,0)</f>
        <v>0</v>
      </c>
      <c r="BF113" s="121">
        <f>IF(N113="snížená",J113,0)</f>
        <v>0</v>
      </c>
      <c r="BG113" s="121">
        <f>IF(N113="zákl. přenesená",J113,0)</f>
        <v>0</v>
      </c>
      <c r="BH113" s="121">
        <f>IF(N113="sníž. přenesená",J113,0)</f>
        <v>0</v>
      </c>
      <c r="BI113" s="121">
        <f>IF(N113="nulová",J113,0)</f>
        <v>0</v>
      </c>
      <c r="BJ113" s="17" t="s">
        <v>63</v>
      </c>
      <c r="BK113" s="121">
        <f>ROUND(I113*H113,2)</f>
        <v>0</v>
      </c>
      <c r="BL113" s="17" t="s">
        <v>108</v>
      </c>
      <c r="BM113" s="120" t="s">
        <v>156</v>
      </c>
    </row>
    <row r="114" spans="2:65" s="1" customFormat="1" x14ac:dyDescent="0.2">
      <c r="B114" s="28"/>
      <c r="D114" s="122" t="s">
        <v>110</v>
      </c>
      <c r="F114" s="123" t="s">
        <v>157</v>
      </c>
      <c r="L114" s="28"/>
      <c r="M114" s="124"/>
      <c r="T114" s="48"/>
      <c r="AT114" s="17" t="s">
        <v>110</v>
      </c>
      <c r="AU114" s="17" t="s">
        <v>65</v>
      </c>
    </row>
    <row r="115" spans="2:65" s="12" customFormat="1" ht="22.5" x14ac:dyDescent="0.2">
      <c r="B115" s="125"/>
      <c r="D115" s="126" t="s">
        <v>112</v>
      </c>
      <c r="E115" s="127" t="s">
        <v>1</v>
      </c>
      <c r="F115" s="128" t="s">
        <v>133</v>
      </c>
      <c r="H115" s="127" t="s">
        <v>1</v>
      </c>
      <c r="L115" s="125"/>
      <c r="M115" s="129"/>
      <c r="T115" s="130"/>
      <c r="AT115" s="127" t="s">
        <v>112</v>
      </c>
      <c r="AU115" s="127" t="s">
        <v>65</v>
      </c>
      <c r="AV115" s="12" t="s">
        <v>63</v>
      </c>
      <c r="AW115" s="12" t="s">
        <v>30</v>
      </c>
      <c r="AX115" s="12" t="s">
        <v>55</v>
      </c>
      <c r="AY115" s="127" t="s">
        <v>101</v>
      </c>
    </row>
    <row r="116" spans="2:65" s="13" customFormat="1" x14ac:dyDescent="0.2">
      <c r="B116" s="131"/>
      <c r="D116" s="126" t="s">
        <v>112</v>
      </c>
      <c r="E116" s="132" t="s">
        <v>1</v>
      </c>
      <c r="F116" s="133" t="s">
        <v>158</v>
      </c>
      <c r="H116" s="134">
        <v>238.68899999999999</v>
      </c>
      <c r="L116" s="131"/>
      <c r="M116" s="135"/>
      <c r="T116" s="136"/>
      <c r="AT116" s="132" t="s">
        <v>112</v>
      </c>
      <c r="AU116" s="132" t="s">
        <v>65</v>
      </c>
      <c r="AV116" s="13" t="s">
        <v>65</v>
      </c>
      <c r="AW116" s="13" t="s">
        <v>30</v>
      </c>
      <c r="AX116" s="13" t="s">
        <v>55</v>
      </c>
      <c r="AY116" s="132" t="s">
        <v>101</v>
      </c>
    </row>
    <row r="117" spans="2:65" s="13" customFormat="1" x14ac:dyDescent="0.2">
      <c r="B117" s="131"/>
      <c r="D117" s="126" t="s">
        <v>112</v>
      </c>
      <c r="E117" s="132" t="s">
        <v>1</v>
      </c>
      <c r="F117" s="133" t="s">
        <v>159</v>
      </c>
      <c r="H117" s="134">
        <v>1.643</v>
      </c>
      <c r="L117" s="131"/>
      <c r="M117" s="135"/>
      <c r="T117" s="136"/>
      <c r="AT117" s="132" t="s">
        <v>112</v>
      </c>
      <c r="AU117" s="132" t="s">
        <v>65</v>
      </c>
      <c r="AV117" s="13" t="s">
        <v>65</v>
      </c>
      <c r="AW117" s="13" t="s">
        <v>30</v>
      </c>
      <c r="AX117" s="13" t="s">
        <v>55</v>
      </c>
      <c r="AY117" s="132" t="s">
        <v>101</v>
      </c>
    </row>
    <row r="118" spans="2:65" s="13" customFormat="1" x14ac:dyDescent="0.2">
      <c r="B118" s="131"/>
      <c r="D118" s="126" t="s">
        <v>112</v>
      </c>
      <c r="E118" s="132" t="s">
        <v>1</v>
      </c>
      <c r="F118" s="133" t="s">
        <v>160</v>
      </c>
      <c r="H118" s="134">
        <v>7.6890000000000001</v>
      </c>
      <c r="L118" s="131"/>
      <c r="M118" s="135"/>
      <c r="T118" s="136"/>
      <c r="AT118" s="132" t="s">
        <v>112</v>
      </c>
      <c r="AU118" s="132" t="s">
        <v>65</v>
      </c>
      <c r="AV118" s="13" t="s">
        <v>65</v>
      </c>
      <c r="AW118" s="13" t="s">
        <v>30</v>
      </c>
      <c r="AX118" s="13" t="s">
        <v>55</v>
      </c>
      <c r="AY118" s="132" t="s">
        <v>101</v>
      </c>
    </row>
    <row r="119" spans="2:65" s="13" customFormat="1" x14ac:dyDescent="0.2">
      <c r="B119" s="131"/>
      <c r="D119" s="126" t="s">
        <v>112</v>
      </c>
      <c r="E119" s="132" t="s">
        <v>1</v>
      </c>
      <c r="F119" s="133" t="s">
        <v>161</v>
      </c>
      <c r="H119" s="134">
        <v>0.91700000000000004</v>
      </c>
      <c r="L119" s="131"/>
      <c r="M119" s="135"/>
      <c r="T119" s="136"/>
      <c r="AT119" s="132" t="s">
        <v>112</v>
      </c>
      <c r="AU119" s="132" t="s">
        <v>65</v>
      </c>
      <c r="AV119" s="13" t="s">
        <v>65</v>
      </c>
      <c r="AW119" s="13" t="s">
        <v>30</v>
      </c>
      <c r="AX119" s="13" t="s">
        <v>55</v>
      </c>
      <c r="AY119" s="132" t="s">
        <v>101</v>
      </c>
    </row>
    <row r="120" spans="2:65" s="13" customFormat="1" x14ac:dyDescent="0.2">
      <c r="B120" s="131"/>
      <c r="D120" s="126" t="s">
        <v>112</v>
      </c>
      <c r="E120" s="132" t="s">
        <v>1</v>
      </c>
      <c r="F120" s="133" t="s">
        <v>162</v>
      </c>
      <c r="H120" s="134">
        <v>8.77</v>
      </c>
      <c r="L120" s="131"/>
      <c r="M120" s="135"/>
      <c r="T120" s="136"/>
      <c r="AT120" s="132" t="s">
        <v>112</v>
      </c>
      <c r="AU120" s="132" t="s">
        <v>65</v>
      </c>
      <c r="AV120" s="13" t="s">
        <v>65</v>
      </c>
      <c r="AW120" s="13" t="s">
        <v>30</v>
      </c>
      <c r="AX120" s="13" t="s">
        <v>55</v>
      </c>
      <c r="AY120" s="132" t="s">
        <v>101</v>
      </c>
    </row>
    <row r="121" spans="2:65" s="13" customFormat="1" x14ac:dyDescent="0.2">
      <c r="B121" s="131"/>
      <c r="D121" s="126" t="s">
        <v>112</v>
      </c>
      <c r="E121" s="132" t="s">
        <v>1</v>
      </c>
      <c r="F121" s="133" t="s">
        <v>163</v>
      </c>
      <c r="H121" s="134">
        <v>1.036</v>
      </c>
      <c r="L121" s="131"/>
      <c r="M121" s="135"/>
      <c r="T121" s="136"/>
      <c r="AT121" s="132" t="s">
        <v>112</v>
      </c>
      <c r="AU121" s="132" t="s">
        <v>65</v>
      </c>
      <c r="AV121" s="13" t="s">
        <v>65</v>
      </c>
      <c r="AW121" s="13" t="s">
        <v>30</v>
      </c>
      <c r="AX121" s="13" t="s">
        <v>55</v>
      </c>
      <c r="AY121" s="132" t="s">
        <v>101</v>
      </c>
    </row>
    <row r="122" spans="2:65" s="13" customFormat="1" x14ac:dyDescent="0.2">
      <c r="B122" s="131"/>
      <c r="D122" s="126" t="s">
        <v>112</v>
      </c>
      <c r="E122" s="132" t="s">
        <v>1</v>
      </c>
      <c r="F122" s="133" t="s">
        <v>164</v>
      </c>
      <c r="H122" s="134">
        <v>2.9390000000000001</v>
      </c>
      <c r="L122" s="131"/>
      <c r="M122" s="135"/>
      <c r="T122" s="136"/>
      <c r="AT122" s="132" t="s">
        <v>112</v>
      </c>
      <c r="AU122" s="132" t="s">
        <v>65</v>
      </c>
      <c r="AV122" s="13" t="s">
        <v>65</v>
      </c>
      <c r="AW122" s="13" t="s">
        <v>30</v>
      </c>
      <c r="AX122" s="13" t="s">
        <v>55</v>
      </c>
      <c r="AY122" s="132" t="s">
        <v>101</v>
      </c>
    </row>
    <row r="123" spans="2:65" s="14" customFormat="1" x14ac:dyDescent="0.2">
      <c r="B123" s="137"/>
      <c r="D123" s="126" t="s">
        <v>112</v>
      </c>
      <c r="E123" s="138" t="s">
        <v>1</v>
      </c>
      <c r="F123" s="139" t="s">
        <v>127</v>
      </c>
      <c r="H123" s="140">
        <v>261.68299999999999</v>
      </c>
      <c r="L123" s="137"/>
      <c r="M123" s="141"/>
      <c r="T123" s="142"/>
      <c r="AT123" s="138" t="s">
        <v>112</v>
      </c>
      <c r="AU123" s="138" t="s">
        <v>65</v>
      </c>
      <c r="AV123" s="14" t="s">
        <v>108</v>
      </c>
      <c r="AW123" s="14" t="s">
        <v>30</v>
      </c>
      <c r="AX123" s="14" t="s">
        <v>63</v>
      </c>
      <c r="AY123" s="138" t="s">
        <v>101</v>
      </c>
    </row>
    <row r="124" spans="2:65" s="14" customFormat="1" x14ac:dyDescent="0.2">
      <c r="B124" s="137"/>
      <c r="D124" s="126"/>
      <c r="E124" s="138"/>
      <c r="F124" s="139" t="s">
        <v>1839</v>
      </c>
      <c r="H124" s="140">
        <f>H123*0.82</f>
        <v>214.58005999999997</v>
      </c>
      <c r="L124" s="137"/>
      <c r="M124" s="141"/>
      <c r="T124" s="142"/>
      <c r="AT124" s="138"/>
      <c r="AU124" s="138"/>
      <c r="AY124" s="138"/>
    </row>
    <row r="125" spans="2:65" s="1" customFormat="1" ht="37.9" customHeight="1" x14ac:dyDescent="0.2">
      <c r="B125" s="109"/>
      <c r="C125" s="110" t="s">
        <v>171</v>
      </c>
      <c r="D125" s="110" t="s">
        <v>103</v>
      </c>
      <c r="E125" s="111" t="s">
        <v>172</v>
      </c>
      <c r="F125" s="112" t="s">
        <v>173</v>
      </c>
      <c r="G125" s="113" t="s">
        <v>174</v>
      </c>
      <c r="H125" s="114">
        <f>228.572*0.82</f>
        <v>187.42903999999999</v>
      </c>
      <c r="I125" s="115">
        <v>0</v>
      </c>
      <c r="J125" s="115">
        <f>ROUND(I125*H125,2)</f>
        <v>0</v>
      </c>
      <c r="K125" s="112" t="s">
        <v>107</v>
      </c>
      <c r="L125" s="28"/>
      <c r="M125" s="116" t="s">
        <v>1</v>
      </c>
      <c r="N125" s="117" t="s">
        <v>39</v>
      </c>
      <c r="O125" s="118">
        <v>0.23599999999999999</v>
      </c>
      <c r="P125" s="118">
        <f>O125*H125</f>
        <v>44.233253439999991</v>
      </c>
      <c r="Q125" s="118">
        <v>8.4000000000000003E-4</v>
      </c>
      <c r="R125" s="118">
        <f>Q125*H125</f>
        <v>0.15744039360000001</v>
      </c>
      <c r="S125" s="118">
        <v>0</v>
      </c>
      <c r="T125" s="119">
        <f>S125*H125</f>
        <v>0</v>
      </c>
      <c r="AR125" s="120" t="s">
        <v>108</v>
      </c>
      <c r="AT125" s="120" t="s">
        <v>103</v>
      </c>
      <c r="AU125" s="120" t="s">
        <v>65</v>
      </c>
      <c r="AY125" s="17" t="s">
        <v>101</v>
      </c>
      <c r="BE125" s="121">
        <f>IF(N125="základní",J125,0)</f>
        <v>0</v>
      </c>
      <c r="BF125" s="121">
        <f>IF(N125="snížená",J125,0)</f>
        <v>0</v>
      </c>
      <c r="BG125" s="121">
        <f>IF(N125="zákl. přenesená",J125,0)</f>
        <v>0</v>
      </c>
      <c r="BH125" s="121">
        <f>IF(N125="sníž. přenesená",J125,0)</f>
        <v>0</v>
      </c>
      <c r="BI125" s="121">
        <f>IF(N125="nulová",J125,0)</f>
        <v>0</v>
      </c>
      <c r="BJ125" s="17" t="s">
        <v>63</v>
      </c>
      <c r="BK125" s="121">
        <f>ROUND(I125*H125,2)</f>
        <v>0</v>
      </c>
      <c r="BL125" s="17" t="s">
        <v>108</v>
      </c>
      <c r="BM125" s="120" t="s">
        <v>175</v>
      </c>
    </row>
    <row r="126" spans="2:65" s="1" customFormat="1" x14ac:dyDescent="0.2">
      <c r="B126" s="28"/>
      <c r="D126" s="122" t="s">
        <v>110</v>
      </c>
      <c r="F126" s="123" t="s">
        <v>176</v>
      </c>
      <c r="L126" s="28"/>
      <c r="M126" s="124"/>
      <c r="T126" s="48"/>
      <c r="AT126" s="17" t="s">
        <v>110</v>
      </c>
      <c r="AU126" s="17" t="s">
        <v>65</v>
      </c>
    </row>
    <row r="127" spans="2:65" s="12" customFormat="1" x14ac:dyDescent="0.2">
      <c r="B127" s="125"/>
      <c r="D127" s="126" t="s">
        <v>112</v>
      </c>
      <c r="E127" s="127" t="s">
        <v>1</v>
      </c>
      <c r="F127" s="128" t="s">
        <v>177</v>
      </c>
      <c r="H127" s="127" t="s">
        <v>1</v>
      </c>
      <c r="L127" s="125"/>
      <c r="M127" s="129"/>
      <c r="T127" s="130"/>
      <c r="AT127" s="127" t="s">
        <v>112</v>
      </c>
      <c r="AU127" s="127" t="s">
        <v>65</v>
      </c>
      <c r="AV127" s="12" t="s">
        <v>63</v>
      </c>
      <c r="AW127" s="12" t="s">
        <v>30</v>
      </c>
      <c r="AX127" s="12" t="s">
        <v>55</v>
      </c>
      <c r="AY127" s="127" t="s">
        <v>101</v>
      </c>
    </row>
    <row r="128" spans="2:65" s="13" customFormat="1" x14ac:dyDescent="0.2">
      <c r="B128" s="131"/>
      <c r="D128" s="126" t="s">
        <v>112</v>
      </c>
      <c r="E128" s="132" t="s">
        <v>1</v>
      </c>
      <c r="F128" s="133" t="s">
        <v>178</v>
      </c>
      <c r="H128" s="134">
        <v>223.06200000000001</v>
      </c>
      <c r="L128" s="131"/>
      <c r="M128" s="135"/>
      <c r="T128" s="136"/>
      <c r="AT128" s="132" t="s">
        <v>112</v>
      </c>
      <c r="AU128" s="132" t="s">
        <v>65</v>
      </c>
      <c r="AV128" s="13" t="s">
        <v>65</v>
      </c>
      <c r="AW128" s="13" t="s">
        <v>30</v>
      </c>
      <c r="AX128" s="13" t="s">
        <v>55</v>
      </c>
      <c r="AY128" s="132" t="s">
        <v>101</v>
      </c>
    </row>
    <row r="129" spans="2:65" s="13" customFormat="1" x14ac:dyDescent="0.2">
      <c r="B129" s="131"/>
      <c r="D129" s="126" t="s">
        <v>112</v>
      </c>
      <c r="E129" s="132" t="s">
        <v>1</v>
      </c>
      <c r="F129" s="133" t="s">
        <v>179</v>
      </c>
      <c r="H129" s="134">
        <v>5.51</v>
      </c>
      <c r="L129" s="131"/>
      <c r="M129" s="135"/>
      <c r="T129" s="136"/>
      <c r="AT129" s="132" t="s">
        <v>112</v>
      </c>
      <c r="AU129" s="132" t="s">
        <v>65</v>
      </c>
      <c r="AV129" s="13" t="s">
        <v>65</v>
      </c>
      <c r="AW129" s="13" t="s">
        <v>30</v>
      </c>
      <c r="AX129" s="13" t="s">
        <v>55</v>
      </c>
      <c r="AY129" s="132" t="s">
        <v>101</v>
      </c>
    </row>
    <row r="130" spans="2:65" s="14" customFormat="1" x14ac:dyDescent="0.2">
      <c r="B130" s="137"/>
      <c r="D130" s="126" t="s">
        <v>112</v>
      </c>
      <c r="E130" s="138" t="s">
        <v>1</v>
      </c>
      <c r="F130" s="139" t="s">
        <v>127</v>
      </c>
      <c r="H130" s="140">
        <v>228.572</v>
      </c>
      <c r="L130" s="137"/>
      <c r="M130" s="141"/>
      <c r="T130" s="142"/>
      <c r="AT130" s="138" t="s">
        <v>112</v>
      </c>
      <c r="AU130" s="138" t="s">
        <v>65</v>
      </c>
      <c r="AV130" s="14" t="s">
        <v>108</v>
      </c>
      <c r="AW130" s="14" t="s">
        <v>30</v>
      </c>
      <c r="AX130" s="14" t="s">
        <v>63</v>
      </c>
      <c r="AY130" s="138" t="s">
        <v>101</v>
      </c>
    </row>
    <row r="131" spans="2:65" s="14" customFormat="1" x14ac:dyDescent="0.2">
      <c r="B131" s="137"/>
      <c r="D131" s="126"/>
      <c r="E131" s="138"/>
      <c r="F131" s="139" t="s">
        <v>1839</v>
      </c>
      <c r="H131" s="140">
        <f>H130*0.82</f>
        <v>187.42903999999999</v>
      </c>
      <c r="L131" s="137"/>
      <c r="M131" s="141"/>
      <c r="T131" s="142"/>
      <c r="AT131" s="138"/>
      <c r="AU131" s="138"/>
      <c r="AY131" s="138"/>
    </row>
    <row r="132" spans="2:65" s="1" customFormat="1" ht="44.25" customHeight="1" x14ac:dyDescent="0.2">
      <c r="B132" s="109"/>
      <c r="C132" s="110" t="s">
        <v>180</v>
      </c>
      <c r="D132" s="110" t="s">
        <v>103</v>
      </c>
      <c r="E132" s="111" t="s">
        <v>181</v>
      </c>
      <c r="F132" s="112" t="s">
        <v>182</v>
      </c>
      <c r="G132" s="113" t="s">
        <v>174</v>
      </c>
      <c r="H132" s="114">
        <f>228.572*0.82</f>
        <v>187.42903999999999</v>
      </c>
      <c r="I132" s="115">
        <v>0</v>
      </c>
      <c r="J132" s="115">
        <f>ROUND(I132*H132,2)</f>
        <v>0</v>
      </c>
      <c r="K132" s="112" t="s">
        <v>107</v>
      </c>
      <c r="L132" s="28"/>
      <c r="M132" s="116" t="s">
        <v>1</v>
      </c>
      <c r="N132" s="117" t="s">
        <v>39</v>
      </c>
      <c r="O132" s="118">
        <v>0.216</v>
      </c>
      <c r="P132" s="118">
        <f>O132*H132</f>
        <v>40.484672639999999</v>
      </c>
      <c r="Q132" s="118">
        <v>0</v>
      </c>
      <c r="R132" s="118">
        <f>Q132*H132</f>
        <v>0</v>
      </c>
      <c r="S132" s="118">
        <v>0</v>
      </c>
      <c r="T132" s="119">
        <f>S132*H132</f>
        <v>0</v>
      </c>
      <c r="AR132" s="120" t="s">
        <v>108</v>
      </c>
      <c r="AT132" s="120" t="s">
        <v>103</v>
      </c>
      <c r="AU132" s="120" t="s">
        <v>65</v>
      </c>
      <c r="AY132" s="17" t="s">
        <v>101</v>
      </c>
      <c r="BE132" s="121">
        <f>IF(N132="základní",J132,0)</f>
        <v>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7" t="s">
        <v>63</v>
      </c>
      <c r="BK132" s="121">
        <f>ROUND(I132*H132,2)</f>
        <v>0</v>
      </c>
      <c r="BL132" s="17" t="s">
        <v>108</v>
      </c>
      <c r="BM132" s="120" t="s">
        <v>183</v>
      </c>
    </row>
    <row r="133" spans="2:65" s="1" customFormat="1" x14ac:dyDescent="0.2">
      <c r="B133" s="28"/>
      <c r="D133" s="122" t="s">
        <v>110</v>
      </c>
      <c r="F133" s="123" t="s">
        <v>184</v>
      </c>
      <c r="L133" s="28"/>
      <c r="M133" s="124"/>
      <c r="T133" s="48"/>
      <c r="AT133" s="17" t="s">
        <v>110</v>
      </c>
      <c r="AU133" s="17" t="s">
        <v>65</v>
      </c>
    </row>
    <row r="134" spans="2:65" s="1" customFormat="1" ht="62.65" customHeight="1" x14ac:dyDescent="0.2">
      <c r="B134" s="109"/>
      <c r="C134" s="110" t="s">
        <v>185</v>
      </c>
      <c r="D134" s="110" t="s">
        <v>103</v>
      </c>
      <c r="E134" s="111" t="s">
        <v>186</v>
      </c>
      <c r="F134" s="112" t="s">
        <v>187</v>
      </c>
      <c r="G134" s="113" t="s">
        <v>130</v>
      </c>
      <c r="H134" s="114">
        <f>1153.362*0.82</f>
        <v>945.75684000000001</v>
      </c>
      <c r="I134" s="115">
        <v>0</v>
      </c>
      <c r="J134" s="115">
        <f>ROUND(I134*H134,2)</f>
        <v>0</v>
      </c>
      <c r="K134" s="112" t="s">
        <v>107</v>
      </c>
      <c r="L134" s="28"/>
      <c r="M134" s="116" t="s">
        <v>1</v>
      </c>
      <c r="N134" s="117" t="s">
        <v>39</v>
      </c>
      <c r="O134" s="118">
        <v>4.5999999999999999E-2</v>
      </c>
      <c r="P134" s="118">
        <f>O134*H134</f>
        <v>43.504814639999999</v>
      </c>
      <c r="Q134" s="118">
        <v>0</v>
      </c>
      <c r="R134" s="118">
        <f>Q134*H134</f>
        <v>0</v>
      </c>
      <c r="S134" s="118">
        <v>0</v>
      </c>
      <c r="T134" s="119">
        <f>S134*H134</f>
        <v>0</v>
      </c>
      <c r="AR134" s="120" t="s">
        <v>108</v>
      </c>
      <c r="AT134" s="120" t="s">
        <v>103</v>
      </c>
      <c r="AU134" s="120" t="s">
        <v>65</v>
      </c>
      <c r="AY134" s="17" t="s">
        <v>101</v>
      </c>
      <c r="BE134" s="121">
        <f>IF(N134="základní",J134,0)</f>
        <v>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7" t="s">
        <v>63</v>
      </c>
      <c r="BK134" s="121">
        <f>ROUND(I134*H134,2)</f>
        <v>0</v>
      </c>
      <c r="BL134" s="17" t="s">
        <v>108</v>
      </c>
      <c r="BM134" s="120" t="s">
        <v>188</v>
      </c>
    </row>
    <row r="135" spans="2:65" s="1" customFormat="1" x14ac:dyDescent="0.2">
      <c r="B135" s="28"/>
      <c r="D135" s="122" t="s">
        <v>110</v>
      </c>
      <c r="F135" s="123" t="s">
        <v>189</v>
      </c>
      <c r="L135" s="28"/>
      <c r="M135" s="124"/>
      <c r="T135" s="48"/>
      <c r="AT135" s="17" t="s">
        <v>110</v>
      </c>
      <c r="AU135" s="17" t="s">
        <v>65</v>
      </c>
    </row>
    <row r="136" spans="2:65" s="13" customFormat="1" x14ac:dyDescent="0.2">
      <c r="B136" s="131"/>
      <c r="D136" s="126" t="s">
        <v>112</v>
      </c>
      <c r="E136" s="132" t="s">
        <v>1</v>
      </c>
      <c r="F136" s="133" t="s">
        <v>190</v>
      </c>
      <c r="H136" s="134">
        <v>445.56599999999997</v>
      </c>
      <c r="L136" s="131"/>
      <c r="M136" s="135"/>
      <c r="T136" s="136"/>
      <c r="AT136" s="132" t="s">
        <v>112</v>
      </c>
      <c r="AU136" s="132" t="s">
        <v>65</v>
      </c>
      <c r="AV136" s="13" t="s">
        <v>65</v>
      </c>
      <c r="AW136" s="13" t="s">
        <v>30</v>
      </c>
      <c r="AX136" s="13" t="s">
        <v>55</v>
      </c>
      <c r="AY136" s="132" t="s">
        <v>101</v>
      </c>
    </row>
    <row r="137" spans="2:65" s="13" customFormat="1" x14ac:dyDescent="0.2">
      <c r="B137" s="131"/>
      <c r="D137" s="126" t="s">
        <v>112</v>
      </c>
      <c r="E137" s="132" t="s">
        <v>1</v>
      </c>
      <c r="F137" s="133" t="s">
        <v>191</v>
      </c>
      <c r="H137" s="134">
        <v>490.31099999999998</v>
      </c>
      <c r="L137" s="131"/>
      <c r="M137" s="135"/>
      <c r="T137" s="136"/>
      <c r="AT137" s="132" t="s">
        <v>112</v>
      </c>
      <c r="AU137" s="132" t="s">
        <v>65</v>
      </c>
      <c r="AV137" s="13" t="s">
        <v>65</v>
      </c>
      <c r="AW137" s="13" t="s">
        <v>30</v>
      </c>
      <c r="AX137" s="13" t="s">
        <v>55</v>
      </c>
      <c r="AY137" s="132" t="s">
        <v>101</v>
      </c>
    </row>
    <row r="138" spans="2:65" s="13" customFormat="1" x14ac:dyDescent="0.2">
      <c r="B138" s="131"/>
      <c r="D138" s="126" t="s">
        <v>112</v>
      </c>
      <c r="E138" s="132" t="s">
        <v>1</v>
      </c>
      <c r="F138" s="133" t="s">
        <v>192</v>
      </c>
      <c r="H138" s="134">
        <v>217.48500000000001</v>
      </c>
      <c r="L138" s="131"/>
      <c r="M138" s="135"/>
      <c r="T138" s="136"/>
      <c r="AT138" s="132" t="s">
        <v>112</v>
      </c>
      <c r="AU138" s="132" t="s">
        <v>65</v>
      </c>
      <c r="AV138" s="13" t="s">
        <v>65</v>
      </c>
      <c r="AW138" s="13" t="s">
        <v>30</v>
      </c>
      <c r="AX138" s="13" t="s">
        <v>55</v>
      </c>
      <c r="AY138" s="132" t="s">
        <v>101</v>
      </c>
    </row>
    <row r="139" spans="2:65" s="14" customFormat="1" x14ac:dyDescent="0.2">
      <c r="B139" s="137"/>
      <c r="D139" s="126" t="s">
        <v>112</v>
      </c>
      <c r="E139" s="138" t="s">
        <v>1</v>
      </c>
      <c r="F139" s="139" t="s">
        <v>127</v>
      </c>
      <c r="H139" s="140">
        <v>1153.3620000000001</v>
      </c>
      <c r="L139" s="137"/>
      <c r="M139" s="141"/>
      <c r="T139" s="142"/>
      <c r="AT139" s="138" t="s">
        <v>112</v>
      </c>
      <c r="AU139" s="138" t="s">
        <v>65</v>
      </c>
      <c r="AV139" s="14" t="s">
        <v>108</v>
      </c>
      <c r="AW139" s="14" t="s">
        <v>30</v>
      </c>
      <c r="AX139" s="14" t="s">
        <v>63</v>
      </c>
      <c r="AY139" s="138" t="s">
        <v>101</v>
      </c>
    </row>
    <row r="140" spans="2:65" s="14" customFormat="1" x14ac:dyDescent="0.2">
      <c r="B140" s="137"/>
      <c r="D140" s="126"/>
      <c r="E140" s="138"/>
      <c r="F140" s="139" t="s">
        <v>1839</v>
      </c>
      <c r="H140" s="140">
        <f>H139*0.82</f>
        <v>945.75684000000001</v>
      </c>
      <c r="L140" s="137"/>
      <c r="M140" s="141"/>
      <c r="T140" s="142"/>
      <c r="AT140" s="138"/>
      <c r="AU140" s="138"/>
      <c r="AY140" s="138"/>
    </row>
    <row r="141" spans="2:65" s="1" customFormat="1" ht="62.65" customHeight="1" x14ac:dyDescent="0.2">
      <c r="B141" s="109"/>
      <c r="C141" s="110" t="s">
        <v>193</v>
      </c>
      <c r="D141" s="110" t="s">
        <v>103</v>
      </c>
      <c r="E141" s="111" t="s">
        <v>194</v>
      </c>
      <c r="F141" s="112" t="s">
        <v>195</v>
      </c>
      <c r="G141" s="113" t="s">
        <v>130</v>
      </c>
      <c r="H141" s="114">
        <f>261.683*0.82</f>
        <v>214.58005999999997</v>
      </c>
      <c r="I141" s="115">
        <v>0</v>
      </c>
      <c r="J141" s="115">
        <f>ROUND(I141*H141,2)</f>
        <v>0</v>
      </c>
      <c r="K141" s="112" t="s">
        <v>107</v>
      </c>
      <c r="L141" s="28"/>
      <c r="M141" s="116" t="s">
        <v>1</v>
      </c>
      <c r="N141" s="117" t="s">
        <v>39</v>
      </c>
      <c r="O141" s="118">
        <v>5.0999999999999997E-2</v>
      </c>
      <c r="P141" s="118">
        <f>O141*H141</f>
        <v>10.943583059999998</v>
      </c>
      <c r="Q141" s="118">
        <v>0</v>
      </c>
      <c r="R141" s="118">
        <f>Q141*H141</f>
        <v>0</v>
      </c>
      <c r="S141" s="118">
        <v>0</v>
      </c>
      <c r="T141" s="119">
        <f>S141*H141</f>
        <v>0</v>
      </c>
      <c r="AR141" s="120" t="s">
        <v>108</v>
      </c>
      <c r="AT141" s="120" t="s">
        <v>103</v>
      </c>
      <c r="AU141" s="120" t="s">
        <v>65</v>
      </c>
      <c r="AY141" s="17" t="s">
        <v>101</v>
      </c>
      <c r="BE141" s="121">
        <f>IF(N141="základní",J141,0)</f>
        <v>0</v>
      </c>
      <c r="BF141" s="121">
        <f>IF(N141="snížená",J141,0)</f>
        <v>0</v>
      </c>
      <c r="BG141" s="121">
        <f>IF(N141="zákl. přenesená",J141,0)</f>
        <v>0</v>
      </c>
      <c r="BH141" s="121">
        <f>IF(N141="sníž. přenesená",J141,0)</f>
        <v>0</v>
      </c>
      <c r="BI141" s="121">
        <f>IF(N141="nulová",J141,0)</f>
        <v>0</v>
      </c>
      <c r="BJ141" s="17" t="s">
        <v>63</v>
      </c>
      <c r="BK141" s="121">
        <f>ROUND(I141*H141,2)</f>
        <v>0</v>
      </c>
      <c r="BL141" s="17" t="s">
        <v>108</v>
      </c>
      <c r="BM141" s="120" t="s">
        <v>196</v>
      </c>
    </row>
    <row r="142" spans="2:65" s="1" customFormat="1" x14ac:dyDescent="0.2">
      <c r="B142" s="28"/>
      <c r="D142" s="122" t="s">
        <v>110</v>
      </c>
      <c r="F142" s="123" t="s">
        <v>197</v>
      </c>
      <c r="L142" s="28"/>
      <c r="M142" s="124"/>
      <c r="T142" s="48"/>
      <c r="AT142" s="17" t="s">
        <v>110</v>
      </c>
      <c r="AU142" s="17" t="s">
        <v>65</v>
      </c>
    </row>
    <row r="143" spans="2:65" s="1" customFormat="1" ht="62.65" customHeight="1" x14ac:dyDescent="0.2">
      <c r="B143" s="109"/>
      <c r="C143" s="110" t="s">
        <v>198</v>
      </c>
      <c r="D143" s="110" t="s">
        <v>103</v>
      </c>
      <c r="E143" s="111" t="s">
        <v>199</v>
      </c>
      <c r="F143" s="112" t="s">
        <v>200</v>
      </c>
      <c r="G143" s="113" t="s">
        <v>130</v>
      </c>
      <c r="H143" s="114">
        <f>445.566*0.82</f>
        <v>365.36411999999996</v>
      </c>
      <c r="I143" s="115">
        <v>0</v>
      </c>
      <c r="J143" s="115">
        <f>ROUND(I143*H143,2)</f>
        <v>0</v>
      </c>
      <c r="K143" s="112" t="s">
        <v>107</v>
      </c>
      <c r="L143" s="28"/>
      <c r="M143" s="116" t="s">
        <v>1</v>
      </c>
      <c r="N143" s="117" t="s">
        <v>39</v>
      </c>
      <c r="O143" s="118">
        <v>8.6999999999999994E-2</v>
      </c>
      <c r="P143" s="118">
        <f>O143*H143</f>
        <v>31.786678439999996</v>
      </c>
      <c r="Q143" s="118">
        <v>0</v>
      </c>
      <c r="R143" s="118">
        <f>Q143*H143</f>
        <v>0</v>
      </c>
      <c r="S143" s="118">
        <v>0</v>
      </c>
      <c r="T143" s="119">
        <f>S143*H143</f>
        <v>0</v>
      </c>
      <c r="AR143" s="120" t="s">
        <v>108</v>
      </c>
      <c r="AT143" s="120" t="s">
        <v>103</v>
      </c>
      <c r="AU143" s="120" t="s">
        <v>65</v>
      </c>
      <c r="AY143" s="17" t="s">
        <v>101</v>
      </c>
      <c r="BE143" s="121">
        <f>IF(N143="základní",J143,0)</f>
        <v>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7" t="s">
        <v>63</v>
      </c>
      <c r="BK143" s="121">
        <f>ROUND(I143*H143,2)</f>
        <v>0</v>
      </c>
      <c r="BL143" s="17" t="s">
        <v>108</v>
      </c>
      <c r="BM143" s="120" t="s">
        <v>201</v>
      </c>
    </row>
    <row r="144" spans="2:65" s="1" customFormat="1" x14ac:dyDescent="0.2">
      <c r="B144" s="28"/>
      <c r="D144" s="122" t="s">
        <v>110</v>
      </c>
      <c r="F144" s="123" t="s">
        <v>202</v>
      </c>
      <c r="L144" s="28"/>
      <c r="M144" s="124"/>
      <c r="T144" s="48"/>
      <c r="AT144" s="17" t="s">
        <v>110</v>
      </c>
      <c r="AU144" s="17" t="s">
        <v>65</v>
      </c>
    </row>
    <row r="145" spans="2:65" s="1" customFormat="1" ht="66.75" customHeight="1" x14ac:dyDescent="0.2">
      <c r="B145" s="109"/>
      <c r="C145" s="110" t="s">
        <v>203</v>
      </c>
      <c r="D145" s="110" t="s">
        <v>103</v>
      </c>
      <c r="E145" s="111" t="s">
        <v>204</v>
      </c>
      <c r="F145" s="112" t="s">
        <v>205</v>
      </c>
      <c r="G145" s="113" t="s">
        <v>130</v>
      </c>
      <c r="H145" s="114">
        <f>1336.698*0.82</f>
        <v>1096.0923600000001</v>
      </c>
      <c r="I145" s="115">
        <v>0</v>
      </c>
      <c r="J145" s="115">
        <f>ROUND(I145*H145,2)</f>
        <v>0</v>
      </c>
      <c r="K145" s="112" t="s">
        <v>107</v>
      </c>
      <c r="L145" s="28"/>
      <c r="M145" s="116" t="s">
        <v>1</v>
      </c>
      <c r="N145" s="117" t="s">
        <v>39</v>
      </c>
      <c r="O145" s="118">
        <v>5.0000000000000001E-3</v>
      </c>
      <c r="P145" s="118">
        <f>O145*H145</f>
        <v>5.4804618000000005</v>
      </c>
      <c r="Q145" s="118">
        <v>0</v>
      </c>
      <c r="R145" s="118">
        <f>Q145*H145</f>
        <v>0</v>
      </c>
      <c r="S145" s="118">
        <v>0</v>
      </c>
      <c r="T145" s="119">
        <f>S145*H145</f>
        <v>0</v>
      </c>
      <c r="AR145" s="120" t="s">
        <v>108</v>
      </c>
      <c r="AT145" s="120" t="s">
        <v>103</v>
      </c>
      <c r="AU145" s="120" t="s">
        <v>65</v>
      </c>
      <c r="AY145" s="17" t="s">
        <v>101</v>
      </c>
      <c r="BE145" s="121">
        <f>IF(N145="základní",J145,0)</f>
        <v>0</v>
      </c>
      <c r="BF145" s="121">
        <f>IF(N145="snížená",J145,0)</f>
        <v>0</v>
      </c>
      <c r="BG145" s="121">
        <f>IF(N145="zákl. přenesená",J145,0)</f>
        <v>0</v>
      </c>
      <c r="BH145" s="121">
        <f>IF(N145="sníž. přenesená",J145,0)</f>
        <v>0</v>
      </c>
      <c r="BI145" s="121">
        <f>IF(N145="nulová",J145,0)</f>
        <v>0</v>
      </c>
      <c r="BJ145" s="17" t="s">
        <v>63</v>
      </c>
      <c r="BK145" s="121">
        <f>ROUND(I145*H145,2)</f>
        <v>0</v>
      </c>
      <c r="BL145" s="17" t="s">
        <v>108</v>
      </c>
      <c r="BM145" s="120" t="s">
        <v>206</v>
      </c>
    </row>
    <row r="146" spans="2:65" s="1" customFormat="1" x14ac:dyDescent="0.2">
      <c r="B146" s="28"/>
      <c r="D146" s="122" t="s">
        <v>110</v>
      </c>
      <c r="F146" s="123" t="s">
        <v>207</v>
      </c>
      <c r="L146" s="28"/>
      <c r="M146" s="124"/>
      <c r="T146" s="48"/>
      <c r="AT146" s="17" t="s">
        <v>110</v>
      </c>
      <c r="AU146" s="17" t="s">
        <v>65</v>
      </c>
    </row>
    <row r="147" spans="2:65" s="13" customFormat="1" x14ac:dyDescent="0.2">
      <c r="B147" s="131"/>
      <c r="D147" s="126" t="s">
        <v>112</v>
      </c>
      <c r="E147" s="132" t="s">
        <v>1</v>
      </c>
      <c r="F147" s="133" t="s">
        <v>1840</v>
      </c>
      <c r="H147" s="134">
        <f>1336.698 *0.82</f>
        <v>1096.0923600000001</v>
      </c>
      <c r="L147" s="131"/>
      <c r="M147" s="135"/>
      <c r="T147" s="136"/>
      <c r="AT147" s="132" t="s">
        <v>112</v>
      </c>
      <c r="AU147" s="132" t="s">
        <v>65</v>
      </c>
      <c r="AV147" s="13" t="s">
        <v>65</v>
      </c>
      <c r="AW147" s="13" t="s">
        <v>30</v>
      </c>
      <c r="AX147" s="13" t="s">
        <v>63</v>
      </c>
      <c r="AY147" s="132" t="s">
        <v>101</v>
      </c>
    </row>
    <row r="148" spans="2:65" s="1" customFormat="1" ht="62.65" customHeight="1" x14ac:dyDescent="0.2">
      <c r="B148" s="109"/>
      <c r="C148" s="110" t="s">
        <v>208</v>
      </c>
      <c r="D148" s="110" t="s">
        <v>103</v>
      </c>
      <c r="E148" s="111" t="s">
        <v>209</v>
      </c>
      <c r="F148" s="112" t="s">
        <v>210</v>
      </c>
      <c r="G148" s="113" t="s">
        <v>130</v>
      </c>
      <c r="H148" s="114">
        <f>261.683*0.82</f>
        <v>214.58005999999997</v>
      </c>
      <c r="I148" s="115">
        <v>0</v>
      </c>
      <c r="J148" s="115">
        <f>ROUND(I148*H148,2)</f>
        <v>0</v>
      </c>
      <c r="K148" s="112" t="s">
        <v>107</v>
      </c>
      <c r="L148" s="28"/>
      <c r="M148" s="116" t="s">
        <v>1</v>
      </c>
      <c r="N148" s="117" t="s">
        <v>39</v>
      </c>
      <c r="O148" s="118">
        <v>9.9000000000000005E-2</v>
      </c>
      <c r="P148" s="118">
        <f>O148*H148</f>
        <v>21.243425939999998</v>
      </c>
      <c r="Q148" s="118">
        <v>0</v>
      </c>
      <c r="R148" s="118">
        <f>Q148*H148</f>
        <v>0</v>
      </c>
      <c r="S148" s="118">
        <v>0</v>
      </c>
      <c r="T148" s="119">
        <f>S148*H148</f>
        <v>0</v>
      </c>
      <c r="AR148" s="120" t="s">
        <v>108</v>
      </c>
      <c r="AT148" s="120" t="s">
        <v>103</v>
      </c>
      <c r="AU148" s="120" t="s">
        <v>65</v>
      </c>
      <c r="AY148" s="17" t="s">
        <v>101</v>
      </c>
      <c r="BE148" s="121">
        <f>IF(N148="základní",J148,0)</f>
        <v>0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7" t="s">
        <v>63</v>
      </c>
      <c r="BK148" s="121">
        <f>ROUND(I148*H148,2)</f>
        <v>0</v>
      </c>
      <c r="BL148" s="17" t="s">
        <v>108</v>
      </c>
      <c r="BM148" s="120" t="s">
        <v>211</v>
      </c>
    </row>
    <row r="149" spans="2:65" s="1" customFormat="1" x14ac:dyDescent="0.2">
      <c r="B149" s="28"/>
      <c r="D149" s="122" t="s">
        <v>110</v>
      </c>
      <c r="F149" s="123" t="s">
        <v>212</v>
      </c>
      <c r="L149" s="28"/>
      <c r="M149" s="124"/>
      <c r="T149" s="48"/>
      <c r="AT149" s="17" t="s">
        <v>110</v>
      </c>
      <c r="AU149" s="17" t="s">
        <v>65</v>
      </c>
    </row>
    <row r="150" spans="2:65" s="1" customFormat="1" ht="66.75" customHeight="1" x14ac:dyDescent="0.2">
      <c r="B150" s="109"/>
      <c r="C150" s="110" t="s">
        <v>7</v>
      </c>
      <c r="D150" s="110" t="s">
        <v>103</v>
      </c>
      <c r="E150" s="111" t="s">
        <v>213</v>
      </c>
      <c r="F150" s="112" t="s">
        <v>214</v>
      </c>
      <c r="G150" s="113" t="s">
        <v>130</v>
      </c>
      <c r="H150" s="114">
        <f>785.049*0.82</f>
        <v>643.7401799999999</v>
      </c>
      <c r="I150" s="115">
        <v>0</v>
      </c>
      <c r="J150" s="115">
        <f>ROUND(I150*H150,2)</f>
        <v>0</v>
      </c>
      <c r="K150" s="112" t="s">
        <v>107</v>
      </c>
      <c r="L150" s="28"/>
      <c r="M150" s="116" t="s">
        <v>1</v>
      </c>
      <c r="N150" s="117" t="s">
        <v>39</v>
      </c>
      <c r="O150" s="118">
        <v>6.0000000000000001E-3</v>
      </c>
      <c r="P150" s="118">
        <f>O150*H150</f>
        <v>3.8624410799999995</v>
      </c>
      <c r="Q150" s="118">
        <v>0</v>
      </c>
      <c r="R150" s="118">
        <f>Q150*H150</f>
        <v>0</v>
      </c>
      <c r="S150" s="118">
        <v>0</v>
      </c>
      <c r="T150" s="119">
        <f>S150*H150</f>
        <v>0</v>
      </c>
      <c r="AR150" s="120" t="s">
        <v>108</v>
      </c>
      <c r="AT150" s="120" t="s">
        <v>103</v>
      </c>
      <c r="AU150" s="120" t="s">
        <v>65</v>
      </c>
      <c r="AY150" s="17" t="s">
        <v>101</v>
      </c>
      <c r="BE150" s="121">
        <f>IF(N150="základní",J150,0)</f>
        <v>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7" t="s">
        <v>63</v>
      </c>
      <c r="BK150" s="121">
        <f>ROUND(I150*H150,2)</f>
        <v>0</v>
      </c>
      <c r="BL150" s="17" t="s">
        <v>108</v>
      </c>
      <c r="BM150" s="120" t="s">
        <v>215</v>
      </c>
    </row>
    <row r="151" spans="2:65" s="1" customFormat="1" x14ac:dyDescent="0.2">
      <c r="B151" s="28"/>
      <c r="D151" s="122" t="s">
        <v>110</v>
      </c>
      <c r="F151" s="123" t="s">
        <v>216</v>
      </c>
      <c r="L151" s="28"/>
      <c r="M151" s="124"/>
      <c r="T151" s="48"/>
      <c r="AT151" s="17" t="s">
        <v>110</v>
      </c>
      <c r="AU151" s="17" t="s">
        <v>65</v>
      </c>
    </row>
    <row r="152" spans="2:65" s="13" customFormat="1" x14ac:dyDescent="0.2">
      <c r="B152" s="131"/>
      <c r="D152" s="126" t="s">
        <v>112</v>
      </c>
      <c r="E152" s="132" t="s">
        <v>1</v>
      </c>
      <c r="F152" s="133" t="s">
        <v>217</v>
      </c>
      <c r="H152" s="134">
        <f>785.049*0.82</f>
        <v>643.7401799999999</v>
      </c>
      <c r="L152" s="131"/>
      <c r="M152" s="135"/>
      <c r="T152" s="136"/>
      <c r="AT152" s="132" t="s">
        <v>112</v>
      </c>
      <c r="AU152" s="132" t="s">
        <v>65</v>
      </c>
      <c r="AV152" s="13" t="s">
        <v>65</v>
      </c>
      <c r="AW152" s="13" t="s">
        <v>30</v>
      </c>
      <c r="AX152" s="13" t="s">
        <v>63</v>
      </c>
      <c r="AY152" s="132" t="s">
        <v>101</v>
      </c>
    </row>
    <row r="153" spans="2:65" s="1" customFormat="1" ht="44.25" customHeight="1" x14ac:dyDescent="0.2">
      <c r="B153" s="109"/>
      <c r="C153" s="110" t="s">
        <v>218</v>
      </c>
      <c r="D153" s="110" t="s">
        <v>103</v>
      </c>
      <c r="E153" s="111" t="s">
        <v>219</v>
      </c>
      <c r="F153" s="112" t="s">
        <v>220</v>
      </c>
      <c r="G153" s="113" t="s">
        <v>130</v>
      </c>
      <c r="H153" s="114">
        <f>1153.362*0.82</f>
        <v>945.75684000000001</v>
      </c>
      <c r="I153" s="115">
        <v>0</v>
      </c>
      <c r="J153" s="115">
        <f>ROUND(I153*H153,2)</f>
        <v>0</v>
      </c>
      <c r="K153" s="112" t="s">
        <v>107</v>
      </c>
      <c r="L153" s="28"/>
      <c r="M153" s="116" t="s">
        <v>1</v>
      </c>
      <c r="N153" s="117" t="s">
        <v>39</v>
      </c>
      <c r="O153" s="118">
        <v>7.1999999999999995E-2</v>
      </c>
      <c r="P153" s="118">
        <f>O153*H153</f>
        <v>68.09449248</v>
      </c>
      <c r="Q153" s="118">
        <v>0</v>
      </c>
      <c r="R153" s="118">
        <f>Q153*H153</f>
        <v>0</v>
      </c>
      <c r="S153" s="118">
        <v>0</v>
      </c>
      <c r="T153" s="119">
        <f>S153*H153</f>
        <v>0</v>
      </c>
      <c r="AR153" s="120" t="s">
        <v>108</v>
      </c>
      <c r="AT153" s="120" t="s">
        <v>103</v>
      </c>
      <c r="AU153" s="120" t="s">
        <v>65</v>
      </c>
      <c r="AY153" s="17" t="s">
        <v>101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7" t="s">
        <v>63</v>
      </c>
      <c r="BK153" s="121">
        <f>ROUND(I153*H153,2)</f>
        <v>0</v>
      </c>
      <c r="BL153" s="17" t="s">
        <v>108</v>
      </c>
      <c r="BM153" s="120" t="s">
        <v>221</v>
      </c>
    </row>
    <row r="154" spans="2:65" s="1" customFormat="1" x14ac:dyDescent="0.2">
      <c r="B154" s="28"/>
      <c r="D154" s="122" t="s">
        <v>110</v>
      </c>
      <c r="F154" s="123" t="s">
        <v>222</v>
      </c>
      <c r="L154" s="28"/>
      <c r="M154" s="124"/>
      <c r="T154" s="48"/>
      <c r="AT154" s="17" t="s">
        <v>110</v>
      </c>
      <c r="AU154" s="17" t="s">
        <v>65</v>
      </c>
    </row>
    <row r="155" spans="2:65" s="13" customFormat="1" x14ac:dyDescent="0.2">
      <c r="B155" s="131"/>
      <c r="D155" s="126" t="s">
        <v>112</v>
      </c>
      <c r="E155" s="132" t="s">
        <v>1</v>
      </c>
      <c r="F155" s="133" t="s">
        <v>190</v>
      </c>
      <c r="H155" s="134">
        <v>445.56599999999997</v>
      </c>
      <c r="L155" s="131"/>
      <c r="M155" s="135"/>
      <c r="T155" s="136"/>
      <c r="AT155" s="132" t="s">
        <v>112</v>
      </c>
      <c r="AU155" s="132" t="s">
        <v>65</v>
      </c>
      <c r="AV155" s="13" t="s">
        <v>65</v>
      </c>
      <c r="AW155" s="13" t="s">
        <v>30</v>
      </c>
      <c r="AX155" s="13" t="s">
        <v>55</v>
      </c>
      <c r="AY155" s="132" t="s">
        <v>101</v>
      </c>
    </row>
    <row r="156" spans="2:65" s="13" customFormat="1" x14ac:dyDescent="0.2">
      <c r="B156" s="131"/>
      <c r="D156" s="126" t="s">
        <v>112</v>
      </c>
      <c r="E156" s="132" t="s">
        <v>1</v>
      </c>
      <c r="F156" s="133" t="s">
        <v>191</v>
      </c>
      <c r="H156" s="134">
        <v>490.31099999999998</v>
      </c>
      <c r="L156" s="131"/>
      <c r="M156" s="135"/>
      <c r="T156" s="136"/>
      <c r="AT156" s="132" t="s">
        <v>112</v>
      </c>
      <c r="AU156" s="132" t="s">
        <v>65</v>
      </c>
      <c r="AV156" s="13" t="s">
        <v>65</v>
      </c>
      <c r="AW156" s="13" t="s">
        <v>30</v>
      </c>
      <c r="AX156" s="13" t="s">
        <v>55</v>
      </c>
      <c r="AY156" s="132" t="s">
        <v>101</v>
      </c>
    </row>
    <row r="157" spans="2:65" s="13" customFormat="1" x14ac:dyDescent="0.2">
      <c r="B157" s="131"/>
      <c r="D157" s="126" t="s">
        <v>112</v>
      </c>
      <c r="E157" s="132" t="s">
        <v>1</v>
      </c>
      <c r="F157" s="133" t="s">
        <v>192</v>
      </c>
      <c r="H157" s="134">
        <v>217.48500000000001</v>
      </c>
      <c r="L157" s="131"/>
      <c r="M157" s="135"/>
      <c r="T157" s="136"/>
      <c r="AT157" s="132" t="s">
        <v>112</v>
      </c>
      <c r="AU157" s="132" t="s">
        <v>65</v>
      </c>
      <c r="AV157" s="13" t="s">
        <v>65</v>
      </c>
      <c r="AW157" s="13" t="s">
        <v>30</v>
      </c>
      <c r="AX157" s="13" t="s">
        <v>55</v>
      </c>
      <c r="AY157" s="132" t="s">
        <v>101</v>
      </c>
    </row>
    <row r="158" spans="2:65" s="14" customFormat="1" x14ac:dyDescent="0.2">
      <c r="B158" s="137"/>
      <c r="D158" s="126" t="s">
        <v>112</v>
      </c>
      <c r="E158" s="138" t="s">
        <v>1</v>
      </c>
      <c r="F158" s="139" t="s">
        <v>127</v>
      </c>
      <c r="H158" s="140">
        <v>1153.3620000000001</v>
      </c>
      <c r="L158" s="137"/>
      <c r="M158" s="141"/>
      <c r="T158" s="142"/>
      <c r="AT158" s="138" t="s">
        <v>112</v>
      </c>
      <c r="AU158" s="138" t="s">
        <v>65</v>
      </c>
      <c r="AV158" s="14" t="s">
        <v>108</v>
      </c>
      <c r="AW158" s="14" t="s">
        <v>30</v>
      </c>
      <c r="AX158" s="14" t="s">
        <v>63</v>
      </c>
      <c r="AY158" s="138" t="s">
        <v>101</v>
      </c>
    </row>
    <row r="159" spans="2:65" s="14" customFormat="1" x14ac:dyDescent="0.2">
      <c r="B159" s="137"/>
      <c r="D159" s="126"/>
      <c r="E159" s="138"/>
      <c r="F159" s="139" t="s">
        <v>1839</v>
      </c>
      <c r="H159" s="140">
        <f>H158*0.82</f>
        <v>945.75684000000001</v>
      </c>
      <c r="L159" s="137"/>
      <c r="M159" s="141"/>
      <c r="T159" s="142"/>
      <c r="AT159" s="138"/>
      <c r="AU159" s="138"/>
      <c r="AY159" s="138"/>
    </row>
    <row r="160" spans="2:65" s="1" customFormat="1" ht="44.25" customHeight="1" x14ac:dyDescent="0.2">
      <c r="B160" s="109"/>
      <c r="C160" s="110" t="s">
        <v>223</v>
      </c>
      <c r="D160" s="110" t="s">
        <v>103</v>
      </c>
      <c r="E160" s="111" t="s">
        <v>224</v>
      </c>
      <c r="F160" s="112" t="s">
        <v>225</v>
      </c>
      <c r="G160" s="113" t="s">
        <v>130</v>
      </c>
      <c r="H160" s="114">
        <f>261.683*0.82</f>
        <v>214.58005999999997</v>
      </c>
      <c r="I160" s="115">
        <v>0</v>
      </c>
      <c r="J160" s="115">
        <f>ROUND(I160*H160,2)</f>
        <v>0</v>
      </c>
      <c r="K160" s="112" t="s">
        <v>107</v>
      </c>
      <c r="L160" s="28"/>
      <c r="M160" s="116" t="s">
        <v>1</v>
      </c>
      <c r="N160" s="117" t="s">
        <v>39</v>
      </c>
      <c r="O160" s="118">
        <v>9.6000000000000002E-2</v>
      </c>
      <c r="P160" s="118">
        <f>O160*H160</f>
        <v>20.599685759999996</v>
      </c>
      <c r="Q160" s="118">
        <v>0</v>
      </c>
      <c r="R160" s="118">
        <f>Q160*H160</f>
        <v>0</v>
      </c>
      <c r="S160" s="118">
        <v>0</v>
      </c>
      <c r="T160" s="119">
        <f>S160*H160</f>
        <v>0</v>
      </c>
      <c r="AR160" s="120" t="s">
        <v>108</v>
      </c>
      <c r="AT160" s="120" t="s">
        <v>103</v>
      </c>
      <c r="AU160" s="120" t="s">
        <v>65</v>
      </c>
      <c r="AY160" s="17" t="s">
        <v>101</v>
      </c>
      <c r="BE160" s="121">
        <f>IF(N160="základní",J160,0)</f>
        <v>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7" t="s">
        <v>63</v>
      </c>
      <c r="BK160" s="121">
        <f>ROUND(I160*H160,2)</f>
        <v>0</v>
      </c>
      <c r="BL160" s="17" t="s">
        <v>108</v>
      </c>
      <c r="BM160" s="120" t="s">
        <v>226</v>
      </c>
    </row>
    <row r="161" spans="2:65" s="1" customFormat="1" x14ac:dyDescent="0.2">
      <c r="B161" s="28"/>
      <c r="D161" s="122" t="s">
        <v>110</v>
      </c>
      <c r="F161" s="123" t="s">
        <v>227</v>
      </c>
      <c r="L161" s="28"/>
      <c r="M161" s="124"/>
      <c r="T161" s="48"/>
      <c r="AT161" s="17" t="s">
        <v>110</v>
      </c>
      <c r="AU161" s="17" t="s">
        <v>65</v>
      </c>
    </row>
    <row r="162" spans="2:65" s="1" customFormat="1" ht="44.25" customHeight="1" x14ac:dyDescent="0.2">
      <c r="B162" s="109"/>
      <c r="C162" s="110" t="s">
        <v>228</v>
      </c>
      <c r="D162" s="110" t="s">
        <v>103</v>
      </c>
      <c r="E162" s="111" t="s">
        <v>229</v>
      </c>
      <c r="F162" s="112" t="s">
        <v>230</v>
      </c>
      <c r="G162" s="113" t="s">
        <v>231</v>
      </c>
      <c r="H162" s="114">
        <f>1285.717*0.82</f>
        <v>1054.2879399999999</v>
      </c>
      <c r="I162" s="115">
        <v>0</v>
      </c>
      <c r="J162" s="115">
        <f>ROUND(I162*H162,2)</f>
        <v>0</v>
      </c>
      <c r="K162" s="112" t="s">
        <v>107</v>
      </c>
      <c r="L162" s="28"/>
      <c r="M162" s="116" t="s">
        <v>1</v>
      </c>
      <c r="N162" s="117" t="s">
        <v>39</v>
      </c>
      <c r="O162" s="118">
        <v>0</v>
      </c>
      <c r="P162" s="118">
        <f>O162*H162</f>
        <v>0</v>
      </c>
      <c r="Q162" s="118">
        <v>0</v>
      </c>
      <c r="R162" s="118">
        <f>Q162*H162</f>
        <v>0</v>
      </c>
      <c r="S162" s="118">
        <v>0</v>
      </c>
      <c r="T162" s="119">
        <f>S162*H162</f>
        <v>0</v>
      </c>
      <c r="X162" s="121"/>
      <c r="AR162" s="120" t="s">
        <v>108</v>
      </c>
      <c r="AT162" s="120" t="s">
        <v>103</v>
      </c>
      <c r="AU162" s="120" t="s">
        <v>65</v>
      </c>
      <c r="AY162" s="17" t="s">
        <v>101</v>
      </c>
      <c r="BE162" s="121">
        <f>IF(N162="základní",J162,0)</f>
        <v>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7" t="s">
        <v>63</v>
      </c>
      <c r="BK162" s="121">
        <f>ROUND(I162*H162,2)</f>
        <v>0</v>
      </c>
      <c r="BL162" s="17" t="s">
        <v>108</v>
      </c>
      <c r="BM162" s="120" t="s">
        <v>232</v>
      </c>
    </row>
    <row r="163" spans="2:65" s="1" customFormat="1" x14ac:dyDescent="0.2">
      <c r="B163" s="28"/>
      <c r="D163" s="122" t="s">
        <v>110</v>
      </c>
      <c r="F163" s="123" t="s">
        <v>233</v>
      </c>
      <c r="L163" s="28"/>
      <c r="M163" s="124"/>
      <c r="T163" s="48"/>
      <c r="AT163" s="17" t="s">
        <v>110</v>
      </c>
      <c r="AU163" s="17" t="s">
        <v>65</v>
      </c>
    </row>
    <row r="164" spans="2:65" s="13" customFormat="1" x14ac:dyDescent="0.2">
      <c r="B164" s="131"/>
      <c r="D164" s="126" t="s">
        <v>112</v>
      </c>
      <c r="F164" s="133" t="s">
        <v>1846</v>
      </c>
      <c r="H164" s="134">
        <f>1285.717*0.82</f>
        <v>1054.2879399999999</v>
      </c>
      <c r="L164" s="131"/>
      <c r="M164" s="135"/>
      <c r="T164" s="136"/>
      <c r="AT164" s="132" t="s">
        <v>112</v>
      </c>
      <c r="AU164" s="132" t="s">
        <v>65</v>
      </c>
      <c r="AV164" s="13" t="s">
        <v>65</v>
      </c>
      <c r="AW164" s="13" t="s">
        <v>2</v>
      </c>
      <c r="AX164" s="13" t="s">
        <v>63</v>
      </c>
      <c r="AY164" s="132" t="s">
        <v>101</v>
      </c>
    </row>
    <row r="165" spans="2:65" s="1" customFormat="1" ht="37.9" customHeight="1" x14ac:dyDescent="0.2">
      <c r="B165" s="109"/>
      <c r="C165" s="110" t="s">
        <v>234</v>
      </c>
      <c r="D165" s="110" t="s">
        <v>103</v>
      </c>
      <c r="E165" s="111" t="s">
        <v>235</v>
      </c>
      <c r="F165" s="112" t="s">
        <v>236</v>
      </c>
      <c r="G165" s="113" t="s">
        <v>130</v>
      </c>
      <c r="H165" s="114">
        <f>707.249*0.82</f>
        <v>579.94417999999996</v>
      </c>
      <c r="I165" s="115">
        <v>0</v>
      </c>
      <c r="J165" s="115">
        <f>ROUND(I165*H165,2)</f>
        <v>0</v>
      </c>
      <c r="K165" s="112" t="s">
        <v>107</v>
      </c>
      <c r="L165" s="28"/>
      <c r="M165" s="116" t="s">
        <v>1</v>
      </c>
      <c r="N165" s="117" t="s">
        <v>39</v>
      </c>
      <c r="O165" s="118">
        <v>8.9999999999999993E-3</v>
      </c>
      <c r="P165" s="118">
        <f>O165*H165</f>
        <v>5.2194976199999994</v>
      </c>
      <c r="Q165" s="118">
        <v>0</v>
      </c>
      <c r="R165" s="118">
        <f>Q165*H165</f>
        <v>0</v>
      </c>
      <c r="S165" s="118">
        <v>0</v>
      </c>
      <c r="T165" s="119">
        <f>S165*H165</f>
        <v>0</v>
      </c>
      <c r="AR165" s="120" t="s">
        <v>108</v>
      </c>
      <c r="AT165" s="120" t="s">
        <v>103</v>
      </c>
      <c r="AU165" s="120" t="s">
        <v>65</v>
      </c>
      <c r="AY165" s="17" t="s">
        <v>101</v>
      </c>
      <c r="BE165" s="121">
        <f>IF(N165="základní",J165,0)</f>
        <v>0</v>
      </c>
      <c r="BF165" s="121">
        <f>IF(N165="snížená",J165,0)</f>
        <v>0</v>
      </c>
      <c r="BG165" s="121">
        <f>IF(N165="zákl. přenesená",J165,0)</f>
        <v>0</v>
      </c>
      <c r="BH165" s="121">
        <f>IF(N165="sníž. přenesená",J165,0)</f>
        <v>0</v>
      </c>
      <c r="BI165" s="121">
        <f>IF(N165="nulová",J165,0)</f>
        <v>0</v>
      </c>
      <c r="BJ165" s="17" t="s">
        <v>63</v>
      </c>
      <c r="BK165" s="121">
        <f>ROUND(I165*H165,2)</f>
        <v>0</v>
      </c>
      <c r="BL165" s="17" t="s">
        <v>108</v>
      </c>
      <c r="BM165" s="120" t="s">
        <v>237</v>
      </c>
    </row>
    <row r="166" spans="2:65" s="1" customFormat="1" x14ac:dyDescent="0.2">
      <c r="B166" s="28"/>
      <c r="D166" s="122" t="s">
        <v>110</v>
      </c>
      <c r="F166" s="123" t="s">
        <v>238</v>
      </c>
      <c r="L166" s="28"/>
      <c r="M166" s="124"/>
      <c r="T166" s="48"/>
      <c r="AT166" s="17" t="s">
        <v>110</v>
      </c>
      <c r="AU166" s="17" t="s">
        <v>65</v>
      </c>
    </row>
    <row r="167" spans="2:65" s="1" customFormat="1" ht="44.25" customHeight="1" x14ac:dyDescent="0.2">
      <c r="B167" s="109"/>
      <c r="C167" s="110" t="s">
        <v>239</v>
      </c>
      <c r="D167" s="110" t="s">
        <v>103</v>
      </c>
      <c r="E167" s="111" t="s">
        <v>240</v>
      </c>
      <c r="F167" s="112" t="s">
        <v>241</v>
      </c>
      <c r="G167" s="113" t="s">
        <v>130</v>
      </c>
      <c r="H167" s="114">
        <f>490.311*0.82</f>
        <v>402.05501999999996</v>
      </c>
      <c r="I167" s="115">
        <v>0</v>
      </c>
      <c r="J167" s="115">
        <f>ROUND(I167*H167,2)</f>
        <v>0</v>
      </c>
      <c r="K167" s="112" t="s">
        <v>107</v>
      </c>
      <c r="L167" s="28"/>
      <c r="M167" s="116" t="s">
        <v>1</v>
      </c>
      <c r="N167" s="117" t="s">
        <v>39</v>
      </c>
      <c r="O167" s="118">
        <v>0.32800000000000001</v>
      </c>
      <c r="P167" s="118">
        <f>O167*H167</f>
        <v>131.87404655999998</v>
      </c>
      <c r="Q167" s="118">
        <v>0</v>
      </c>
      <c r="R167" s="118">
        <f>Q167*H167</f>
        <v>0</v>
      </c>
      <c r="S167" s="118">
        <v>0</v>
      </c>
      <c r="T167" s="119">
        <f>S167*H167</f>
        <v>0</v>
      </c>
      <c r="AR167" s="120" t="s">
        <v>108</v>
      </c>
      <c r="AT167" s="120" t="s">
        <v>103</v>
      </c>
      <c r="AU167" s="120" t="s">
        <v>65</v>
      </c>
      <c r="AY167" s="17" t="s">
        <v>101</v>
      </c>
      <c r="BE167" s="121">
        <f>IF(N167="základní",J167,0)</f>
        <v>0</v>
      </c>
      <c r="BF167" s="121">
        <f>IF(N167="snížená",J167,0)</f>
        <v>0</v>
      </c>
      <c r="BG167" s="121">
        <f>IF(N167="zákl. přenesená",J167,0)</f>
        <v>0</v>
      </c>
      <c r="BH167" s="121">
        <f>IF(N167="sníž. přenesená",J167,0)</f>
        <v>0</v>
      </c>
      <c r="BI167" s="121">
        <f>IF(N167="nulová",J167,0)</f>
        <v>0</v>
      </c>
      <c r="BJ167" s="17" t="s">
        <v>63</v>
      </c>
      <c r="BK167" s="121">
        <f>ROUND(I167*H167,2)</f>
        <v>0</v>
      </c>
      <c r="BL167" s="17" t="s">
        <v>108</v>
      </c>
      <c r="BM167" s="120" t="s">
        <v>242</v>
      </c>
    </row>
    <row r="168" spans="2:65" s="1" customFormat="1" x14ac:dyDescent="0.2">
      <c r="B168" s="28"/>
      <c r="D168" s="122" t="s">
        <v>110</v>
      </c>
      <c r="F168" s="123" t="s">
        <v>243</v>
      </c>
      <c r="L168" s="28"/>
      <c r="M168" s="124"/>
      <c r="T168" s="48"/>
      <c r="AT168" s="17" t="s">
        <v>110</v>
      </c>
      <c r="AU168" s="17" t="s">
        <v>65</v>
      </c>
    </row>
    <row r="169" spans="2:65" s="12" customFormat="1" ht="22.5" x14ac:dyDescent="0.2">
      <c r="B169" s="125"/>
      <c r="D169" s="126" t="s">
        <v>112</v>
      </c>
      <c r="E169" s="127" t="s">
        <v>1</v>
      </c>
      <c r="F169" s="128" t="s">
        <v>244</v>
      </c>
      <c r="H169" s="127" t="s">
        <v>1</v>
      </c>
      <c r="L169" s="125"/>
      <c r="M169" s="129"/>
      <c r="T169" s="130"/>
      <c r="AT169" s="127" t="s">
        <v>112</v>
      </c>
      <c r="AU169" s="127" t="s">
        <v>65</v>
      </c>
      <c r="AV169" s="12" t="s">
        <v>63</v>
      </c>
      <c r="AW169" s="12" t="s">
        <v>30</v>
      </c>
      <c r="AX169" s="12" t="s">
        <v>55</v>
      </c>
      <c r="AY169" s="127" t="s">
        <v>101</v>
      </c>
    </row>
    <row r="170" spans="2:65" s="13" customFormat="1" x14ac:dyDescent="0.2">
      <c r="B170" s="131"/>
      <c r="D170" s="126" t="s">
        <v>112</v>
      </c>
      <c r="E170" s="132" t="s">
        <v>1</v>
      </c>
      <c r="F170" s="133" t="s">
        <v>245</v>
      </c>
      <c r="H170" s="134">
        <v>451.03800000000001</v>
      </c>
      <c r="L170" s="131"/>
      <c r="M170" s="135"/>
      <c r="T170" s="136"/>
      <c r="AT170" s="132" t="s">
        <v>112</v>
      </c>
      <c r="AU170" s="132" t="s">
        <v>65</v>
      </c>
      <c r="AV170" s="13" t="s">
        <v>65</v>
      </c>
      <c r="AW170" s="13" t="s">
        <v>30</v>
      </c>
      <c r="AX170" s="13" t="s">
        <v>55</v>
      </c>
      <c r="AY170" s="132" t="s">
        <v>101</v>
      </c>
    </row>
    <row r="171" spans="2:65" s="13" customFormat="1" x14ac:dyDescent="0.2">
      <c r="B171" s="131"/>
      <c r="D171" s="126" t="s">
        <v>112</v>
      </c>
      <c r="E171" s="132" t="s">
        <v>1</v>
      </c>
      <c r="F171" s="133" t="s">
        <v>246</v>
      </c>
      <c r="H171" s="134">
        <v>3.2250000000000001</v>
      </c>
      <c r="L171" s="131"/>
      <c r="M171" s="135"/>
      <c r="T171" s="136"/>
      <c r="AT171" s="132" t="s">
        <v>112</v>
      </c>
      <c r="AU171" s="132" t="s">
        <v>65</v>
      </c>
      <c r="AV171" s="13" t="s">
        <v>65</v>
      </c>
      <c r="AW171" s="13" t="s">
        <v>30</v>
      </c>
      <c r="AX171" s="13" t="s">
        <v>55</v>
      </c>
      <c r="AY171" s="132" t="s">
        <v>101</v>
      </c>
    </row>
    <row r="172" spans="2:65" s="13" customFormat="1" x14ac:dyDescent="0.2">
      <c r="B172" s="131"/>
      <c r="D172" s="126" t="s">
        <v>112</v>
      </c>
      <c r="E172" s="132" t="s">
        <v>1</v>
      </c>
      <c r="F172" s="133" t="s">
        <v>247</v>
      </c>
      <c r="H172" s="134">
        <v>12.987</v>
      </c>
      <c r="L172" s="131"/>
      <c r="M172" s="135"/>
      <c r="T172" s="136"/>
      <c r="AT172" s="132" t="s">
        <v>112</v>
      </c>
      <c r="AU172" s="132" t="s">
        <v>65</v>
      </c>
      <c r="AV172" s="13" t="s">
        <v>65</v>
      </c>
      <c r="AW172" s="13" t="s">
        <v>30</v>
      </c>
      <c r="AX172" s="13" t="s">
        <v>55</v>
      </c>
      <c r="AY172" s="132" t="s">
        <v>101</v>
      </c>
    </row>
    <row r="173" spans="2:65" s="13" customFormat="1" x14ac:dyDescent="0.2">
      <c r="B173" s="131"/>
      <c r="D173" s="126" t="s">
        <v>112</v>
      </c>
      <c r="E173" s="132" t="s">
        <v>1</v>
      </c>
      <c r="F173" s="133" t="s">
        <v>248</v>
      </c>
      <c r="H173" s="134">
        <v>1.6240000000000001</v>
      </c>
      <c r="L173" s="131"/>
      <c r="M173" s="135"/>
      <c r="T173" s="136"/>
      <c r="AT173" s="132" t="s">
        <v>112</v>
      </c>
      <c r="AU173" s="132" t="s">
        <v>65</v>
      </c>
      <c r="AV173" s="13" t="s">
        <v>65</v>
      </c>
      <c r="AW173" s="13" t="s">
        <v>30</v>
      </c>
      <c r="AX173" s="13" t="s">
        <v>55</v>
      </c>
      <c r="AY173" s="132" t="s">
        <v>101</v>
      </c>
    </row>
    <row r="174" spans="2:65" s="13" customFormat="1" x14ac:dyDescent="0.2">
      <c r="B174" s="131"/>
      <c r="D174" s="126" t="s">
        <v>112</v>
      </c>
      <c r="E174" s="132" t="s">
        <v>1</v>
      </c>
      <c r="F174" s="133" t="s">
        <v>249</v>
      </c>
      <c r="H174" s="134">
        <v>14.679</v>
      </c>
      <c r="L174" s="131"/>
      <c r="M174" s="135"/>
      <c r="T174" s="136"/>
      <c r="AT174" s="132" t="s">
        <v>112</v>
      </c>
      <c r="AU174" s="132" t="s">
        <v>65</v>
      </c>
      <c r="AV174" s="13" t="s">
        <v>65</v>
      </c>
      <c r="AW174" s="13" t="s">
        <v>30</v>
      </c>
      <c r="AX174" s="13" t="s">
        <v>55</v>
      </c>
      <c r="AY174" s="132" t="s">
        <v>101</v>
      </c>
    </row>
    <row r="175" spans="2:65" s="13" customFormat="1" x14ac:dyDescent="0.2">
      <c r="B175" s="131"/>
      <c r="D175" s="126" t="s">
        <v>112</v>
      </c>
      <c r="E175" s="132" t="s">
        <v>1</v>
      </c>
      <c r="F175" s="133" t="s">
        <v>250</v>
      </c>
      <c r="H175" s="134">
        <v>1.68</v>
      </c>
      <c r="L175" s="131"/>
      <c r="M175" s="135"/>
      <c r="T175" s="136"/>
      <c r="AT175" s="132" t="s">
        <v>112</v>
      </c>
      <c r="AU175" s="132" t="s">
        <v>65</v>
      </c>
      <c r="AV175" s="13" t="s">
        <v>65</v>
      </c>
      <c r="AW175" s="13" t="s">
        <v>30</v>
      </c>
      <c r="AX175" s="13" t="s">
        <v>55</v>
      </c>
      <c r="AY175" s="132" t="s">
        <v>101</v>
      </c>
    </row>
    <row r="176" spans="2:65" s="13" customFormat="1" x14ac:dyDescent="0.2">
      <c r="B176" s="131"/>
      <c r="D176" s="126" t="s">
        <v>112</v>
      </c>
      <c r="E176" s="132" t="s">
        <v>1</v>
      </c>
      <c r="F176" s="133" t="s">
        <v>251</v>
      </c>
      <c r="H176" s="134">
        <v>5.0780000000000003</v>
      </c>
      <c r="L176" s="131"/>
      <c r="M176" s="135"/>
      <c r="T176" s="136"/>
      <c r="AT176" s="132" t="s">
        <v>112</v>
      </c>
      <c r="AU176" s="132" t="s">
        <v>65</v>
      </c>
      <c r="AV176" s="13" t="s">
        <v>65</v>
      </c>
      <c r="AW176" s="13" t="s">
        <v>30</v>
      </c>
      <c r="AX176" s="13" t="s">
        <v>55</v>
      </c>
      <c r="AY176" s="132" t="s">
        <v>101</v>
      </c>
    </row>
    <row r="177" spans="2:65" s="14" customFormat="1" x14ac:dyDescent="0.2">
      <c r="B177" s="137"/>
      <c r="D177" s="126" t="s">
        <v>112</v>
      </c>
      <c r="E177" s="138" t="s">
        <v>1</v>
      </c>
      <c r="F177" s="139" t="s">
        <v>127</v>
      </c>
      <c r="H177" s="140">
        <v>490.31099999999998</v>
      </c>
      <c r="L177" s="137"/>
      <c r="M177" s="141"/>
      <c r="T177" s="142"/>
      <c r="AT177" s="138" t="s">
        <v>112</v>
      </c>
      <c r="AU177" s="138" t="s">
        <v>65</v>
      </c>
      <c r="AV177" s="14" t="s">
        <v>108</v>
      </c>
      <c r="AW177" s="14" t="s">
        <v>30</v>
      </c>
      <c r="AX177" s="14" t="s">
        <v>63</v>
      </c>
      <c r="AY177" s="138" t="s">
        <v>101</v>
      </c>
    </row>
    <row r="178" spans="2:65" s="14" customFormat="1" x14ac:dyDescent="0.2">
      <c r="B178" s="137"/>
      <c r="D178" s="126"/>
      <c r="E178" s="138"/>
      <c r="F178" s="139" t="s">
        <v>1839</v>
      </c>
      <c r="H178" s="140">
        <f>H177*0.82</f>
        <v>402.05501999999996</v>
      </c>
      <c r="L178" s="137"/>
      <c r="M178" s="141"/>
      <c r="T178" s="142"/>
      <c r="AT178" s="138"/>
      <c r="AU178" s="138"/>
      <c r="AY178" s="138"/>
    </row>
    <row r="179" spans="2:65" s="1" customFormat="1" ht="16.5" customHeight="1" x14ac:dyDescent="0.2">
      <c r="B179" s="109"/>
      <c r="C179" s="143" t="s">
        <v>6</v>
      </c>
      <c r="D179" s="143" t="s">
        <v>252</v>
      </c>
      <c r="E179" s="144" t="s">
        <v>253</v>
      </c>
      <c r="F179" s="145" t="s">
        <v>254</v>
      </c>
      <c r="G179" s="146" t="s">
        <v>231</v>
      </c>
      <c r="H179" s="147">
        <f>882.56*0.82</f>
        <v>723.69919999999991</v>
      </c>
      <c r="I179" s="148">
        <v>0</v>
      </c>
      <c r="J179" s="148">
        <f>ROUND(I179*H179,2)</f>
        <v>0</v>
      </c>
      <c r="K179" s="145" t="s">
        <v>107</v>
      </c>
      <c r="L179" s="149"/>
      <c r="M179" s="150" t="s">
        <v>1</v>
      </c>
      <c r="N179" s="151" t="s">
        <v>39</v>
      </c>
      <c r="O179" s="118">
        <v>0</v>
      </c>
      <c r="P179" s="118">
        <f>O179*H179</f>
        <v>0</v>
      </c>
      <c r="Q179" s="118">
        <v>0</v>
      </c>
      <c r="R179" s="118">
        <f>Q179*H179</f>
        <v>0</v>
      </c>
      <c r="S179" s="118">
        <v>0</v>
      </c>
      <c r="T179" s="119">
        <f>S179*H179</f>
        <v>0</v>
      </c>
      <c r="AR179" s="120" t="s">
        <v>171</v>
      </c>
      <c r="AT179" s="120" t="s">
        <v>252</v>
      </c>
      <c r="AU179" s="120" t="s">
        <v>65</v>
      </c>
      <c r="AY179" s="17" t="s">
        <v>101</v>
      </c>
      <c r="BE179" s="121">
        <f>IF(N179="základní",J179,0)</f>
        <v>0</v>
      </c>
      <c r="BF179" s="121">
        <f>IF(N179="snížená",J179,0)</f>
        <v>0</v>
      </c>
      <c r="BG179" s="121">
        <f>IF(N179="zákl. přenesená",J179,0)</f>
        <v>0</v>
      </c>
      <c r="BH179" s="121">
        <f>IF(N179="sníž. přenesená",J179,0)</f>
        <v>0</v>
      </c>
      <c r="BI179" s="121">
        <f>IF(N179="nulová",J179,0)</f>
        <v>0</v>
      </c>
      <c r="BJ179" s="17" t="s">
        <v>63</v>
      </c>
      <c r="BK179" s="121">
        <f>ROUND(I179*H179,2)</f>
        <v>0</v>
      </c>
      <c r="BL179" s="17" t="s">
        <v>108</v>
      </c>
      <c r="BM179" s="120" t="s">
        <v>255</v>
      </c>
    </row>
    <row r="180" spans="2:65" s="13" customFormat="1" x14ac:dyDescent="0.2">
      <c r="B180" s="131"/>
      <c r="D180" s="126" t="s">
        <v>112</v>
      </c>
      <c r="F180" s="133" t="s">
        <v>1841</v>
      </c>
      <c r="H180" s="134">
        <f>882.56*0.82</f>
        <v>723.69919999999991</v>
      </c>
      <c r="L180" s="131"/>
      <c r="M180" s="135"/>
      <c r="T180" s="136"/>
      <c r="AT180" s="132" t="s">
        <v>112</v>
      </c>
      <c r="AU180" s="132" t="s">
        <v>65</v>
      </c>
      <c r="AV180" s="13" t="s">
        <v>65</v>
      </c>
      <c r="AW180" s="13" t="s">
        <v>2</v>
      </c>
      <c r="AX180" s="13" t="s">
        <v>63</v>
      </c>
      <c r="AY180" s="132" t="s">
        <v>101</v>
      </c>
    </row>
    <row r="181" spans="2:65" s="1" customFormat="1" ht="66.75" customHeight="1" x14ac:dyDescent="0.2">
      <c r="B181" s="109"/>
      <c r="C181" s="110" t="s">
        <v>256</v>
      </c>
      <c r="D181" s="110" t="s">
        <v>103</v>
      </c>
      <c r="E181" s="111" t="s">
        <v>257</v>
      </c>
      <c r="F181" s="112" t="s">
        <v>258</v>
      </c>
      <c r="G181" s="113" t="s">
        <v>130</v>
      </c>
      <c r="H181" s="114">
        <f>217.485*0.82</f>
        <v>178.33770000000001</v>
      </c>
      <c r="I181" s="115">
        <v>0</v>
      </c>
      <c r="J181" s="115">
        <f>ROUND(I181*H181,2)</f>
        <v>0</v>
      </c>
      <c r="K181" s="112" t="s">
        <v>107</v>
      </c>
      <c r="L181" s="28"/>
      <c r="M181" s="116" t="s">
        <v>1</v>
      </c>
      <c r="N181" s="117" t="s">
        <v>39</v>
      </c>
      <c r="O181" s="118">
        <v>0.435</v>
      </c>
      <c r="P181" s="118">
        <f>O181*H181</f>
        <v>77.57689950000001</v>
      </c>
      <c r="Q181" s="118">
        <v>0</v>
      </c>
      <c r="R181" s="118">
        <f>Q181*H181</f>
        <v>0</v>
      </c>
      <c r="S181" s="118">
        <v>0</v>
      </c>
      <c r="T181" s="119">
        <f>S181*H181</f>
        <v>0</v>
      </c>
      <c r="AR181" s="120" t="s">
        <v>108</v>
      </c>
      <c r="AT181" s="120" t="s">
        <v>103</v>
      </c>
      <c r="AU181" s="120" t="s">
        <v>65</v>
      </c>
      <c r="AY181" s="17" t="s">
        <v>101</v>
      </c>
      <c r="BE181" s="121">
        <f>IF(N181="základní",J181,0)</f>
        <v>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7" t="s">
        <v>63</v>
      </c>
      <c r="BK181" s="121">
        <f>ROUND(I181*H181,2)</f>
        <v>0</v>
      </c>
      <c r="BL181" s="17" t="s">
        <v>108</v>
      </c>
      <c r="BM181" s="120" t="s">
        <v>259</v>
      </c>
    </row>
    <row r="182" spans="2:65" s="1" customFormat="1" x14ac:dyDescent="0.2">
      <c r="B182" s="28"/>
      <c r="D182" s="122" t="s">
        <v>110</v>
      </c>
      <c r="F182" s="123" t="s">
        <v>260</v>
      </c>
      <c r="L182" s="28"/>
      <c r="M182" s="124"/>
      <c r="T182" s="48"/>
      <c r="AT182" s="17" t="s">
        <v>110</v>
      </c>
      <c r="AU182" s="17" t="s">
        <v>65</v>
      </c>
    </row>
    <row r="183" spans="2:65" s="1" customFormat="1" ht="16.5" customHeight="1" x14ac:dyDescent="0.2">
      <c r="B183" s="109"/>
      <c r="C183" s="143" t="s">
        <v>261</v>
      </c>
      <c r="D183" s="143" t="s">
        <v>252</v>
      </c>
      <c r="E183" s="144" t="s">
        <v>262</v>
      </c>
      <c r="F183" s="145" t="s">
        <v>263</v>
      </c>
      <c r="G183" s="146" t="s">
        <v>231</v>
      </c>
      <c r="H183" s="147">
        <f>391.473*0.82</f>
        <v>321.00785999999999</v>
      </c>
      <c r="I183" s="148">
        <v>0</v>
      </c>
      <c r="J183" s="148">
        <f>ROUND(I183*H183,2)</f>
        <v>0</v>
      </c>
      <c r="K183" s="145" t="s">
        <v>107</v>
      </c>
      <c r="L183" s="149"/>
      <c r="M183" s="150" t="s">
        <v>1</v>
      </c>
      <c r="N183" s="151" t="s">
        <v>39</v>
      </c>
      <c r="O183" s="118">
        <v>0</v>
      </c>
      <c r="P183" s="118">
        <f>O183*H183</f>
        <v>0</v>
      </c>
      <c r="Q183" s="118">
        <v>0</v>
      </c>
      <c r="R183" s="118">
        <f>Q183*H183</f>
        <v>0</v>
      </c>
      <c r="S183" s="118">
        <v>0</v>
      </c>
      <c r="T183" s="119">
        <f>S183*H183</f>
        <v>0</v>
      </c>
      <c r="AR183" s="120" t="s">
        <v>171</v>
      </c>
      <c r="AT183" s="120" t="s">
        <v>252</v>
      </c>
      <c r="AU183" s="120" t="s">
        <v>65</v>
      </c>
      <c r="AY183" s="17" t="s">
        <v>101</v>
      </c>
      <c r="BE183" s="121">
        <f>IF(N183="základní",J183,0)</f>
        <v>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7" t="s">
        <v>63</v>
      </c>
      <c r="BK183" s="121">
        <f>ROUND(I183*H183,2)</f>
        <v>0</v>
      </c>
      <c r="BL183" s="17" t="s">
        <v>108</v>
      </c>
      <c r="BM183" s="120" t="s">
        <v>264</v>
      </c>
    </row>
    <row r="184" spans="2:65" s="12" customFormat="1" ht="22.5" x14ac:dyDescent="0.2">
      <c r="B184" s="125"/>
      <c r="D184" s="126" t="s">
        <v>112</v>
      </c>
      <c r="E184" s="127" t="s">
        <v>1</v>
      </c>
      <c r="F184" s="128" t="s">
        <v>265</v>
      </c>
      <c r="H184" s="127" t="s">
        <v>1</v>
      </c>
      <c r="L184" s="125"/>
      <c r="M184" s="129"/>
      <c r="T184" s="130"/>
      <c r="AT184" s="127" t="s">
        <v>112</v>
      </c>
      <c r="AU184" s="127" t="s">
        <v>65</v>
      </c>
      <c r="AV184" s="12" t="s">
        <v>63</v>
      </c>
      <c r="AW184" s="12" t="s">
        <v>30</v>
      </c>
      <c r="AX184" s="12" t="s">
        <v>55</v>
      </c>
      <c r="AY184" s="127" t="s">
        <v>101</v>
      </c>
    </row>
    <row r="185" spans="2:65" s="13" customFormat="1" x14ac:dyDescent="0.2">
      <c r="B185" s="131"/>
      <c r="D185" s="126" t="s">
        <v>112</v>
      </c>
      <c r="E185" s="132" t="s">
        <v>1</v>
      </c>
      <c r="F185" s="133" t="s">
        <v>266</v>
      </c>
      <c r="H185" s="134">
        <v>199.643</v>
      </c>
      <c r="L185" s="131"/>
      <c r="M185" s="135"/>
      <c r="T185" s="136"/>
      <c r="AT185" s="132" t="s">
        <v>112</v>
      </c>
      <c r="AU185" s="132" t="s">
        <v>65</v>
      </c>
      <c r="AV185" s="13" t="s">
        <v>65</v>
      </c>
      <c r="AW185" s="13" t="s">
        <v>30</v>
      </c>
      <c r="AX185" s="13" t="s">
        <v>55</v>
      </c>
      <c r="AY185" s="132" t="s">
        <v>101</v>
      </c>
    </row>
    <row r="186" spans="2:65" s="13" customFormat="1" x14ac:dyDescent="0.2">
      <c r="B186" s="131"/>
      <c r="D186" s="126" t="s">
        <v>112</v>
      </c>
      <c r="E186" s="132" t="s">
        <v>1</v>
      </c>
      <c r="F186" s="133" t="s">
        <v>267</v>
      </c>
      <c r="H186" s="134">
        <v>0.94699999999999995</v>
      </c>
      <c r="L186" s="131"/>
      <c r="M186" s="135"/>
      <c r="T186" s="136"/>
      <c r="AT186" s="132" t="s">
        <v>112</v>
      </c>
      <c r="AU186" s="132" t="s">
        <v>65</v>
      </c>
      <c r="AV186" s="13" t="s">
        <v>65</v>
      </c>
      <c r="AW186" s="13" t="s">
        <v>30</v>
      </c>
      <c r="AX186" s="13" t="s">
        <v>55</v>
      </c>
      <c r="AY186" s="132" t="s">
        <v>101</v>
      </c>
    </row>
    <row r="187" spans="2:65" s="13" customFormat="1" x14ac:dyDescent="0.2">
      <c r="B187" s="131"/>
      <c r="D187" s="126" t="s">
        <v>112</v>
      </c>
      <c r="E187" s="132" t="s">
        <v>1</v>
      </c>
      <c r="F187" s="133" t="s">
        <v>268</v>
      </c>
      <c r="H187" s="134">
        <v>6.0830000000000002</v>
      </c>
      <c r="L187" s="131"/>
      <c r="M187" s="135"/>
      <c r="T187" s="136"/>
      <c r="AT187" s="132" t="s">
        <v>112</v>
      </c>
      <c r="AU187" s="132" t="s">
        <v>65</v>
      </c>
      <c r="AV187" s="13" t="s">
        <v>65</v>
      </c>
      <c r="AW187" s="13" t="s">
        <v>30</v>
      </c>
      <c r="AX187" s="13" t="s">
        <v>55</v>
      </c>
      <c r="AY187" s="132" t="s">
        <v>101</v>
      </c>
    </row>
    <row r="188" spans="2:65" s="13" customFormat="1" x14ac:dyDescent="0.2">
      <c r="B188" s="131"/>
      <c r="D188" s="126" t="s">
        <v>112</v>
      </c>
      <c r="E188" s="132" t="s">
        <v>1</v>
      </c>
      <c r="F188" s="133" t="s">
        <v>269</v>
      </c>
      <c r="H188" s="134">
        <v>0.66900000000000004</v>
      </c>
      <c r="L188" s="131"/>
      <c r="M188" s="135"/>
      <c r="T188" s="136"/>
      <c r="AT188" s="132" t="s">
        <v>112</v>
      </c>
      <c r="AU188" s="132" t="s">
        <v>65</v>
      </c>
      <c r="AV188" s="13" t="s">
        <v>65</v>
      </c>
      <c r="AW188" s="13" t="s">
        <v>30</v>
      </c>
      <c r="AX188" s="13" t="s">
        <v>55</v>
      </c>
      <c r="AY188" s="132" t="s">
        <v>101</v>
      </c>
    </row>
    <row r="189" spans="2:65" s="13" customFormat="1" x14ac:dyDescent="0.2">
      <c r="B189" s="131"/>
      <c r="D189" s="126" t="s">
        <v>112</v>
      </c>
      <c r="E189" s="132" t="s">
        <v>1</v>
      </c>
      <c r="F189" s="133" t="s">
        <v>270</v>
      </c>
      <c r="H189" s="134">
        <v>7.0419999999999998</v>
      </c>
      <c r="L189" s="131"/>
      <c r="M189" s="135"/>
      <c r="T189" s="136"/>
      <c r="AT189" s="132" t="s">
        <v>112</v>
      </c>
      <c r="AU189" s="132" t="s">
        <v>65</v>
      </c>
      <c r="AV189" s="13" t="s">
        <v>65</v>
      </c>
      <c r="AW189" s="13" t="s">
        <v>30</v>
      </c>
      <c r="AX189" s="13" t="s">
        <v>55</v>
      </c>
      <c r="AY189" s="132" t="s">
        <v>101</v>
      </c>
    </row>
    <row r="190" spans="2:65" s="13" customFormat="1" x14ac:dyDescent="0.2">
      <c r="B190" s="131"/>
      <c r="D190" s="126" t="s">
        <v>112</v>
      </c>
      <c r="E190" s="132" t="s">
        <v>1</v>
      </c>
      <c r="F190" s="133" t="s">
        <v>271</v>
      </c>
      <c r="H190" s="134">
        <v>0.87</v>
      </c>
      <c r="L190" s="131"/>
      <c r="M190" s="135"/>
      <c r="T190" s="136"/>
      <c r="AT190" s="132" t="s">
        <v>112</v>
      </c>
      <c r="AU190" s="132" t="s">
        <v>65</v>
      </c>
      <c r="AV190" s="13" t="s">
        <v>65</v>
      </c>
      <c r="AW190" s="13" t="s">
        <v>30</v>
      </c>
      <c r="AX190" s="13" t="s">
        <v>55</v>
      </c>
      <c r="AY190" s="132" t="s">
        <v>101</v>
      </c>
    </row>
    <row r="191" spans="2:65" s="13" customFormat="1" x14ac:dyDescent="0.2">
      <c r="B191" s="131"/>
      <c r="D191" s="126" t="s">
        <v>112</v>
      </c>
      <c r="E191" s="132" t="s">
        <v>1</v>
      </c>
      <c r="F191" s="133" t="s">
        <v>272</v>
      </c>
      <c r="H191" s="134">
        <v>2.2309999999999999</v>
      </c>
      <c r="L191" s="131"/>
      <c r="M191" s="135"/>
      <c r="T191" s="136"/>
      <c r="AT191" s="132" t="s">
        <v>112</v>
      </c>
      <c r="AU191" s="132" t="s">
        <v>65</v>
      </c>
      <c r="AV191" s="13" t="s">
        <v>65</v>
      </c>
      <c r="AW191" s="13" t="s">
        <v>30</v>
      </c>
      <c r="AX191" s="13" t="s">
        <v>55</v>
      </c>
      <c r="AY191" s="132" t="s">
        <v>101</v>
      </c>
    </row>
    <row r="192" spans="2:65" s="14" customFormat="1" x14ac:dyDescent="0.2">
      <c r="B192" s="137"/>
      <c r="D192" s="126" t="s">
        <v>112</v>
      </c>
      <c r="E192" s="138" t="s">
        <v>1</v>
      </c>
      <c r="F192" s="139" t="s">
        <v>127</v>
      </c>
      <c r="H192" s="140">
        <v>217.48500000000001</v>
      </c>
      <c r="L192" s="137"/>
      <c r="M192" s="141"/>
      <c r="T192" s="142"/>
      <c r="AT192" s="138" t="s">
        <v>112</v>
      </c>
      <c r="AU192" s="138" t="s">
        <v>65</v>
      </c>
      <c r="AV192" s="14" t="s">
        <v>108</v>
      </c>
      <c r="AW192" s="14" t="s">
        <v>30</v>
      </c>
      <c r="AX192" s="14" t="s">
        <v>63</v>
      </c>
      <c r="AY192" s="138" t="s">
        <v>101</v>
      </c>
    </row>
    <row r="193" spans="2:65" s="13" customFormat="1" x14ac:dyDescent="0.2">
      <c r="B193" s="131"/>
      <c r="D193" s="126" t="s">
        <v>112</v>
      </c>
      <c r="F193" s="133" t="s">
        <v>273</v>
      </c>
      <c r="H193" s="134">
        <v>391.47300000000001</v>
      </c>
      <c r="L193" s="131"/>
      <c r="M193" s="135"/>
      <c r="T193" s="136"/>
      <c r="AT193" s="132" t="s">
        <v>112</v>
      </c>
      <c r="AU193" s="132" t="s">
        <v>65</v>
      </c>
      <c r="AV193" s="13" t="s">
        <v>65</v>
      </c>
      <c r="AW193" s="13" t="s">
        <v>2</v>
      </c>
      <c r="AX193" s="13" t="s">
        <v>63</v>
      </c>
      <c r="AY193" s="132" t="s">
        <v>101</v>
      </c>
    </row>
    <row r="194" spans="2:65" s="13" customFormat="1" x14ac:dyDescent="0.2">
      <c r="B194" s="131"/>
      <c r="D194" s="126"/>
      <c r="F194" s="139" t="s">
        <v>1839</v>
      </c>
      <c r="H194" s="140">
        <f>H193*0.82</f>
        <v>321.00785999999999</v>
      </c>
      <c r="L194" s="131"/>
      <c r="M194" s="135"/>
      <c r="T194" s="136"/>
      <c r="AT194" s="132"/>
      <c r="AU194" s="132"/>
      <c r="AY194" s="132"/>
    </row>
    <row r="195" spans="2:65" s="11" customFormat="1" ht="22.9" customHeight="1" x14ac:dyDescent="0.2">
      <c r="B195" s="98"/>
      <c r="D195" s="99" t="s">
        <v>54</v>
      </c>
      <c r="E195" s="107" t="s">
        <v>108</v>
      </c>
      <c r="F195" s="107" t="s">
        <v>274</v>
      </c>
      <c r="J195" s="108">
        <f>BK195</f>
        <v>0</v>
      </c>
      <c r="L195" s="98"/>
      <c r="M195" s="102"/>
      <c r="P195" s="103">
        <f>SUM(P196:P214)</f>
        <v>75.791837399999991</v>
      </c>
      <c r="R195" s="103">
        <f>SUM(R196:R214)</f>
        <v>4.6015923599999994E-2</v>
      </c>
      <c r="T195" s="104">
        <f>SUM(T196:T214)</f>
        <v>0</v>
      </c>
      <c r="V195" s="411"/>
      <c r="AR195" s="99" t="s">
        <v>63</v>
      </c>
      <c r="AT195" s="105" t="s">
        <v>54</v>
      </c>
      <c r="AU195" s="105" t="s">
        <v>63</v>
      </c>
      <c r="AY195" s="99" t="s">
        <v>101</v>
      </c>
      <c r="BK195" s="106">
        <f>SUM(BK196:BK214)</f>
        <v>0</v>
      </c>
    </row>
    <row r="196" spans="2:65" s="1" customFormat="1" ht="33" customHeight="1" x14ac:dyDescent="0.2">
      <c r="B196" s="109"/>
      <c r="C196" s="110" t="s">
        <v>275</v>
      </c>
      <c r="D196" s="110" t="s">
        <v>103</v>
      </c>
      <c r="E196" s="111" t="s">
        <v>276</v>
      </c>
      <c r="F196" s="112" t="s">
        <v>277</v>
      </c>
      <c r="G196" s="113" t="s">
        <v>130</v>
      </c>
      <c r="H196" s="114">
        <f>50.256*0.82</f>
        <v>41.209919999999997</v>
      </c>
      <c r="I196" s="115">
        <v>0</v>
      </c>
      <c r="J196" s="115">
        <f>ROUND(I196*H196,2)</f>
        <v>0</v>
      </c>
      <c r="K196" s="112" t="s">
        <v>107</v>
      </c>
      <c r="L196" s="28"/>
      <c r="M196" s="116" t="s">
        <v>1</v>
      </c>
      <c r="N196" s="117" t="s">
        <v>39</v>
      </c>
      <c r="O196" s="118">
        <v>1.6950000000000001</v>
      </c>
      <c r="P196" s="118">
        <f>O196*H196</f>
        <v>69.85081439999999</v>
      </c>
      <c r="Q196" s="118">
        <v>0</v>
      </c>
      <c r="R196" s="118">
        <f>Q196*H196</f>
        <v>0</v>
      </c>
      <c r="S196" s="118">
        <v>0</v>
      </c>
      <c r="T196" s="119">
        <f>S196*H196</f>
        <v>0</v>
      </c>
      <c r="AR196" s="120" t="s">
        <v>108</v>
      </c>
      <c r="AT196" s="120" t="s">
        <v>103</v>
      </c>
      <c r="AU196" s="120" t="s">
        <v>65</v>
      </c>
      <c r="AY196" s="17" t="s">
        <v>101</v>
      </c>
      <c r="BE196" s="121">
        <f>IF(N196="základní",J196,0)</f>
        <v>0</v>
      </c>
      <c r="BF196" s="121">
        <f>IF(N196="snížená",J196,0)</f>
        <v>0</v>
      </c>
      <c r="BG196" s="121">
        <f>IF(N196="zákl. přenesená",J196,0)</f>
        <v>0</v>
      </c>
      <c r="BH196" s="121">
        <f>IF(N196="sníž. přenesená",J196,0)</f>
        <v>0</v>
      </c>
      <c r="BI196" s="121">
        <f>IF(N196="nulová",J196,0)</f>
        <v>0</v>
      </c>
      <c r="BJ196" s="17" t="s">
        <v>63</v>
      </c>
      <c r="BK196" s="121">
        <f>ROUND(I196*H196,2)</f>
        <v>0</v>
      </c>
      <c r="BL196" s="17" t="s">
        <v>108</v>
      </c>
      <c r="BM196" s="120" t="s">
        <v>278</v>
      </c>
    </row>
    <row r="197" spans="2:65" s="1" customFormat="1" x14ac:dyDescent="0.2">
      <c r="B197" s="28"/>
      <c r="D197" s="122" t="s">
        <v>110</v>
      </c>
      <c r="F197" s="123" t="s">
        <v>279</v>
      </c>
      <c r="L197" s="28"/>
      <c r="M197" s="124"/>
      <c r="T197" s="48"/>
      <c r="AT197" s="17" t="s">
        <v>110</v>
      </c>
      <c r="AU197" s="17" t="s">
        <v>65</v>
      </c>
    </row>
    <row r="198" spans="2:65" s="12" customFormat="1" x14ac:dyDescent="0.2">
      <c r="B198" s="125"/>
      <c r="D198" s="126" t="s">
        <v>112</v>
      </c>
      <c r="E198" s="127" t="s">
        <v>1</v>
      </c>
      <c r="F198" s="128" t="s">
        <v>280</v>
      </c>
      <c r="H198" s="127" t="s">
        <v>1</v>
      </c>
      <c r="L198" s="125"/>
      <c r="M198" s="129"/>
      <c r="T198" s="130"/>
      <c r="AT198" s="127" t="s">
        <v>112</v>
      </c>
      <c r="AU198" s="127" t="s">
        <v>65</v>
      </c>
      <c r="AV198" s="12" t="s">
        <v>63</v>
      </c>
      <c r="AW198" s="12" t="s">
        <v>30</v>
      </c>
      <c r="AX198" s="12" t="s">
        <v>55</v>
      </c>
      <c r="AY198" s="127" t="s">
        <v>101</v>
      </c>
    </row>
    <row r="199" spans="2:65" s="13" customFormat="1" x14ac:dyDescent="0.2">
      <c r="B199" s="131"/>
      <c r="D199" s="126" t="s">
        <v>112</v>
      </c>
      <c r="E199" s="132" t="s">
        <v>1</v>
      </c>
      <c r="F199" s="133" t="s">
        <v>281</v>
      </c>
      <c r="H199" s="134">
        <v>45.752000000000002</v>
      </c>
      <c r="L199" s="131"/>
      <c r="M199" s="135"/>
      <c r="T199" s="136"/>
      <c r="AT199" s="132" t="s">
        <v>112</v>
      </c>
      <c r="AU199" s="132" t="s">
        <v>65</v>
      </c>
      <c r="AV199" s="13" t="s">
        <v>65</v>
      </c>
      <c r="AW199" s="13" t="s">
        <v>30</v>
      </c>
      <c r="AX199" s="13" t="s">
        <v>55</v>
      </c>
      <c r="AY199" s="132" t="s">
        <v>101</v>
      </c>
    </row>
    <row r="200" spans="2:65" s="13" customFormat="1" x14ac:dyDescent="0.2">
      <c r="B200" s="131"/>
      <c r="D200" s="126" t="s">
        <v>112</v>
      </c>
      <c r="E200" s="132" t="s">
        <v>1</v>
      </c>
      <c r="F200" s="133" t="s">
        <v>282</v>
      </c>
      <c r="H200" s="134">
        <v>0.248</v>
      </c>
      <c r="L200" s="131"/>
      <c r="M200" s="135"/>
      <c r="T200" s="136"/>
      <c r="AT200" s="132" t="s">
        <v>112</v>
      </c>
      <c r="AU200" s="132" t="s">
        <v>65</v>
      </c>
      <c r="AV200" s="13" t="s">
        <v>65</v>
      </c>
      <c r="AW200" s="13" t="s">
        <v>30</v>
      </c>
      <c r="AX200" s="13" t="s">
        <v>55</v>
      </c>
      <c r="AY200" s="132" t="s">
        <v>101</v>
      </c>
    </row>
    <row r="201" spans="2:65" s="13" customFormat="1" x14ac:dyDescent="0.2">
      <c r="B201" s="131"/>
      <c r="D201" s="126" t="s">
        <v>112</v>
      </c>
      <c r="E201" s="132" t="s">
        <v>1</v>
      </c>
      <c r="F201" s="133" t="s">
        <v>283</v>
      </c>
      <c r="H201" s="134">
        <v>1.528</v>
      </c>
      <c r="L201" s="131"/>
      <c r="M201" s="135"/>
      <c r="T201" s="136"/>
      <c r="AT201" s="132" t="s">
        <v>112</v>
      </c>
      <c r="AU201" s="132" t="s">
        <v>65</v>
      </c>
      <c r="AV201" s="13" t="s">
        <v>65</v>
      </c>
      <c r="AW201" s="13" t="s">
        <v>30</v>
      </c>
      <c r="AX201" s="13" t="s">
        <v>55</v>
      </c>
      <c r="AY201" s="132" t="s">
        <v>101</v>
      </c>
    </row>
    <row r="202" spans="2:65" s="13" customFormat="1" x14ac:dyDescent="0.2">
      <c r="B202" s="131"/>
      <c r="D202" s="126" t="s">
        <v>112</v>
      </c>
      <c r="E202" s="132" t="s">
        <v>1</v>
      </c>
      <c r="F202" s="133" t="s">
        <v>284</v>
      </c>
      <c r="H202" s="134">
        <v>0.17499999999999999</v>
      </c>
      <c r="L202" s="131"/>
      <c r="M202" s="135"/>
      <c r="T202" s="136"/>
      <c r="AT202" s="132" t="s">
        <v>112</v>
      </c>
      <c r="AU202" s="132" t="s">
        <v>65</v>
      </c>
      <c r="AV202" s="13" t="s">
        <v>65</v>
      </c>
      <c r="AW202" s="13" t="s">
        <v>30</v>
      </c>
      <c r="AX202" s="13" t="s">
        <v>55</v>
      </c>
      <c r="AY202" s="132" t="s">
        <v>101</v>
      </c>
    </row>
    <row r="203" spans="2:65" s="13" customFormat="1" x14ac:dyDescent="0.2">
      <c r="B203" s="131"/>
      <c r="D203" s="126" t="s">
        <v>112</v>
      </c>
      <c r="E203" s="132" t="s">
        <v>1</v>
      </c>
      <c r="F203" s="133" t="s">
        <v>285</v>
      </c>
      <c r="H203" s="134">
        <v>1.7689999999999999</v>
      </c>
      <c r="L203" s="131"/>
      <c r="M203" s="135"/>
      <c r="T203" s="136"/>
      <c r="AT203" s="132" t="s">
        <v>112</v>
      </c>
      <c r="AU203" s="132" t="s">
        <v>65</v>
      </c>
      <c r="AV203" s="13" t="s">
        <v>65</v>
      </c>
      <c r="AW203" s="13" t="s">
        <v>30</v>
      </c>
      <c r="AX203" s="13" t="s">
        <v>55</v>
      </c>
      <c r="AY203" s="132" t="s">
        <v>101</v>
      </c>
    </row>
    <row r="204" spans="2:65" s="13" customFormat="1" x14ac:dyDescent="0.2">
      <c r="B204" s="131"/>
      <c r="D204" s="126" t="s">
        <v>112</v>
      </c>
      <c r="E204" s="132" t="s">
        <v>1</v>
      </c>
      <c r="F204" s="133" t="s">
        <v>286</v>
      </c>
      <c r="H204" s="134">
        <v>0.2</v>
      </c>
      <c r="L204" s="131"/>
      <c r="M204" s="135"/>
      <c r="T204" s="136"/>
      <c r="AT204" s="132" t="s">
        <v>112</v>
      </c>
      <c r="AU204" s="132" t="s">
        <v>65</v>
      </c>
      <c r="AV204" s="13" t="s">
        <v>65</v>
      </c>
      <c r="AW204" s="13" t="s">
        <v>30</v>
      </c>
      <c r="AX204" s="13" t="s">
        <v>55</v>
      </c>
      <c r="AY204" s="132" t="s">
        <v>101</v>
      </c>
    </row>
    <row r="205" spans="2:65" s="13" customFormat="1" x14ac:dyDescent="0.2">
      <c r="B205" s="131"/>
      <c r="D205" s="126" t="s">
        <v>112</v>
      </c>
      <c r="E205" s="132" t="s">
        <v>1</v>
      </c>
      <c r="F205" s="133" t="s">
        <v>287</v>
      </c>
      <c r="H205" s="134">
        <v>0.58399999999999996</v>
      </c>
      <c r="L205" s="131"/>
      <c r="M205" s="135"/>
      <c r="T205" s="136"/>
      <c r="AT205" s="132" t="s">
        <v>112</v>
      </c>
      <c r="AU205" s="132" t="s">
        <v>65</v>
      </c>
      <c r="AV205" s="13" t="s">
        <v>65</v>
      </c>
      <c r="AW205" s="13" t="s">
        <v>30</v>
      </c>
      <c r="AX205" s="13" t="s">
        <v>55</v>
      </c>
      <c r="AY205" s="132" t="s">
        <v>101</v>
      </c>
    </row>
    <row r="206" spans="2:65" s="14" customFormat="1" x14ac:dyDescent="0.2">
      <c r="B206" s="137"/>
      <c r="D206" s="126" t="s">
        <v>112</v>
      </c>
      <c r="E206" s="138" t="s">
        <v>1</v>
      </c>
      <c r="F206" s="139" t="s">
        <v>127</v>
      </c>
      <c r="H206" s="140">
        <v>50.256</v>
      </c>
      <c r="L206" s="137"/>
      <c r="M206" s="141"/>
      <c r="T206" s="142"/>
      <c r="AT206" s="138" t="s">
        <v>112</v>
      </c>
      <c r="AU206" s="138" t="s">
        <v>65</v>
      </c>
      <c r="AV206" s="14" t="s">
        <v>108</v>
      </c>
      <c r="AW206" s="14" t="s">
        <v>30</v>
      </c>
      <c r="AX206" s="14" t="s">
        <v>63</v>
      </c>
      <c r="AY206" s="138" t="s">
        <v>101</v>
      </c>
    </row>
    <row r="207" spans="2:65" s="14" customFormat="1" x14ac:dyDescent="0.2">
      <c r="B207" s="137"/>
      <c r="D207" s="126"/>
      <c r="E207" s="138"/>
      <c r="F207" s="139" t="s">
        <v>1839</v>
      </c>
      <c r="H207" s="140">
        <f>H206*0.82</f>
        <v>41.209919999999997</v>
      </c>
      <c r="L207" s="137"/>
      <c r="M207" s="141"/>
      <c r="T207" s="142"/>
      <c r="AT207" s="138"/>
      <c r="AU207" s="138"/>
      <c r="AY207" s="138"/>
    </row>
    <row r="208" spans="2:65" s="1" customFormat="1" ht="24.2" customHeight="1" x14ac:dyDescent="0.2">
      <c r="B208" s="109"/>
      <c r="C208" s="110" t="s">
        <v>297</v>
      </c>
      <c r="D208" s="110" t="s">
        <v>103</v>
      </c>
      <c r="E208" s="111" t="s">
        <v>298</v>
      </c>
      <c r="F208" s="112" t="s">
        <v>299</v>
      </c>
      <c r="G208" s="113" t="s">
        <v>174</v>
      </c>
      <c r="H208" s="114">
        <f>8.782*0.82</f>
        <v>7.2012399999999994</v>
      </c>
      <c r="I208" s="115">
        <v>0</v>
      </c>
      <c r="J208" s="115">
        <f>ROUND(I208*H208,2)</f>
        <v>0</v>
      </c>
      <c r="K208" s="112" t="s">
        <v>107</v>
      </c>
      <c r="L208" s="28"/>
      <c r="M208" s="116" t="s">
        <v>1</v>
      </c>
      <c r="N208" s="117" t="s">
        <v>39</v>
      </c>
      <c r="O208" s="118">
        <v>0.82499999999999996</v>
      </c>
      <c r="P208" s="118">
        <f>O208*H208</f>
        <v>5.9410229999999995</v>
      </c>
      <c r="Q208" s="118">
        <v>6.3899999999999998E-3</v>
      </c>
      <c r="R208" s="118">
        <f>Q208*H208</f>
        <v>4.6015923599999994E-2</v>
      </c>
      <c r="S208" s="118">
        <v>0</v>
      </c>
      <c r="T208" s="119">
        <f>S208*H208</f>
        <v>0</v>
      </c>
      <c r="AR208" s="120" t="s">
        <v>108</v>
      </c>
      <c r="AT208" s="120" t="s">
        <v>103</v>
      </c>
      <c r="AU208" s="120" t="s">
        <v>65</v>
      </c>
      <c r="AY208" s="17" t="s">
        <v>101</v>
      </c>
      <c r="BE208" s="121">
        <f>IF(N208="základní",J208,0)</f>
        <v>0</v>
      </c>
      <c r="BF208" s="121">
        <f>IF(N208="snížená",J208,0)</f>
        <v>0</v>
      </c>
      <c r="BG208" s="121">
        <f>IF(N208="zákl. přenesená",J208,0)</f>
        <v>0</v>
      </c>
      <c r="BH208" s="121">
        <f>IF(N208="sníž. přenesená",J208,0)</f>
        <v>0</v>
      </c>
      <c r="BI208" s="121">
        <f>IF(N208="nulová",J208,0)</f>
        <v>0</v>
      </c>
      <c r="BJ208" s="17" t="s">
        <v>63</v>
      </c>
      <c r="BK208" s="121">
        <f>ROUND(I208*H208,2)</f>
        <v>0</v>
      </c>
      <c r="BL208" s="17" t="s">
        <v>108</v>
      </c>
      <c r="BM208" s="120" t="s">
        <v>300</v>
      </c>
    </row>
    <row r="209" spans="2:65" s="1" customFormat="1" x14ac:dyDescent="0.2">
      <c r="B209" s="28"/>
      <c r="D209" s="122" t="s">
        <v>110</v>
      </c>
      <c r="F209" s="123" t="s">
        <v>301</v>
      </c>
      <c r="L209" s="28"/>
      <c r="M209" s="124"/>
      <c r="T209" s="48"/>
      <c r="AT209" s="17" t="s">
        <v>110</v>
      </c>
      <c r="AU209" s="17" t="s">
        <v>65</v>
      </c>
    </row>
    <row r="210" spans="2:65" s="12" customFormat="1" x14ac:dyDescent="0.2">
      <c r="B210" s="125"/>
      <c r="D210" s="126" t="s">
        <v>112</v>
      </c>
      <c r="E210" s="127" t="s">
        <v>1</v>
      </c>
      <c r="F210" s="128" t="s">
        <v>302</v>
      </c>
      <c r="H210" s="127" t="s">
        <v>1</v>
      </c>
      <c r="L210" s="125"/>
      <c r="M210" s="129"/>
      <c r="T210" s="130"/>
      <c r="AT210" s="127" t="s">
        <v>112</v>
      </c>
      <c r="AU210" s="127" t="s">
        <v>65</v>
      </c>
      <c r="AV210" s="12" t="s">
        <v>63</v>
      </c>
      <c r="AW210" s="12" t="s">
        <v>30</v>
      </c>
      <c r="AX210" s="12" t="s">
        <v>55</v>
      </c>
      <c r="AY210" s="127" t="s">
        <v>101</v>
      </c>
    </row>
    <row r="211" spans="2:65" s="13" customFormat="1" x14ac:dyDescent="0.2">
      <c r="B211" s="131"/>
      <c r="D211" s="126" t="s">
        <v>112</v>
      </c>
      <c r="E211" s="132" t="s">
        <v>1</v>
      </c>
      <c r="F211" s="133" t="s">
        <v>303</v>
      </c>
      <c r="H211" s="134">
        <v>0.46200000000000002</v>
      </c>
      <c r="L211" s="131"/>
      <c r="M211" s="135"/>
      <c r="T211" s="136"/>
      <c r="AT211" s="132" t="s">
        <v>112</v>
      </c>
      <c r="AU211" s="132" t="s">
        <v>65</v>
      </c>
      <c r="AV211" s="13" t="s">
        <v>65</v>
      </c>
      <c r="AW211" s="13" t="s">
        <v>30</v>
      </c>
      <c r="AX211" s="13" t="s">
        <v>55</v>
      </c>
      <c r="AY211" s="132" t="s">
        <v>101</v>
      </c>
    </row>
    <row r="212" spans="2:65" s="13" customFormat="1" x14ac:dyDescent="0.2">
      <c r="B212" s="131"/>
      <c r="D212" s="126" t="s">
        <v>112</v>
      </c>
      <c r="E212" s="132" t="s">
        <v>1</v>
      </c>
      <c r="F212" s="133" t="s">
        <v>304</v>
      </c>
      <c r="H212" s="134">
        <v>1.92</v>
      </c>
      <c r="L212" s="131"/>
      <c r="M212" s="135"/>
      <c r="T212" s="136"/>
      <c r="AT212" s="132" t="s">
        <v>112</v>
      </c>
      <c r="AU212" s="132" t="s">
        <v>65</v>
      </c>
      <c r="AV212" s="13" t="s">
        <v>65</v>
      </c>
      <c r="AW212" s="13" t="s">
        <v>30</v>
      </c>
      <c r="AX212" s="13" t="s">
        <v>55</v>
      </c>
      <c r="AY212" s="132" t="s">
        <v>101</v>
      </c>
    </row>
    <row r="213" spans="2:65" s="13" customFormat="1" x14ac:dyDescent="0.2">
      <c r="B213" s="131"/>
      <c r="D213" s="126" t="s">
        <v>112</v>
      </c>
      <c r="E213" s="132" t="s">
        <v>1</v>
      </c>
      <c r="F213" s="133" t="s">
        <v>305</v>
      </c>
      <c r="H213" s="134">
        <v>6.4</v>
      </c>
      <c r="L213" s="131"/>
      <c r="M213" s="135"/>
      <c r="T213" s="136"/>
      <c r="AT213" s="132" t="s">
        <v>112</v>
      </c>
      <c r="AU213" s="132" t="s">
        <v>65</v>
      </c>
      <c r="AV213" s="13" t="s">
        <v>65</v>
      </c>
      <c r="AW213" s="13" t="s">
        <v>30</v>
      </c>
      <c r="AX213" s="13" t="s">
        <v>55</v>
      </c>
      <c r="AY213" s="132" t="s">
        <v>101</v>
      </c>
    </row>
    <row r="214" spans="2:65" s="14" customFormat="1" x14ac:dyDescent="0.2">
      <c r="B214" s="137"/>
      <c r="D214" s="126" t="s">
        <v>112</v>
      </c>
      <c r="E214" s="138" t="s">
        <v>1</v>
      </c>
      <c r="F214" s="139" t="s">
        <v>127</v>
      </c>
      <c r="H214" s="140">
        <v>8.782</v>
      </c>
      <c r="L214" s="137"/>
      <c r="M214" s="141"/>
      <c r="T214" s="142"/>
      <c r="AT214" s="138" t="s">
        <v>112</v>
      </c>
      <c r="AU214" s="138" t="s">
        <v>65</v>
      </c>
      <c r="AV214" s="14" t="s">
        <v>108</v>
      </c>
      <c r="AW214" s="14" t="s">
        <v>30</v>
      </c>
      <c r="AX214" s="14" t="s">
        <v>63</v>
      </c>
      <c r="AY214" s="138" t="s">
        <v>101</v>
      </c>
    </row>
    <row r="215" spans="2:65" s="14" customFormat="1" x14ac:dyDescent="0.2">
      <c r="B215" s="137"/>
      <c r="D215" s="126"/>
      <c r="E215" s="138"/>
      <c r="F215" s="139" t="s">
        <v>1839</v>
      </c>
      <c r="H215" s="140">
        <f>H214*0.82</f>
        <v>7.2012399999999994</v>
      </c>
      <c r="L215" s="137"/>
      <c r="M215" s="141"/>
      <c r="T215" s="142"/>
      <c r="AT215" s="138"/>
      <c r="AU215" s="138"/>
      <c r="AY215" s="138"/>
    </row>
    <row r="216" spans="2:65" s="11" customFormat="1" ht="22.9" customHeight="1" x14ac:dyDescent="0.2">
      <c r="B216" s="98"/>
      <c r="D216" s="99" t="s">
        <v>54</v>
      </c>
      <c r="E216" s="107" t="s">
        <v>171</v>
      </c>
      <c r="F216" s="107" t="s">
        <v>306</v>
      </c>
      <c r="J216" s="108">
        <f>BK216</f>
        <v>0</v>
      </c>
      <c r="L216" s="98"/>
      <c r="M216" s="102"/>
      <c r="P216" s="103">
        <f>SUM(P217:P313)</f>
        <v>367.50438400000002</v>
      </c>
      <c r="R216" s="103">
        <f>SUM(R217:R313)</f>
        <v>4.1624940522000013</v>
      </c>
      <c r="T216" s="104">
        <f>SUM(T217:T313)</f>
        <v>0</v>
      </c>
      <c r="V216" s="411"/>
      <c r="AR216" s="99" t="s">
        <v>63</v>
      </c>
      <c r="AT216" s="105" t="s">
        <v>54</v>
      </c>
      <c r="AU216" s="105" t="s">
        <v>63</v>
      </c>
      <c r="AY216" s="99" t="s">
        <v>101</v>
      </c>
      <c r="BK216" s="106">
        <f>SUM(BK217:BK313)</f>
        <v>0</v>
      </c>
    </row>
    <row r="217" spans="2:65" s="1" customFormat="1" ht="44.25" customHeight="1" x14ac:dyDescent="0.2">
      <c r="B217" s="109"/>
      <c r="C217" s="110" t="s">
        <v>311</v>
      </c>
      <c r="D217" s="110" t="s">
        <v>103</v>
      </c>
      <c r="E217" s="111" t="s">
        <v>312</v>
      </c>
      <c r="F217" s="112" t="s">
        <v>313</v>
      </c>
      <c r="G217" s="113" t="s">
        <v>314</v>
      </c>
      <c r="H217" s="114">
        <v>5</v>
      </c>
      <c r="I217" s="115">
        <v>0</v>
      </c>
      <c r="J217" s="115">
        <f>ROUND(I217*H217,2)</f>
        <v>0</v>
      </c>
      <c r="K217" s="112" t="s">
        <v>107</v>
      </c>
      <c r="L217" s="28"/>
      <c r="M217" s="116" t="s">
        <v>1</v>
      </c>
      <c r="N217" s="117" t="s">
        <v>39</v>
      </c>
      <c r="O217" s="118">
        <v>0.75900000000000001</v>
      </c>
      <c r="P217" s="118">
        <f>O217*H217</f>
        <v>3.7949999999999999</v>
      </c>
      <c r="Q217" s="118">
        <v>1.67E-3</v>
      </c>
      <c r="R217" s="118">
        <f>Q217*H217</f>
        <v>8.3499999999999998E-3</v>
      </c>
      <c r="S217" s="118">
        <v>0</v>
      </c>
      <c r="T217" s="119">
        <f>S217*H217</f>
        <v>0</v>
      </c>
      <c r="AR217" s="120" t="s">
        <v>108</v>
      </c>
      <c r="AT217" s="120" t="s">
        <v>103</v>
      </c>
      <c r="AU217" s="120" t="s">
        <v>65</v>
      </c>
      <c r="AY217" s="17" t="s">
        <v>101</v>
      </c>
      <c r="BE217" s="121">
        <f>IF(N217="základní",J217,0)</f>
        <v>0</v>
      </c>
      <c r="BF217" s="121">
        <f>IF(N217="snížená",J217,0)</f>
        <v>0</v>
      </c>
      <c r="BG217" s="121">
        <f>IF(N217="zákl. přenesená",J217,0)</f>
        <v>0</v>
      </c>
      <c r="BH217" s="121">
        <f>IF(N217="sníž. přenesená",J217,0)</f>
        <v>0</v>
      </c>
      <c r="BI217" s="121">
        <f>IF(N217="nulová",J217,0)</f>
        <v>0</v>
      </c>
      <c r="BJ217" s="17" t="s">
        <v>63</v>
      </c>
      <c r="BK217" s="121">
        <f>ROUND(I217*H217,2)</f>
        <v>0</v>
      </c>
      <c r="BL217" s="17" t="s">
        <v>108</v>
      </c>
      <c r="BM217" s="120" t="s">
        <v>315</v>
      </c>
    </row>
    <row r="218" spans="2:65" s="1" customFormat="1" x14ac:dyDescent="0.2">
      <c r="B218" s="28"/>
      <c r="D218" s="122" t="s">
        <v>110</v>
      </c>
      <c r="F218" s="123" t="s">
        <v>316</v>
      </c>
      <c r="L218" s="28"/>
      <c r="M218" s="124"/>
      <c r="T218" s="48"/>
      <c r="AT218" s="17" t="s">
        <v>110</v>
      </c>
      <c r="AU218" s="17" t="s">
        <v>65</v>
      </c>
    </row>
    <row r="219" spans="2:65" s="1" customFormat="1" ht="24.2" customHeight="1" x14ac:dyDescent="0.2">
      <c r="B219" s="109"/>
      <c r="C219" s="143" t="s">
        <v>317</v>
      </c>
      <c r="D219" s="143" t="s">
        <v>252</v>
      </c>
      <c r="E219" s="144" t="s">
        <v>318</v>
      </c>
      <c r="F219" s="145" t="s">
        <v>319</v>
      </c>
      <c r="G219" s="146" t="s">
        <v>314</v>
      </c>
      <c r="H219" s="147">
        <v>1</v>
      </c>
      <c r="I219" s="148">
        <v>0</v>
      </c>
      <c r="J219" s="148">
        <f>ROUND(I219*H219,2)</f>
        <v>0</v>
      </c>
      <c r="K219" s="145" t="s">
        <v>107</v>
      </c>
      <c r="L219" s="149"/>
      <c r="M219" s="150" t="s">
        <v>1</v>
      </c>
      <c r="N219" s="151" t="s">
        <v>39</v>
      </c>
      <c r="O219" s="118">
        <v>0</v>
      </c>
      <c r="P219" s="118">
        <f>O219*H219</f>
        <v>0</v>
      </c>
      <c r="Q219" s="118">
        <v>8.9999999999999993E-3</v>
      </c>
      <c r="R219" s="118">
        <f>Q219*H219</f>
        <v>8.9999999999999993E-3</v>
      </c>
      <c r="S219" s="118">
        <v>0</v>
      </c>
      <c r="T219" s="119">
        <f>S219*H219</f>
        <v>0</v>
      </c>
      <c r="X219" s="121"/>
      <c r="AR219" s="120" t="s">
        <v>171</v>
      </c>
      <c r="AT219" s="120" t="s">
        <v>252</v>
      </c>
      <c r="AU219" s="120" t="s">
        <v>65</v>
      </c>
      <c r="AY219" s="17" t="s">
        <v>101</v>
      </c>
      <c r="BE219" s="121">
        <f>IF(N219="základní",J219,0)</f>
        <v>0</v>
      </c>
      <c r="BF219" s="121">
        <f>IF(N219="snížená",J219,0)</f>
        <v>0</v>
      </c>
      <c r="BG219" s="121">
        <f>IF(N219="zákl. přenesená",J219,0)</f>
        <v>0</v>
      </c>
      <c r="BH219" s="121">
        <f>IF(N219="sníž. přenesená",J219,0)</f>
        <v>0</v>
      </c>
      <c r="BI219" s="121">
        <f>IF(N219="nulová",J219,0)</f>
        <v>0</v>
      </c>
      <c r="BJ219" s="17" t="s">
        <v>63</v>
      </c>
      <c r="BK219" s="121">
        <f>ROUND(I219*H219,2)</f>
        <v>0</v>
      </c>
      <c r="BL219" s="17" t="s">
        <v>108</v>
      </c>
      <c r="BM219" s="120" t="s">
        <v>320</v>
      </c>
    </row>
    <row r="220" spans="2:65" s="1" customFormat="1" ht="24.2" customHeight="1" x14ac:dyDescent="0.2">
      <c r="B220" s="109"/>
      <c r="C220" s="143" t="s">
        <v>321</v>
      </c>
      <c r="D220" s="143" t="s">
        <v>252</v>
      </c>
      <c r="E220" s="144" t="s">
        <v>322</v>
      </c>
      <c r="F220" s="145" t="s">
        <v>323</v>
      </c>
      <c r="G220" s="146" t="s">
        <v>314</v>
      </c>
      <c r="H220" s="147">
        <v>2</v>
      </c>
      <c r="I220" s="148">
        <v>0</v>
      </c>
      <c r="J220" s="148">
        <f>ROUND(I220*H220,2)</f>
        <v>0</v>
      </c>
      <c r="K220" s="145" t="s">
        <v>1</v>
      </c>
      <c r="L220" s="149"/>
      <c r="M220" s="150" t="s">
        <v>1</v>
      </c>
      <c r="N220" s="151" t="s">
        <v>39</v>
      </c>
      <c r="O220" s="118">
        <v>0</v>
      </c>
      <c r="P220" s="118">
        <f>O220*H220</f>
        <v>0</v>
      </c>
      <c r="Q220" s="118">
        <v>4.8000000000000001E-4</v>
      </c>
      <c r="R220" s="118">
        <f>Q220*H220</f>
        <v>9.6000000000000002E-4</v>
      </c>
      <c r="S220" s="118">
        <v>0</v>
      </c>
      <c r="T220" s="119">
        <f>S220*H220</f>
        <v>0</v>
      </c>
      <c r="AR220" s="120" t="s">
        <v>171</v>
      </c>
      <c r="AT220" s="120" t="s">
        <v>252</v>
      </c>
      <c r="AU220" s="120" t="s">
        <v>65</v>
      </c>
      <c r="AY220" s="17" t="s">
        <v>101</v>
      </c>
      <c r="BE220" s="121">
        <f>IF(N220="základní",J220,0)</f>
        <v>0</v>
      </c>
      <c r="BF220" s="121">
        <f>IF(N220="snížená",J220,0)</f>
        <v>0</v>
      </c>
      <c r="BG220" s="121">
        <f>IF(N220="zákl. přenesená",J220,0)</f>
        <v>0</v>
      </c>
      <c r="BH220" s="121">
        <f>IF(N220="sníž. přenesená",J220,0)</f>
        <v>0</v>
      </c>
      <c r="BI220" s="121">
        <f>IF(N220="nulová",J220,0)</f>
        <v>0</v>
      </c>
      <c r="BJ220" s="17" t="s">
        <v>63</v>
      </c>
      <c r="BK220" s="121">
        <f>ROUND(I220*H220,2)</f>
        <v>0</v>
      </c>
      <c r="BL220" s="17" t="s">
        <v>108</v>
      </c>
      <c r="BM220" s="120" t="s">
        <v>324</v>
      </c>
    </row>
    <row r="221" spans="2:65" s="1" customFormat="1" ht="24.2" customHeight="1" x14ac:dyDescent="0.2">
      <c r="B221" s="109"/>
      <c r="C221" s="143" t="s">
        <v>325</v>
      </c>
      <c r="D221" s="143" t="s">
        <v>252</v>
      </c>
      <c r="E221" s="144" t="s">
        <v>326</v>
      </c>
      <c r="F221" s="145" t="s">
        <v>327</v>
      </c>
      <c r="G221" s="146" t="s">
        <v>314</v>
      </c>
      <c r="H221" s="147">
        <v>1</v>
      </c>
      <c r="I221" s="148">
        <v>0</v>
      </c>
      <c r="J221" s="148">
        <f>ROUND(I221*H221,2)</f>
        <v>0</v>
      </c>
      <c r="K221" s="145" t="s">
        <v>1</v>
      </c>
      <c r="L221" s="149"/>
      <c r="M221" s="150" t="s">
        <v>1</v>
      </c>
      <c r="N221" s="151" t="s">
        <v>39</v>
      </c>
      <c r="O221" s="118">
        <v>0</v>
      </c>
      <c r="P221" s="118">
        <f>O221*H221</f>
        <v>0</v>
      </c>
      <c r="Q221" s="118">
        <v>9.5999999999999992E-3</v>
      </c>
      <c r="R221" s="118">
        <f>Q221*H221</f>
        <v>9.5999999999999992E-3</v>
      </c>
      <c r="S221" s="118">
        <v>0</v>
      </c>
      <c r="T221" s="119">
        <f>S221*H221</f>
        <v>0</v>
      </c>
      <c r="AR221" s="120" t="s">
        <v>171</v>
      </c>
      <c r="AT221" s="120" t="s">
        <v>252</v>
      </c>
      <c r="AU221" s="120" t="s">
        <v>65</v>
      </c>
      <c r="AY221" s="17" t="s">
        <v>101</v>
      </c>
      <c r="BE221" s="121">
        <f>IF(N221="základní",J221,0)</f>
        <v>0</v>
      </c>
      <c r="BF221" s="121">
        <f>IF(N221="snížená",J221,0)</f>
        <v>0</v>
      </c>
      <c r="BG221" s="121">
        <f>IF(N221="zákl. přenesená",J221,0)</f>
        <v>0</v>
      </c>
      <c r="BH221" s="121">
        <f>IF(N221="sníž. přenesená",J221,0)</f>
        <v>0</v>
      </c>
      <c r="BI221" s="121">
        <f>IF(N221="nulová",J221,0)</f>
        <v>0</v>
      </c>
      <c r="BJ221" s="17" t="s">
        <v>63</v>
      </c>
      <c r="BK221" s="121">
        <f>ROUND(I221*H221,2)</f>
        <v>0</v>
      </c>
      <c r="BL221" s="17" t="s">
        <v>108</v>
      </c>
      <c r="BM221" s="120" t="s">
        <v>328</v>
      </c>
    </row>
    <row r="222" spans="2:65" s="1" customFormat="1" ht="44.25" customHeight="1" x14ac:dyDescent="0.2">
      <c r="B222" s="109"/>
      <c r="C222" s="110" t="s">
        <v>329</v>
      </c>
      <c r="D222" s="110" t="s">
        <v>103</v>
      </c>
      <c r="E222" s="111" t="s">
        <v>330</v>
      </c>
      <c r="F222" s="112" t="s">
        <v>331</v>
      </c>
      <c r="G222" s="113" t="s">
        <v>314</v>
      </c>
      <c r="H222" s="114">
        <v>10</v>
      </c>
      <c r="I222" s="115">
        <v>0</v>
      </c>
      <c r="J222" s="115">
        <f>ROUND(I222*H222,2)</f>
        <v>0</v>
      </c>
      <c r="K222" s="112" t="s">
        <v>107</v>
      </c>
      <c r="L222" s="28"/>
      <c r="M222" s="116" t="s">
        <v>1</v>
      </c>
      <c r="N222" s="117" t="s">
        <v>39</v>
      </c>
      <c r="O222" s="118">
        <v>1.24</v>
      </c>
      <c r="P222" s="118">
        <f>O222*H222</f>
        <v>12.4</v>
      </c>
      <c r="Q222" s="118">
        <v>1.7099999999999999E-3</v>
      </c>
      <c r="R222" s="118">
        <f>Q222*H222</f>
        <v>1.7100000000000001E-2</v>
      </c>
      <c r="S222" s="118">
        <v>0</v>
      </c>
      <c r="T222" s="119">
        <f>S222*H222</f>
        <v>0</v>
      </c>
      <c r="AR222" s="120" t="s">
        <v>108</v>
      </c>
      <c r="AT222" s="120" t="s">
        <v>103</v>
      </c>
      <c r="AU222" s="120" t="s">
        <v>65</v>
      </c>
      <c r="AY222" s="17" t="s">
        <v>101</v>
      </c>
      <c r="BE222" s="121">
        <f>IF(N222="základní",J222,0)</f>
        <v>0</v>
      </c>
      <c r="BF222" s="121">
        <f>IF(N222="snížená",J222,0)</f>
        <v>0</v>
      </c>
      <c r="BG222" s="121">
        <f>IF(N222="zákl. přenesená",J222,0)</f>
        <v>0</v>
      </c>
      <c r="BH222" s="121">
        <f>IF(N222="sníž. přenesená",J222,0)</f>
        <v>0</v>
      </c>
      <c r="BI222" s="121">
        <f>IF(N222="nulová",J222,0)</f>
        <v>0</v>
      </c>
      <c r="BJ222" s="17" t="s">
        <v>63</v>
      </c>
      <c r="BK222" s="121">
        <f>ROUND(I222*H222,2)</f>
        <v>0</v>
      </c>
      <c r="BL222" s="17" t="s">
        <v>108</v>
      </c>
      <c r="BM222" s="120" t="s">
        <v>332</v>
      </c>
    </row>
    <row r="223" spans="2:65" s="1" customFormat="1" x14ac:dyDescent="0.2">
      <c r="B223" s="28"/>
      <c r="D223" s="122" t="s">
        <v>110</v>
      </c>
      <c r="F223" s="123" t="s">
        <v>333</v>
      </c>
      <c r="L223" s="28"/>
      <c r="M223" s="124"/>
      <c r="T223" s="48"/>
      <c r="AT223" s="17" t="s">
        <v>110</v>
      </c>
      <c r="AU223" s="17" t="s">
        <v>65</v>
      </c>
    </row>
    <row r="224" spans="2:65" s="1" customFormat="1" ht="33" customHeight="1" x14ac:dyDescent="0.2">
      <c r="B224" s="109"/>
      <c r="C224" s="143" t="s">
        <v>338</v>
      </c>
      <c r="D224" s="143" t="s">
        <v>252</v>
      </c>
      <c r="E224" s="144" t="s">
        <v>339</v>
      </c>
      <c r="F224" s="145" t="s">
        <v>340</v>
      </c>
      <c r="G224" s="146" t="s">
        <v>314</v>
      </c>
      <c r="H224" s="147">
        <v>1</v>
      </c>
      <c r="I224" s="148">
        <v>0</v>
      </c>
      <c r="J224" s="148">
        <f>ROUND(I224*H224,2)</f>
        <v>0</v>
      </c>
      <c r="K224" s="145" t="s">
        <v>107</v>
      </c>
      <c r="L224" s="149"/>
      <c r="M224" s="150" t="s">
        <v>1</v>
      </c>
      <c r="N224" s="151" t="s">
        <v>39</v>
      </c>
      <c r="O224" s="118">
        <v>0</v>
      </c>
      <c r="P224" s="118">
        <f>O224*H224</f>
        <v>0</v>
      </c>
      <c r="Q224" s="118">
        <v>1.78E-2</v>
      </c>
      <c r="R224" s="118">
        <f>Q224*H224</f>
        <v>1.78E-2</v>
      </c>
      <c r="S224" s="118">
        <v>0</v>
      </c>
      <c r="T224" s="119">
        <f>S224*H224</f>
        <v>0</v>
      </c>
      <c r="AR224" s="120" t="s">
        <v>171</v>
      </c>
      <c r="AT224" s="120" t="s">
        <v>252</v>
      </c>
      <c r="AU224" s="120" t="s">
        <v>65</v>
      </c>
      <c r="AY224" s="17" t="s">
        <v>101</v>
      </c>
      <c r="BE224" s="121">
        <f>IF(N224="základní",J224,0)</f>
        <v>0</v>
      </c>
      <c r="BF224" s="121">
        <f>IF(N224="snížená",J224,0)</f>
        <v>0</v>
      </c>
      <c r="BG224" s="121">
        <f>IF(N224="zákl. přenesená",J224,0)</f>
        <v>0</v>
      </c>
      <c r="BH224" s="121">
        <f>IF(N224="sníž. přenesená",J224,0)</f>
        <v>0</v>
      </c>
      <c r="BI224" s="121">
        <f>IF(N224="nulová",J224,0)</f>
        <v>0</v>
      </c>
      <c r="BJ224" s="17" t="s">
        <v>63</v>
      </c>
      <c r="BK224" s="121">
        <f>ROUND(I224*H224,2)</f>
        <v>0</v>
      </c>
      <c r="BL224" s="17" t="s">
        <v>108</v>
      </c>
      <c r="BM224" s="120" t="s">
        <v>341</v>
      </c>
    </row>
    <row r="225" spans="2:65" s="1" customFormat="1" ht="24.2" customHeight="1" x14ac:dyDescent="0.2">
      <c r="B225" s="109"/>
      <c r="C225" s="143" t="s">
        <v>342</v>
      </c>
      <c r="D225" s="143" t="s">
        <v>252</v>
      </c>
      <c r="E225" s="144" t="s">
        <v>343</v>
      </c>
      <c r="F225" s="145" t="s">
        <v>344</v>
      </c>
      <c r="G225" s="146" t="s">
        <v>314</v>
      </c>
      <c r="H225" s="147">
        <v>8</v>
      </c>
      <c r="I225" s="148">
        <v>0</v>
      </c>
      <c r="J225" s="148">
        <f>ROUND(I225*H225,2)</f>
        <v>0</v>
      </c>
      <c r="K225" s="145" t="s">
        <v>1</v>
      </c>
      <c r="L225" s="149"/>
      <c r="M225" s="150" t="s">
        <v>1</v>
      </c>
      <c r="N225" s="151" t="s">
        <v>39</v>
      </c>
      <c r="O225" s="118">
        <v>0</v>
      </c>
      <c r="P225" s="118">
        <f>O225*H225</f>
        <v>0</v>
      </c>
      <c r="Q225" s="118">
        <v>7.2000000000000005E-4</v>
      </c>
      <c r="R225" s="118">
        <f>Q225*H225</f>
        <v>5.7600000000000004E-3</v>
      </c>
      <c r="S225" s="118">
        <v>0</v>
      </c>
      <c r="T225" s="119">
        <f>S225*H225</f>
        <v>0</v>
      </c>
      <c r="AR225" s="120" t="s">
        <v>171</v>
      </c>
      <c r="AT225" s="120" t="s">
        <v>252</v>
      </c>
      <c r="AU225" s="120" t="s">
        <v>65</v>
      </c>
      <c r="AY225" s="17" t="s">
        <v>101</v>
      </c>
      <c r="BE225" s="121">
        <f>IF(N225="základní",J225,0)</f>
        <v>0</v>
      </c>
      <c r="BF225" s="121">
        <f>IF(N225="snížená",J225,0)</f>
        <v>0</v>
      </c>
      <c r="BG225" s="121">
        <f>IF(N225="zákl. přenesená",J225,0)</f>
        <v>0</v>
      </c>
      <c r="BH225" s="121">
        <f>IF(N225="sníž. přenesená",J225,0)</f>
        <v>0</v>
      </c>
      <c r="BI225" s="121">
        <f>IF(N225="nulová",J225,0)</f>
        <v>0</v>
      </c>
      <c r="BJ225" s="17" t="s">
        <v>63</v>
      </c>
      <c r="BK225" s="121">
        <f>ROUND(I225*H225,2)</f>
        <v>0</v>
      </c>
      <c r="BL225" s="17" t="s">
        <v>108</v>
      </c>
      <c r="BM225" s="120" t="s">
        <v>345</v>
      </c>
    </row>
    <row r="226" spans="2:65" s="1" customFormat="1" ht="44.25" customHeight="1" x14ac:dyDescent="0.2">
      <c r="B226" s="109"/>
      <c r="C226" s="110" t="s">
        <v>346</v>
      </c>
      <c r="D226" s="110" t="s">
        <v>103</v>
      </c>
      <c r="E226" s="111" t="s">
        <v>347</v>
      </c>
      <c r="F226" s="112" t="s">
        <v>348</v>
      </c>
      <c r="G226" s="113" t="s">
        <v>314</v>
      </c>
      <c r="H226" s="114">
        <v>12</v>
      </c>
      <c r="I226" s="115">
        <v>0</v>
      </c>
      <c r="J226" s="115">
        <f>ROUND(I226*H226,2)</f>
        <v>0</v>
      </c>
      <c r="K226" s="112" t="s">
        <v>107</v>
      </c>
      <c r="L226" s="28"/>
      <c r="M226" s="116" t="s">
        <v>1</v>
      </c>
      <c r="N226" s="117" t="s">
        <v>39</v>
      </c>
      <c r="O226" s="118">
        <v>1.0069999999999999</v>
      </c>
      <c r="P226" s="118">
        <f>O226*H226</f>
        <v>12.084</v>
      </c>
      <c r="Q226" s="118">
        <v>2.82E-3</v>
      </c>
      <c r="R226" s="118">
        <f>Q226*H226</f>
        <v>3.3840000000000002E-2</v>
      </c>
      <c r="S226" s="118">
        <v>0</v>
      </c>
      <c r="T226" s="119">
        <f>S226*H226</f>
        <v>0</v>
      </c>
      <c r="AR226" s="120" t="s">
        <v>108</v>
      </c>
      <c r="AT226" s="120" t="s">
        <v>103</v>
      </c>
      <c r="AU226" s="120" t="s">
        <v>65</v>
      </c>
      <c r="AY226" s="17" t="s">
        <v>101</v>
      </c>
      <c r="BE226" s="121">
        <f>IF(N226="základní",J226,0)</f>
        <v>0</v>
      </c>
      <c r="BF226" s="121">
        <f>IF(N226="snížená",J226,0)</f>
        <v>0</v>
      </c>
      <c r="BG226" s="121">
        <f>IF(N226="zákl. přenesená",J226,0)</f>
        <v>0</v>
      </c>
      <c r="BH226" s="121">
        <f>IF(N226="sníž. přenesená",J226,0)</f>
        <v>0</v>
      </c>
      <c r="BI226" s="121">
        <f>IF(N226="nulová",J226,0)</f>
        <v>0</v>
      </c>
      <c r="BJ226" s="17" t="s">
        <v>63</v>
      </c>
      <c r="BK226" s="121">
        <f>ROUND(I226*H226,2)</f>
        <v>0</v>
      </c>
      <c r="BL226" s="17" t="s">
        <v>108</v>
      </c>
      <c r="BM226" s="120" t="s">
        <v>349</v>
      </c>
    </row>
    <row r="227" spans="2:65" s="1" customFormat="1" x14ac:dyDescent="0.2">
      <c r="B227" s="28"/>
      <c r="D227" s="122" t="s">
        <v>110</v>
      </c>
      <c r="F227" s="123" t="s">
        <v>350</v>
      </c>
      <c r="L227" s="28"/>
      <c r="M227" s="124"/>
      <c r="T227" s="48"/>
      <c r="AT227" s="17" t="s">
        <v>110</v>
      </c>
      <c r="AU227" s="17" t="s">
        <v>65</v>
      </c>
    </row>
    <row r="228" spans="2:65" s="1" customFormat="1" ht="24.2" customHeight="1" x14ac:dyDescent="0.2">
      <c r="B228" s="109"/>
      <c r="C228" s="143" t="s">
        <v>355</v>
      </c>
      <c r="D228" s="143" t="s">
        <v>252</v>
      </c>
      <c r="E228" s="144" t="s">
        <v>356</v>
      </c>
      <c r="F228" s="145" t="s">
        <v>357</v>
      </c>
      <c r="G228" s="146" t="s">
        <v>314</v>
      </c>
      <c r="H228" s="147">
        <v>10</v>
      </c>
      <c r="I228" s="148">
        <v>0</v>
      </c>
      <c r="J228" s="148">
        <f>ROUND(I228*H228,2)</f>
        <v>0</v>
      </c>
      <c r="K228" s="145" t="s">
        <v>1</v>
      </c>
      <c r="L228" s="149"/>
      <c r="M228" s="150" t="s">
        <v>1</v>
      </c>
      <c r="N228" s="151" t="s">
        <v>39</v>
      </c>
      <c r="O228" s="118">
        <v>0</v>
      </c>
      <c r="P228" s="118">
        <f>O228*H228</f>
        <v>0</v>
      </c>
      <c r="Q228" s="118">
        <v>1.72E-3</v>
      </c>
      <c r="R228" s="118">
        <f>Q228*H228</f>
        <v>1.72E-2</v>
      </c>
      <c r="S228" s="118">
        <v>0</v>
      </c>
      <c r="T228" s="119">
        <f>S228*H228</f>
        <v>0</v>
      </c>
      <c r="AR228" s="120" t="s">
        <v>171</v>
      </c>
      <c r="AT228" s="120" t="s">
        <v>252</v>
      </c>
      <c r="AU228" s="120" t="s">
        <v>65</v>
      </c>
      <c r="AY228" s="17" t="s">
        <v>101</v>
      </c>
      <c r="BE228" s="121">
        <f>IF(N228="základní",J228,0)</f>
        <v>0</v>
      </c>
      <c r="BF228" s="121">
        <f>IF(N228="snížená",J228,0)</f>
        <v>0</v>
      </c>
      <c r="BG228" s="121">
        <f>IF(N228="zákl. přenesená",J228,0)</f>
        <v>0</v>
      </c>
      <c r="BH228" s="121">
        <f>IF(N228="sníž. přenesená",J228,0)</f>
        <v>0</v>
      </c>
      <c r="BI228" s="121">
        <f>IF(N228="nulová",J228,0)</f>
        <v>0</v>
      </c>
      <c r="BJ228" s="17" t="s">
        <v>63</v>
      </c>
      <c r="BK228" s="121">
        <f>ROUND(I228*H228,2)</f>
        <v>0</v>
      </c>
      <c r="BL228" s="17" t="s">
        <v>108</v>
      </c>
      <c r="BM228" s="120" t="s">
        <v>358</v>
      </c>
    </row>
    <row r="229" spans="2:65" s="1" customFormat="1" ht="24.2" customHeight="1" x14ac:dyDescent="0.2">
      <c r="B229" s="109"/>
      <c r="C229" s="143" t="s">
        <v>359</v>
      </c>
      <c r="D229" s="143" t="s">
        <v>252</v>
      </c>
      <c r="E229" s="144" t="s">
        <v>360</v>
      </c>
      <c r="F229" s="145" t="s">
        <v>361</v>
      </c>
      <c r="G229" s="146" t="s">
        <v>314</v>
      </c>
      <c r="H229" s="147">
        <v>1</v>
      </c>
      <c r="I229" s="148">
        <v>0</v>
      </c>
      <c r="J229" s="148">
        <f>ROUND(I229*H229,2)</f>
        <v>0</v>
      </c>
      <c r="K229" s="145" t="s">
        <v>1</v>
      </c>
      <c r="L229" s="149"/>
      <c r="M229" s="150" t="s">
        <v>1</v>
      </c>
      <c r="N229" s="151" t="s">
        <v>39</v>
      </c>
      <c r="O229" s="118">
        <v>0</v>
      </c>
      <c r="P229" s="118">
        <f>O229*H229</f>
        <v>0</v>
      </c>
      <c r="Q229" s="118">
        <v>1.2500000000000001E-2</v>
      </c>
      <c r="R229" s="118">
        <f>Q229*H229</f>
        <v>1.2500000000000001E-2</v>
      </c>
      <c r="S229" s="118">
        <v>0</v>
      </c>
      <c r="T229" s="119">
        <f>S229*H229</f>
        <v>0</v>
      </c>
      <c r="AR229" s="120" t="s">
        <v>171</v>
      </c>
      <c r="AT229" s="120" t="s">
        <v>252</v>
      </c>
      <c r="AU229" s="120" t="s">
        <v>65</v>
      </c>
      <c r="AY229" s="17" t="s">
        <v>101</v>
      </c>
      <c r="BE229" s="121">
        <f>IF(N229="základní",J229,0)</f>
        <v>0</v>
      </c>
      <c r="BF229" s="121">
        <f>IF(N229="snížená",J229,0)</f>
        <v>0</v>
      </c>
      <c r="BG229" s="121">
        <f>IF(N229="zákl. přenesená",J229,0)</f>
        <v>0</v>
      </c>
      <c r="BH229" s="121">
        <f>IF(N229="sníž. přenesená",J229,0)</f>
        <v>0</v>
      </c>
      <c r="BI229" s="121">
        <f>IF(N229="nulová",J229,0)</f>
        <v>0</v>
      </c>
      <c r="BJ229" s="17" t="s">
        <v>63</v>
      </c>
      <c r="BK229" s="121">
        <f>ROUND(I229*H229,2)</f>
        <v>0</v>
      </c>
      <c r="BL229" s="17" t="s">
        <v>108</v>
      </c>
      <c r="BM229" s="120" t="s">
        <v>362</v>
      </c>
    </row>
    <row r="230" spans="2:65" s="1" customFormat="1" ht="44.25" customHeight="1" x14ac:dyDescent="0.2">
      <c r="B230" s="109"/>
      <c r="C230" s="110" t="s">
        <v>363</v>
      </c>
      <c r="D230" s="110" t="s">
        <v>103</v>
      </c>
      <c r="E230" s="111" t="s">
        <v>364</v>
      </c>
      <c r="F230" s="112" t="s">
        <v>365</v>
      </c>
      <c r="G230" s="113" t="s">
        <v>314</v>
      </c>
      <c r="H230" s="114">
        <v>6</v>
      </c>
      <c r="I230" s="115">
        <v>0</v>
      </c>
      <c r="J230" s="115">
        <f>ROUND(I230*H230,2)</f>
        <v>0</v>
      </c>
      <c r="K230" s="112" t="s">
        <v>107</v>
      </c>
      <c r="L230" s="28"/>
      <c r="M230" s="116" t="s">
        <v>1</v>
      </c>
      <c r="N230" s="117" t="s">
        <v>39</v>
      </c>
      <c r="O230" s="118">
        <v>1.391</v>
      </c>
      <c r="P230" s="118">
        <f>O230*H230</f>
        <v>8.3460000000000001</v>
      </c>
      <c r="Q230" s="118">
        <v>3.6600000000000001E-3</v>
      </c>
      <c r="R230" s="118">
        <f>Q230*H230</f>
        <v>2.196E-2</v>
      </c>
      <c r="S230" s="118">
        <v>0</v>
      </c>
      <c r="T230" s="119">
        <f>S230*H230</f>
        <v>0</v>
      </c>
      <c r="AR230" s="120" t="s">
        <v>108</v>
      </c>
      <c r="AT230" s="120" t="s">
        <v>103</v>
      </c>
      <c r="AU230" s="120" t="s">
        <v>65</v>
      </c>
      <c r="AY230" s="17" t="s">
        <v>101</v>
      </c>
      <c r="BE230" s="121">
        <f>IF(N230="základní",J230,0)</f>
        <v>0</v>
      </c>
      <c r="BF230" s="121">
        <f>IF(N230="snížená",J230,0)</f>
        <v>0</v>
      </c>
      <c r="BG230" s="121">
        <f>IF(N230="zákl. přenesená",J230,0)</f>
        <v>0</v>
      </c>
      <c r="BH230" s="121">
        <f>IF(N230="sníž. přenesená",J230,0)</f>
        <v>0</v>
      </c>
      <c r="BI230" s="121">
        <f>IF(N230="nulová",J230,0)</f>
        <v>0</v>
      </c>
      <c r="BJ230" s="17" t="s">
        <v>63</v>
      </c>
      <c r="BK230" s="121">
        <f>ROUND(I230*H230,2)</f>
        <v>0</v>
      </c>
      <c r="BL230" s="17" t="s">
        <v>108</v>
      </c>
      <c r="BM230" s="120" t="s">
        <v>366</v>
      </c>
    </row>
    <row r="231" spans="2:65" s="1" customFormat="1" x14ac:dyDescent="0.2">
      <c r="B231" s="28"/>
      <c r="D231" s="122" t="s">
        <v>110</v>
      </c>
      <c r="F231" s="123" t="s">
        <v>367</v>
      </c>
      <c r="L231" s="28"/>
      <c r="M231" s="124"/>
      <c r="T231" s="48"/>
      <c r="AT231" s="17" t="s">
        <v>110</v>
      </c>
      <c r="AU231" s="17" t="s">
        <v>65</v>
      </c>
    </row>
    <row r="232" spans="2:65" s="1" customFormat="1" ht="24.2" customHeight="1" x14ac:dyDescent="0.2">
      <c r="B232" s="109"/>
      <c r="C232" s="143" t="s">
        <v>368</v>
      </c>
      <c r="D232" s="143" t="s">
        <v>252</v>
      </c>
      <c r="E232" s="144" t="s">
        <v>369</v>
      </c>
      <c r="F232" s="145" t="s">
        <v>370</v>
      </c>
      <c r="G232" s="146" t="s">
        <v>314</v>
      </c>
      <c r="H232" s="147">
        <v>1</v>
      </c>
      <c r="I232" s="148">
        <v>0</v>
      </c>
      <c r="J232" s="148">
        <f>ROUND(I232*H232,2)</f>
        <v>0</v>
      </c>
      <c r="K232" s="145" t="s">
        <v>107</v>
      </c>
      <c r="L232" s="149"/>
      <c r="M232" s="150" t="s">
        <v>1</v>
      </c>
      <c r="N232" s="151" t="s">
        <v>39</v>
      </c>
      <c r="O232" s="118">
        <v>0</v>
      </c>
      <c r="P232" s="118">
        <f>O232*H232</f>
        <v>0</v>
      </c>
      <c r="Q232" s="118">
        <v>2.9899999999999999E-2</v>
      </c>
      <c r="R232" s="118">
        <f>Q232*H232</f>
        <v>2.9899999999999999E-2</v>
      </c>
      <c r="S232" s="118">
        <v>0</v>
      </c>
      <c r="T232" s="119">
        <f>S232*H232</f>
        <v>0</v>
      </c>
      <c r="AR232" s="120" t="s">
        <v>171</v>
      </c>
      <c r="AT232" s="120" t="s">
        <v>252</v>
      </c>
      <c r="AU232" s="120" t="s">
        <v>65</v>
      </c>
      <c r="AY232" s="17" t="s">
        <v>101</v>
      </c>
      <c r="BE232" s="121">
        <f>IF(N232="základní",J232,0)</f>
        <v>0</v>
      </c>
      <c r="BF232" s="121">
        <f>IF(N232="snížená",J232,0)</f>
        <v>0</v>
      </c>
      <c r="BG232" s="121">
        <f>IF(N232="zákl. přenesená",J232,0)</f>
        <v>0</v>
      </c>
      <c r="BH232" s="121">
        <f>IF(N232="sníž. přenesená",J232,0)</f>
        <v>0</v>
      </c>
      <c r="BI232" s="121">
        <f>IF(N232="nulová",J232,0)</f>
        <v>0</v>
      </c>
      <c r="BJ232" s="17" t="s">
        <v>63</v>
      </c>
      <c r="BK232" s="121">
        <f>ROUND(I232*H232,2)</f>
        <v>0</v>
      </c>
      <c r="BL232" s="17" t="s">
        <v>108</v>
      </c>
      <c r="BM232" s="120" t="s">
        <v>371</v>
      </c>
    </row>
    <row r="233" spans="2:65" s="1" customFormat="1" ht="33" customHeight="1" x14ac:dyDescent="0.2">
      <c r="B233" s="109"/>
      <c r="C233" s="143" t="s">
        <v>372</v>
      </c>
      <c r="D233" s="143" t="s">
        <v>252</v>
      </c>
      <c r="E233" s="144" t="s">
        <v>373</v>
      </c>
      <c r="F233" s="145" t="s">
        <v>374</v>
      </c>
      <c r="G233" s="146" t="s">
        <v>314</v>
      </c>
      <c r="H233" s="147">
        <v>1</v>
      </c>
      <c r="I233" s="148">
        <v>0</v>
      </c>
      <c r="J233" s="148">
        <f>ROUND(I233*H233,2)</f>
        <v>0</v>
      </c>
      <c r="K233" s="145" t="s">
        <v>107</v>
      </c>
      <c r="L233" s="149"/>
      <c r="M233" s="150" t="s">
        <v>1</v>
      </c>
      <c r="N233" s="151" t="s">
        <v>39</v>
      </c>
      <c r="O233" s="118">
        <v>0</v>
      </c>
      <c r="P233" s="118">
        <f>O233*H233</f>
        <v>0</v>
      </c>
      <c r="Q233" s="118">
        <v>2.8400000000000002E-2</v>
      </c>
      <c r="R233" s="118">
        <f>Q233*H233</f>
        <v>2.8400000000000002E-2</v>
      </c>
      <c r="S233" s="118">
        <v>0</v>
      </c>
      <c r="T233" s="119">
        <f>S233*H233</f>
        <v>0</v>
      </c>
      <c r="AR233" s="120" t="s">
        <v>171</v>
      </c>
      <c r="AT233" s="120" t="s">
        <v>252</v>
      </c>
      <c r="AU233" s="120" t="s">
        <v>65</v>
      </c>
      <c r="AY233" s="17" t="s">
        <v>101</v>
      </c>
      <c r="BE233" s="121">
        <f>IF(N233="základní",J233,0)</f>
        <v>0</v>
      </c>
      <c r="BF233" s="121">
        <f>IF(N233="snížená",J233,0)</f>
        <v>0</v>
      </c>
      <c r="BG233" s="121">
        <f>IF(N233="zákl. přenesená",J233,0)</f>
        <v>0</v>
      </c>
      <c r="BH233" s="121">
        <f>IF(N233="sníž. přenesená",J233,0)</f>
        <v>0</v>
      </c>
      <c r="BI233" s="121">
        <f>IF(N233="nulová",J233,0)</f>
        <v>0</v>
      </c>
      <c r="BJ233" s="17" t="s">
        <v>63</v>
      </c>
      <c r="BK233" s="121">
        <f>ROUND(I233*H233,2)</f>
        <v>0</v>
      </c>
      <c r="BL233" s="17" t="s">
        <v>108</v>
      </c>
      <c r="BM233" s="120" t="s">
        <v>375</v>
      </c>
    </row>
    <row r="234" spans="2:65" s="1" customFormat="1" ht="33" customHeight="1" x14ac:dyDescent="0.2">
      <c r="B234" s="109"/>
      <c r="C234" s="143" t="s">
        <v>376</v>
      </c>
      <c r="D234" s="143" t="s">
        <v>252</v>
      </c>
      <c r="E234" s="144" t="s">
        <v>377</v>
      </c>
      <c r="F234" s="145" t="s">
        <v>378</v>
      </c>
      <c r="G234" s="146" t="s">
        <v>314</v>
      </c>
      <c r="H234" s="147">
        <v>2</v>
      </c>
      <c r="I234" s="148">
        <v>0</v>
      </c>
      <c r="J234" s="148">
        <f>ROUND(I234*H234,2)</f>
        <v>0</v>
      </c>
      <c r="K234" s="145" t="s">
        <v>107</v>
      </c>
      <c r="L234" s="149"/>
      <c r="M234" s="150" t="s">
        <v>1</v>
      </c>
      <c r="N234" s="151" t="s">
        <v>39</v>
      </c>
      <c r="O234" s="118">
        <v>0</v>
      </c>
      <c r="P234" s="118">
        <f>O234*H234</f>
        <v>0</v>
      </c>
      <c r="Q234" s="118">
        <v>2.76E-2</v>
      </c>
      <c r="R234" s="118">
        <f>Q234*H234</f>
        <v>5.5199999999999999E-2</v>
      </c>
      <c r="S234" s="118">
        <v>0</v>
      </c>
      <c r="T234" s="119">
        <f>S234*H234</f>
        <v>0</v>
      </c>
      <c r="AR234" s="120" t="s">
        <v>171</v>
      </c>
      <c r="AT234" s="120" t="s">
        <v>252</v>
      </c>
      <c r="AU234" s="120" t="s">
        <v>65</v>
      </c>
      <c r="AY234" s="17" t="s">
        <v>101</v>
      </c>
      <c r="BE234" s="121">
        <f>IF(N234="základní",J234,0)</f>
        <v>0</v>
      </c>
      <c r="BF234" s="121">
        <f>IF(N234="snížená",J234,0)</f>
        <v>0</v>
      </c>
      <c r="BG234" s="121">
        <f>IF(N234="zákl. přenesená",J234,0)</f>
        <v>0</v>
      </c>
      <c r="BH234" s="121">
        <f>IF(N234="sníž. přenesená",J234,0)</f>
        <v>0</v>
      </c>
      <c r="BI234" s="121">
        <f>IF(N234="nulová",J234,0)</f>
        <v>0</v>
      </c>
      <c r="BJ234" s="17" t="s">
        <v>63</v>
      </c>
      <c r="BK234" s="121">
        <f>ROUND(I234*H234,2)</f>
        <v>0</v>
      </c>
      <c r="BL234" s="17" t="s">
        <v>108</v>
      </c>
      <c r="BM234" s="120" t="s">
        <v>379</v>
      </c>
    </row>
    <row r="235" spans="2:65" s="1" customFormat="1" ht="37.9" customHeight="1" x14ac:dyDescent="0.2">
      <c r="B235" s="109"/>
      <c r="C235" s="110" t="s">
        <v>380</v>
      </c>
      <c r="D235" s="110" t="s">
        <v>103</v>
      </c>
      <c r="E235" s="111" t="s">
        <v>381</v>
      </c>
      <c r="F235" s="112" t="s">
        <v>382</v>
      </c>
      <c r="G235" s="113" t="s">
        <v>106</v>
      </c>
      <c r="H235" s="114">
        <f>12.3*0.82</f>
        <v>10.086</v>
      </c>
      <c r="I235" s="115">
        <v>0</v>
      </c>
      <c r="J235" s="115">
        <f>ROUND(I235*H235,2)</f>
        <v>0</v>
      </c>
      <c r="K235" s="112" t="s">
        <v>107</v>
      </c>
      <c r="L235" s="28"/>
      <c r="M235" s="116" t="s">
        <v>1</v>
      </c>
      <c r="N235" s="117" t="s">
        <v>39</v>
      </c>
      <c r="O235" s="118">
        <v>0.23499999999999999</v>
      </c>
      <c r="P235" s="118">
        <f>O235*H235</f>
        <v>2.3702100000000002</v>
      </c>
      <c r="Q235" s="118">
        <v>0</v>
      </c>
      <c r="R235" s="118">
        <f>Q235*H235</f>
        <v>0</v>
      </c>
      <c r="S235" s="118">
        <v>0</v>
      </c>
      <c r="T235" s="119">
        <f>S235*H235</f>
        <v>0</v>
      </c>
      <c r="AR235" s="120" t="s">
        <v>108</v>
      </c>
      <c r="AT235" s="120" t="s">
        <v>103</v>
      </c>
      <c r="AU235" s="120" t="s">
        <v>65</v>
      </c>
      <c r="AY235" s="17" t="s">
        <v>101</v>
      </c>
      <c r="BE235" s="121">
        <f>IF(N235="základní",J235,0)</f>
        <v>0</v>
      </c>
      <c r="BF235" s="121">
        <f>IF(N235="snížená",J235,0)</f>
        <v>0</v>
      </c>
      <c r="BG235" s="121">
        <f>IF(N235="zákl. přenesená",J235,0)</f>
        <v>0</v>
      </c>
      <c r="BH235" s="121">
        <f>IF(N235="sníž. přenesená",J235,0)</f>
        <v>0</v>
      </c>
      <c r="BI235" s="121">
        <f>IF(N235="nulová",J235,0)</f>
        <v>0</v>
      </c>
      <c r="BJ235" s="17" t="s">
        <v>63</v>
      </c>
      <c r="BK235" s="121">
        <f>ROUND(I235*H235,2)</f>
        <v>0</v>
      </c>
      <c r="BL235" s="17" t="s">
        <v>108</v>
      </c>
      <c r="BM235" s="120" t="s">
        <v>383</v>
      </c>
    </row>
    <row r="236" spans="2:65" s="1" customFormat="1" x14ac:dyDescent="0.2">
      <c r="B236" s="28"/>
      <c r="D236" s="122" t="s">
        <v>110</v>
      </c>
      <c r="F236" s="123" t="s">
        <v>384</v>
      </c>
      <c r="L236" s="28"/>
      <c r="M236" s="124"/>
      <c r="T236" s="48"/>
      <c r="AT236" s="17" t="s">
        <v>110</v>
      </c>
      <c r="AU236" s="17" t="s">
        <v>65</v>
      </c>
    </row>
    <row r="237" spans="2:65" s="1" customFormat="1" ht="21.75" customHeight="1" x14ac:dyDescent="0.2">
      <c r="B237" s="109"/>
      <c r="C237" s="143" t="s">
        <v>385</v>
      </c>
      <c r="D237" s="143" t="s">
        <v>252</v>
      </c>
      <c r="E237" s="144" t="s">
        <v>386</v>
      </c>
      <c r="F237" s="145" t="s">
        <v>387</v>
      </c>
      <c r="G237" s="146" t="s">
        <v>106</v>
      </c>
      <c r="H237" s="147">
        <f>12.485*0.82</f>
        <v>10.237699999999998</v>
      </c>
      <c r="I237" s="148">
        <v>0</v>
      </c>
      <c r="J237" s="148">
        <f>ROUND(I237*H237,2)</f>
        <v>0</v>
      </c>
      <c r="K237" s="145" t="s">
        <v>107</v>
      </c>
      <c r="L237" s="149"/>
      <c r="M237" s="150" t="s">
        <v>1</v>
      </c>
      <c r="N237" s="151" t="s">
        <v>39</v>
      </c>
      <c r="O237" s="118">
        <v>0</v>
      </c>
      <c r="P237" s="118">
        <f>O237*H237</f>
        <v>0</v>
      </c>
      <c r="Q237" s="118">
        <v>1.47E-3</v>
      </c>
      <c r="R237" s="118">
        <f>Q237*H237</f>
        <v>1.5049418999999998E-2</v>
      </c>
      <c r="S237" s="118">
        <v>0</v>
      </c>
      <c r="T237" s="119">
        <f>S237*H237</f>
        <v>0</v>
      </c>
      <c r="AR237" s="120" t="s">
        <v>171</v>
      </c>
      <c r="AT237" s="120" t="s">
        <v>252</v>
      </c>
      <c r="AU237" s="120" t="s">
        <v>65</v>
      </c>
      <c r="AY237" s="17" t="s">
        <v>101</v>
      </c>
      <c r="BE237" s="121">
        <f>IF(N237="základní",J237,0)</f>
        <v>0</v>
      </c>
      <c r="BF237" s="121">
        <f>IF(N237="snížená",J237,0)</f>
        <v>0</v>
      </c>
      <c r="BG237" s="121">
        <f>IF(N237="zákl. přenesená",J237,0)</f>
        <v>0</v>
      </c>
      <c r="BH237" s="121">
        <f>IF(N237="sníž. přenesená",J237,0)</f>
        <v>0</v>
      </c>
      <c r="BI237" s="121">
        <f>IF(N237="nulová",J237,0)</f>
        <v>0</v>
      </c>
      <c r="BJ237" s="17" t="s">
        <v>63</v>
      </c>
      <c r="BK237" s="121">
        <f>ROUND(I237*H237,2)</f>
        <v>0</v>
      </c>
      <c r="BL237" s="17" t="s">
        <v>108</v>
      </c>
      <c r="BM237" s="120" t="s">
        <v>388</v>
      </c>
    </row>
    <row r="238" spans="2:65" s="13" customFormat="1" x14ac:dyDescent="0.2">
      <c r="B238" s="131"/>
      <c r="D238" s="126" t="s">
        <v>112</v>
      </c>
      <c r="F238" s="133" t="s">
        <v>389</v>
      </c>
      <c r="H238" s="134">
        <f>12.485*0.82</f>
        <v>10.237699999999998</v>
      </c>
      <c r="L238" s="131"/>
      <c r="M238" s="135"/>
      <c r="T238" s="136"/>
      <c r="AT238" s="132" t="s">
        <v>112</v>
      </c>
      <c r="AU238" s="132" t="s">
        <v>65</v>
      </c>
      <c r="AV238" s="13" t="s">
        <v>65</v>
      </c>
      <c r="AW238" s="13" t="s">
        <v>2</v>
      </c>
      <c r="AX238" s="13" t="s">
        <v>63</v>
      </c>
      <c r="AY238" s="132" t="s">
        <v>101</v>
      </c>
    </row>
    <row r="239" spans="2:65" s="1" customFormat="1" ht="37.9" customHeight="1" x14ac:dyDescent="0.2">
      <c r="B239" s="109"/>
      <c r="C239" s="110" t="s">
        <v>390</v>
      </c>
      <c r="D239" s="110" t="s">
        <v>103</v>
      </c>
      <c r="E239" s="111" t="s">
        <v>391</v>
      </c>
      <c r="F239" s="112" t="s">
        <v>392</v>
      </c>
      <c r="G239" s="113" t="s">
        <v>106</v>
      </c>
      <c r="H239" s="114">
        <f>189.9*0.82</f>
        <v>155.71799999999999</v>
      </c>
      <c r="I239" s="115">
        <v>0</v>
      </c>
      <c r="J239" s="115">
        <f>ROUND(I239*H239,2)</f>
        <v>0</v>
      </c>
      <c r="K239" s="112" t="s">
        <v>107</v>
      </c>
      <c r="L239" s="28"/>
      <c r="M239" s="116" t="s">
        <v>1</v>
      </c>
      <c r="N239" s="117" t="s">
        <v>39</v>
      </c>
      <c r="O239" s="118">
        <v>0.248</v>
      </c>
      <c r="P239" s="118">
        <f>O239*H239</f>
        <v>38.618063999999997</v>
      </c>
      <c r="Q239" s="118">
        <v>0</v>
      </c>
      <c r="R239" s="118">
        <f>Q239*H239</f>
        <v>0</v>
      </c>
      <c r="S239" s="118">
        <v>0</v>
      </c>
      <c r="T239" s="119">
        <f>S239*H239</f>
        <v>0</v>
      </c>
      <c r="AR239" s="120" t="s">
        <v>108</v>
      </c>
      <c r="AT239" s="120" t="s">
        <v>103</v>
      </c>
      <c r="AU239" s="120" t="s">
        <v>65</v>
      </c>
      <c r="AY239" s="17" t="s">
        <v>101</v>
      </c>
      <c r="BE239" s="121">
        <f>IF(N239="základní",J239,0)</f>
        <v>0</v>
      </c>
      <c r="BF239" s="121">
        <f>IF(N239="snížená",J239,0)</f>
        <v>0</v>
      </c>
      <c r="BG239" s="121">
        <f>IF(N239="zákl. přenesená",J239,0)</f>
        <v>0</v>
      </c>
      <c r="BH239" s="121">
        <f>IF(N239="sníž. přenesená",J239,0)</f>
        <v>0</v>
      </c>
      <c r="BI239" s="121">
        <f>IF(N239="nulová",J239,0)</f>
        <v>0</v>
      </c>
      <c r="BJ239" s="17" t="s">
        <v>63</v>
      </c>
      <c r="BK239" s="121">
        <f>ROUND(I239*H239,2)</f>
        <v>0</v>
      </c>
      <c r="BL239" s="17" t="s">
        <v>108</v>
      </c>
      <c r="BM239" s="120" t="s">
        <v>393</v>
      </c>
    </row>
    <row r="240" spans="2:65" s="1" customFormat="1" x14ac:dyDescent="0.2">
      <c r="B240" s="28"/>
      <c r="D240" s="122" t="s">
        <v>110</v>
      </c>
      <c r="F240" s="123" t="s">
        <v>394</v>
      </c>
      <c r="L240" s="28"/>
      <c r="M240" s="124"/>
      <c r="T240" s="48"/>
      <c r="AT240" s="17" t="s">
        <v>110</v>
      </c>
      <c r="AU240" s="17" t="s">
        <v>65</v>
      </c>
    </row>
    <row r="241" spans="2:65" s="1" customFormat="1" ht="21.75" customHeight="1" x14ac:dyDescent="0.2">
      <c r="B241" s="109"/>
      <c r="C241" s="143" t="s">
        <v>395</v>
      </c>
      <c r="D241" s="143" t="s">
        <v>252</v>
      </c>
      <c r="E241" s="144" t="s">
        <v>396</v>
      </c>
      <c r="F241" s="145" t="s">
        <v>397</v>
      </c>
      <c r="G241" s="146" t="s">
        <v>106</v>
      </c>
      <c r="H241" s="147">
        <f>192.749*0.82</f>
        <v>158.05417999999997</v>
      </c>
      <c r="I241" s="148">
        <v>0</v>
      </c>
      <c r="J241" s="148">
        <f>ROUND(I241*H241,2)</f>
        <v>0</v>
      </c>
      <c r="K241" s="145" t="s">
        <v>107</v>
      </c>
      <c r="L241" s="149"/>
      <c r="M241" s="150" t="s">
        <v>1</v>
      </c>
      <c r="N241" s="151" t="s">
        <v>39</v>
      </c>
      <c r="O241" s="118">
        <v>0</v>
      </c>
      <c r="P241" s="118">
        <f>O241*H241</f>
        <v>0</v>
      </c>
      <c r="Q241" s="118">
        <v>2.1800000000000001E-3</v>
      </c>
      <c r="R241" s="118">
        <f>Q241*H241</f>
        <v>0.34455811239999995</v>
      </c>
      <c r="S241" s="118">
        <v>0</v>
      </c>
      <c r="T241" s="119">
        <f>S241*H241</f>
        <v>0</v>
      </c>
      <c r="AR241" s="120" t="s">
        <v>171</v>
      </c>
      <c r="AT241" s="120" t="s">
        <v>252</v>
      </c>
      <c r="AU241" s="120" t="s">
        <v>65</v>
      </c>
      <c r="AY241" s="17" t="s">
        <v>101</v>
      </c>
      <c r="BE241" s="121">
        <f>IF(N241="základní",J241,0)</f>
        <v>0</v>
      </c>
      <c r="BF241" s="121">
        <f>IF(N241="snížená",J241,0)</f>
        <v>0</v>
      </c>
      <c r="BG241" s="121">
        <f>IF(N241="zákl. přenesená",J241,0)</f>
        <v>0</v>
      </c>
      <c r="BH241" s="121">
        <f>IF(N241="sníž. přenesená",J241,0)</f>
        <v>0</v>
      </c>
      <c r="BI241" s="121">
        <f>IF(N241="nulová",J241,0)</f>
        <v>0</v>
      </c>
      <c r="BJ241" s="17" t="s">
        <v>63</v>
      </c>
      <c r="BK241" s="121">
        <f>ROUND(I241*H241,2)</f>
        <v>0</v>
      </c>
      <c r="BL241" s="17" t="s">
        <v>108</v>
      </c>
      <c r="BM241" s="120" t="s">
        <v>398</v>
      </c>
    </row>
    <row r="242" spans="2:65" s="13" customFormat="1" x14ac:dyDescent="0.2">
      <c r="B242" s="131"/>
      <c r="D242" s="126" t="s">
        <v>112</v>
      </c>
      <c r="F242" s="133" t="s">
        <v>399</v>
      </c>
      <c r="H242" s="134">
        <f>192.749*0.82</f>
        <v>158.05417999999997</v>
      </c>
      <c r="L242" s="131"/>
      <c r="M242" s="135"/>
      <c r="T242" s="136"/>
      <c r="AT242" s="132" t="s">
        <v>112</v>
      </c>
      <c r="AU242" s="132" t="s">
        <v>65</v>
      </c>
      <c r="AV242" s="13" t="s">
        <v>65</v>
      </c>
      <c r="AW242" s="13" t="s">
        <v>2</v>
      </c>
      <c r="AX242" s="13" t="s">
        <v>63</v>
      </c>
      <c r="AY242" s="132" t="s">
        <v>101</v>
      </c>
    </row>
    <row r="243" spans="2:65" s="1" customFormat="1" ht="37.9" customHeight="1" x14ac:dyDescent="0.2">
      <c r="B243" s="109"/>
      <c r="C243" s="110" t="s">
        <v>404</v>
      </c>
      <c r="D243" s="110" t="s">
        <v>103</v>
      </c>
      <c r="E243" s="111" t="s">
        <v>405</v>
      </c>
      <c r="F243" s="112" t="s">
        <v>406</v>
      </c>
      <c r="G243" s="113" t="s">
        <v>106</v>
      </c>
      <c r="H243" s="114">
        <f>392.1*0.82</f>
        <v>321.52199999999999</v>
      </c>
      <c r="I243" s="115">
        <v>0</v>
      </c>
      <c r="J243" s="115">
        <f>ROUND(I243*H243,2)</f>
        <v>0</v>
      </c>
      <c r="K243" s="112" t="s">
        <v>107</v>
      </c>
      <c r="L243" s="28"/>
      <c r="M243" s="116" t="s">
        <v>1</v>
      </c>
      <c r="N243" s="117" t="s">
        <v>39</v>
      </c>
      <c r="O243" s="118">
        <v>0.27100000000000002</v>
      </c>
      <c r="P243" s="118">
        <f>O243*H243</f>
        <v>87.132462000000004</v>
      </c>
      <c r="Q243" s="118">
        <v>0</v>
      </c>
      <c r="R243" s="118">
        <f>Q243*H243</f>
        <v>0</v>
      </c>
      <c r="S243" s="118">
        <v>0</v>
      </c>
      <c r="T243" s="119">
        <f>S243*H243</f>
        <v>0</v>
      </c>
      <c r="AR243" s="120" t="s">
        <v>108</v>
      </c>
      <c r="AT243" s="120" t="s">
        <v>103</v>
      </c>
      <c r="AU243" s="120" t="s">
        <v>65</v>
      </c>
      <c r="AY243" s="17" t="s">
        <v>101</v>
      </c>
      <c r="BE243" s="121">
        <f>IF(N243="základní",J243,0)</f>
        <v>0</v>
      </c>
      <c r="BF243" s="121">
        <f>IF(N243="snížená",J243,0)</f>
        <v>0</v>
      </c>
      <c r="BG243" s="121">
        <f>IF(N243="zákl. přenesená",J243,0)</f>
        <v>0</v>
      </c>
      <c r="BH243" s="121">
        <f>IF(N243="sníž. přenesená",J243,0)</f>
        <v>0</v>
      </c>
      <c r="BI243" s="121">
        <f>IF(N243="nulová",J243,0)</f>
        <v>0</v>
      </c>
      <c r="BJ243" s="17" t="s">
        <v>63</v>
      </c>
      <c r="BK243" s="121">
        <f>ROUND(I243*H243,2)</f>
        <v>0</v>
      </c>
      <c r="BL243" s="17" t="s">
        <v>108</v>
      </c>
      <c r="BM243" s="120" t="s">
        <v>407</v>
      </c>
    </row>
    <row r="244" spans="2:65" s="1" customFormat="1" x14ac:dyDescent="0.2">
      <c r="B244" s="28"/>
      <c r="D244" s="122" t="s">
        <v>110</v>
      </c>
      <c r="F244" s="123" t="s">
        <v>408</v>
      </c>
      <c r="L244" s="28"/>
      <c r="M244" s="124"/>
      <c r="T244" s="48"/>
      <c r="AT244" s="17" t="s">
        <v>110</v>
      </c>
      <c r="AU244" s="17" t="s">
        <v>65</v>
      </c>
    </row>
    <row r="245" spans="2:65" s="1" customFormat="1" ht="21.75" customHeight="1" x14ac:dyDescent="0.2">
      <c r="B245" s="109"/>
      <c r="C245" s="143" t="s">
        <v>409</v>
      </c>
      <c r="D245" s="143" t="s">
        <v>252</v>
      </c>
      <c r="E245" s="144" t="s">
        <v>410</v>
      </c>
      <c r="F245" s="145" t="s">
        <v>411</v>
      </c>
      <c r="G245" s="146" t="s">
        <v>106</v>
      </c>
      <c r="H245" s="147">
        <f>397.982*0.82</f>
        <v>326.34523999999999</v>
      </c>
      <c r="I245" s="148">
        <v>0</v>
      </c>
      <c r="J245" s="148">
        <f>ROUND(I245*H245,2)</f>
        <v>0</v>
      </c>
      <c r="K245" s="145" t="s">
        <v>107</v>
      </c>
      <c r="L245" s="149"/>
      <c r="M245" s="150" t="s">
        <v>1</v>
      </c>
      <c r="N245" s="151" t="s">
        <v>39</v>
      </c>
      <c r="O245" s="118">
        <v>0</v>
      </c>
      <c r="P245" s="118">
        <f>O245*H245</f>
        <v>0</v>
      </c>
      <c r="Q245" s="118">
        <v>4.5700000000000003E-3</v>
      </c>
      <c r="R245" s="118">
        <f>Q245*H245</f>
        <v>1.4913977468000001</v>
      </c>
      <c r="S245" s="118">
        <v>0</v>
      </c>
      <c r="T245" s="119">
        <f>S245*H245</f>
        <v>0</v>
      </c>
      <c r="AR245" s="120" t="s">
        <v>171</v>
      </c>
      <c r="AT245" s="120" t="s">
        <v>252</v>
      </c>
      <c r="AU245" s="120" t="s">
        <v>65</v>
      </c>
      <c r="AY245" s="17" t="s">
        <v>101</v>
      </c>
      <c r="BE245" s="121">
        <f>IF(N245="základní",J245,0)</f>
        <v>0</v>
      </c>
      <c r="BF245" s="121">
        <f>IF(N245="snížená",J245,0)</f>
        <v>0</v>
      </c>
      <c r="BG245" s="121">
        <f>IF(N245="zákl. přenesená",J245,0)</f>
        <v>0</v>
      </c>
      <c r="BH245" s="121">
        <f>IF(N245="sníž. přenesená",J245,0)</f>
        <v>0</v>
      </c>
      <c r="BI245" s="121">
        <f>IF(N245="nulová",J245,0)</f>
        <v>0</v>
      </c>
      <c r="BJ245" s="17" t="s">
        <v>63</v>
      </c>
      <c r="BK245" s="121">
        <f>ROUND(I245*H245,2)</f>
        <v>0</v>
      </c>
      <c r="BL245" s="17" t="s">
        <v>108</v>
      </c>
      <c r="BM245" s="120" t="s">
        <v>412</v>
      </c>
    </row>
    <row r="246" spans="2:65" s="13" customFormat="1" x14ac:dyDescent="0.2">
      <c r="B246" s="131"/>
      <c r="D246" s="126" t="s">
        <v>112</v>
      </c>
      <c r="F246" s="133" t="s">
        <v>413</v>
      </c>
      <c r="H246" s="134">
        <f>397.982*0.82</f>
        <v>326.34523999999999</v>
      </c>
      <c r="L246" s="131"/>
      <c r="M246" s="135"/>
      <c r="T246" s="136"/>
      <c r="AT246" s="132" t="s">
        <v>112</v>
      </c>
      <c r="AU246" s="132" t="s">
        <v>65</v>
      </c>
      <c r="AV246" s="13" t="s">
        <v>65</v>
      </c>
      <c r="AW246" s="13" t="s">
        <v>2</v>
      </c>
      <c r="AX246" s="13" t="s">
        <v>63</v>
      </c>
      <c r="AY246" s="132" t="s">
        <v>101</v>
      </c>
    </row>
    <row r="247" spans="2:65" s="1" customFormat="1" ht="21.75" customHeight="1" x14ac:dyDescent="0.2">
      <c r="B247" s="109"/>
      <c r="C247" s="143" t="s">
        <v>420</v>
      </c>
      <c r="D247" s="143" t="s">
        <v>252</v>
      </c>
      <c r="E247" s="144" t="s">
        <v>421</v>
      </c>
      <c r="F247" s="145" t="s">
        <v>422</v>
      </c>
      <c r="G247" s="146" t="s">
        <v>106</v>
      </c>
      <c r="H247" s="147">
        <f>6.09*0.82</f>
        <v>4.9937999999999994</v>
      </c>
      <c r="I247" s="148">
        <v>0</v>
      </c>
      <c r="J247" s="148">
        <f>ROUND(I247*H247,2)</f>
        <v>0</v>
      </c>
      <c r="K247" s="145" t="s">
        <v>107</v>
      </c>
      <c r="L247" s="149"/>
      <c r="M247" s="150" t="s">
        <v>1</v>
      </c>
      <c r="N247" s="151" t="s">
        <v>39</v>
      </c>
      <c r="O247" s="118">
        <v>0</v>
      </c>
      <c r="P247" s="118">
        <f>O247*H247</f>
        <v>0</v>
      </c>
      <c r="Q247" s="118">
        <v>9.0299999999999998E-3</v>
      </c>
      <c r="R247" s="118">
        <f>Q247*H247</f>
        <v>4.5094013999999995E-2</v>
      </c>
      <c r="S247" s="118">
        <v>0</v>
      </c>
      <c r="T247" s="119">
        <f>S247*H247</f>
        <v>0</v>
      </c>
      <c r="AR247" s="120" t="s">
        <v>171</v>
      </c>
      <c r="AT247" s="120" t="s">
        <v>252</v>
      </c>
      <c r="AU247" s="120" t="s">
        <v>65</v>
      </c>
      <c r="AY247" s="17" t="s">
        <v>101</v>
      </c>
      <c r="BE247" s="121">
        <f>IF(N247="základní",J247,0)</f>
        <v>0</v>
      </c>
      <c r="BF247" s="121">
        <f>IF(N247="snížená",J247,0)</f>
        <v>0</v>
      </c>
      <c r="BG247" s="121">
        <f>IF(N247="zákl. přenesená",J247,0)</f>
        <v>0</v>
      </c>
      <c r="BH247" s="121">
        <f>IF(N247="sníž. přenesená",J247,0)</f>
        <v>0</v>
      </c>
      <c r="BI247" s="121">
        <f>IF(N247="nulová",J247,0)</f>
        <v>0</v>
      </c>
      <c r="BJ247" s="17" t="s">
        <v>63</v>
      </c>
      <c r="BK247" s="121">
        <f>ROUND(I247*H247,2)</f>
        <v>0</v>
      </c>
      <c r="BL247" s="17" t="s">
        <v>108</v>
      </c>
      <c r="BM247" s="120" t="s">
        <v>423</v>
      </c>
    </row>
    <row r="248" spans="2:65" s="13" customFormat="1" x14ac:dyDescent="0.2">
      <c r="B248" s="131"/>
      <c r="D248" s="126" t="s">
        <v>112</v>
      </c>
      <c r="F248" s="133" t="s">
        <v>424</v>
      </c>
      <c r="H248" s="134">
        <f>6.09*0.82</f>
        <v>4.9937999999999994</v>
      </c>
      <c r="L248" s="131"/>
      <c r="M248" s="135"/>
      <c r="T248" s="136"/>
      <c r="AT248" s="132" t="s">
        <v>112</v>
      </c>
      <c r="AU248" s="132" t="s">
        <v>65</v>
      </c>
      <c r="AV248" s="13" t="s">
        <v>65</v>
      </c>
      <c r="AW248" s="13" t="s">
        <v>2</v>
      </c>
      <c r="AX248" s="13" t="s">
        <v>63</v>
      </c>
      <c r="AY248" s="132" t="s">
        <v>101</v>
      </c>
    </row>
    <row r="249" spans="2:65" s="1" customFormat="1" ht="37.9" customHeight="1" x14ac:dyDescent="0.2">
      <c r="B249" s="109"/>
      <c r="C249" s="110" t="s">
        <v>430</v>
      </c>
      <c r="D249" s="110" t="s">
        <v>103</v>
      </c>
      <c r="E249" s="111" t="s">
        <v>431</v>
      </c>
      <c r="F249" s="112" t="s">
        <v>432</v>
      </c>
      <c r="G249" s="113" t="s">
        <v>314</v>
      </c>
      <c r="H249" s="114">
        <v>5</v>
      </c>
      <c r="I249" s="115">
        <v>0</v>
      </c>
      <c r="J249" s="115">
        <f>ROUND(I249*H249,2)</f>
        <v>0</v>
      </c>
      <c r="K249" s="112" t="s">
        <v>107</v>
      </c>
      <c r="L249" s="28"/>
      <c r="M249" s="116" t="s">
        <v>1</v>
      </c>
      <c r="N249" s="117" t="s">
        <v>39</v>
      </c>
      <c r="O249" s="118">
        <v>0.15</v>
      </c>
      <c r="P249" s="118">
        <f>O249*H249</f>
        <v>0.75</v>
      </c>
      <c r="Q249" s="118">
        <v>2.5000000000000001E-4</v>
      </c>
      <c r="R249" s="118">
        <f>Q249*H249</f>
        <v>1.25E-3</v>
      </c>
      <c r="S249" s="118">
        <v>0</v>
      </c>
      <c r="T249" s="119">
        <f>S249*H249</f>
        <v>0</v>
      </c>
      <c r="AR249" s="120" t="s">
        <v>108</v>
      </c>
      <c r="AT249" s="120" t="s">
        <v>103</v>
      </c>
      <c r="AU249" s="120" t="s">
        <v>65</v>
      </c>
      <c r="AY249" s="17" t="s">
        <v>101</v>
      </c>
      <c r="BE249" s="121">
        <f>IF(N249="základní",J249,0)</f>
        <v>0</v>
      </c>
      <c r="BF249" s="121">
        <f>IF(N249="snížená",J249,0)</f>
        <v>0</v>
      </c>
      <c r="BG249" s="121">
        <f>IF(N249="zákl. přenesená",J249,0)</f>
        <v>0</v>
      </c>
      <c r="BH249" s="121">
        <f>IF(N249="sníž. přenesená",J249,0)</f>
        <v>0</v>
      </c>
      <c r="BI249" s="121">
        <f>IF(N249="nulová",J249,0)</f>
        <v>0</v>
      </c>
      <c r="BJ249" s="17" t="s">
        <v>63</v>
      </c>
      <c r="BK249" s="121">
        <f>ROUND(I249*H249,2)</f>
        <v>0</v>
      </c>
      <c r="BL249" s="17" t="s">
        <v>108</v>
      </c>
      <c r="BM249" s="120" t="s">
        <v>433</v>
      </c>
    </row>
    <row r="250" spans="2:65" s="1" customFormat="1" x14ac:dyDescent="0.2">
      <c r="B250" s="28"/>
      <c r="D250" s="122" t="s">
        <v>110</v>
      </c>
      <c r="F250" s="123" t="s">
        <v>434</v>
      </c>
      <c r="L250" s="28"/>
      <c r="M250" s="124"/>
      <c r="T250" s="48"/>
      <c r="AT250" s="17" t="s">
        <v>110</v>
      </c>
      <c r="AU250" s="17" t="s">
        <v>65</v>
      </c>
    </row>
    <row r="251" spans="2:65" s="1" customFormat="1" ht="24.2" customHeight="1" x14ac:dyDescent="0.2">
      <c r="B251" s="109"/>
      <c r="C251" s="110" t="s">
        <v>435</v>
      </c>
      <c r="D251" s="110" t="s">
        <v>103</v>
      </c>
      <c r="E251" s="111" t="s">
        <v>436</v>
      </c>
      <c r="F251" s="112" t="s">
        <v>437</v>
      </c>
      <c r="G251" s="113" t="s">
        <v>314</v>
      </c>
      <c r="H251" s="114">
        <v>1</v>
      </c>
      <c r="I251" s="115">
        <v>0</v>
      </c>
      <c r="J251" s="115">
        <f>ROUND(I251*H251,2)</f>
        <v>0</v>
      </c>
      <c r="K251" s="112" t="s">
        <v>107</v>
      </c>
      <c r="L251" s="28"/>
      <c r="M251" s="116" t="s">
        <v>1</v>
      </c>
      <c r="N251" s="117" t="s">
        <v>39</v>
      </c>
      <c r="O251" s="118">
        <v>9.9000000000000005E-2</v>
      </c>
      <c r="P251" s="118">
        <f>O251*H251</f>
        <v>9.9000000000000005E-2</v>
      </c>
      <c r="Q251" s="118">
        <v>7.6000000000000004E-4</v>
      </c>
      <c r="R251" s="118">
        <f>Q251*H251</f>
        <v>7.6000000000000004E-4</v>
      </c>
      <c r="S251" s="118">
        <v>0</v>
      </c>
      <c r="T251" s="119">
        <f>S251*H251</f>
        <v>0</v>
      </c>
      <c r="AR251" s="120" t="s">
        <v>108</v>
      </c>
      <c r="AT251" s="120" t="s">
        <v>103</v>
      </c>
      <c r="AU251" s="120" t="s">
        <v>65</v>
      </c>
      <c r="AY251" s="17" t="s">
        <v>101</v>
      </c>
      <c r="BE251" s="121">
        <f>IF(N251="základní",J251,0)</f>
        <v>0</v>
      </c>
      <c r="BF251" s="121">
        <f>IF(N251="snížená",J251,0)</f>
        <v>0</v>
      </c>
      <c r="BG251" s="121">
        <f>IF(N251="zákl. přenesená",J251,0)</f>
        <v>0</v>
      </c>
      <c r="BH251" s="121">
        <f>IF(N251="sníž. přenesená",J251,0)</f>
        <v>0</v>
      </c>
      <c r="BI251" s="121">
        <f>IF(N251="nulová",J251,0)</f>
        <v>0</v>
      </c>
      <c r="BJ251" s="17" t="s">
        <v>63</v>
      </c>
      <c r="BK251" s="121">
        <f>ROUND(I251*H251,2)</f>
        <v>0</v>
      </c>
      <c r="BL251" s="17" t="s">
        <v>108</v>
      </c>
      <c r="BM251" s="120" t="s">
        <v>438</v>
      </c>
    </row>
    <row r="252" spans="2:65" s="1" customFormat="1" x14ac:dyDescent="0.2">
      <c r="B252" s="28"/>
      <c r="D252" s="122" t="s">
        <v>110</v>
      </c>
      <c r="F252" s="123" t="s">
        <v>439</v>
      </c>
      <c r="L252" s="28"/>
      <c r="M252" s="124"/>
      <c r="T252" s="48"/>
      <c r="AT252" s="17" t="s">
        <v>110</v>
      </c>
      <c r="AU252" s="17" t="s">
        <v>65</v>
      </c>
    </row>
    <row r="253" spans="2:65" s="1" customFormat="1" ht="44.25" customHeight="1" x14ac:dyDescent="0.2">
      <c r="B253" s="109"/>
      <c r="C253" s="110" t="s">
        <v>440</v>
      </c>
      <c r="D253" s="110" t="s">
        <v>103</v>
      </c>
      <c r="E253" s="111" t="s">
        <v>441</v>
      </c>
      <c r="F253" s="112" t="s">
        <v>442</v>
      </c>
      <c r="G253" s="113" t="s">
        <v>314</v>
      </c>
      <c r="H253" s="114">
        <v>3</v>
      </c>
      <c r="I253" s="115">
        <v>0</v>
      </c>
      <c r="J253" s="115">
        <f>ROUND(I253*H253,2)</f>
        <v>0</v>
      </c>
      <c r="K253" s="112" t="s">
        <v>107</v>
      </c>
      <c r="L253" s="28"/>
      <c r="M253" s="116" t="s">
        <v>1</v>
      </c>
      <c r="N253" s="117" t="s">
        <v>39</v>
      </c>
      <c r="O253" s="118">
        <v>0.625</v>
      </c>
      <c r="P253" s="118">
        <f>O253*H253</f>
        <v>1.875</v>
      </c>
      <c r="Q253" s="118">
        <v>0</v>
      </c>
      <c r="R253" s="118">
        <f>Q253*H253</f>
        <v>0</v>
      </c>
      <c r="S253" s="118">
        <v>0</v>
      </c>
      <c r="T253" s="119">
        <f>S253*H253</f>
        <v>0</v>
      </c>
      <c r="AR253" s="120" t="s">
        <v>108</v>
      </c>
      <c r="AT253" s="120" t="s">
        <v>103</v>
      </c>
      <c r="AU253" s="120" t="s">
        <v>65</v>
      </c>
      <c r="AY253" s="17" t="s">
        <v>101</v>
      </c>
      <c r="BE253" s="121">
        <f>IF(N253="základní",J253,0)</f>
        <v>0</v>
      </c>
      <c r="BF253" s="121">
        <f>IF(N253="snížená",J253,0)</f>
        <v>0</v>
      </c>
      <c r="BG253" s="121">
        <f>IF(N253="zákl. přenesená",J253,0)</f>
        <v>0</v>
      </c>
      <c r="BH253" s="121">
        <f>IF(N253="sníž. přenesená",J253,0)</f>
        <v>0</v>
      </c>
      <c r="BI253" s="121">
        <f>IF(N253="nulová",J253,0)</f>
        <v>0</v>
      </c>
      <c r="BJ253" s="17" t="s">
        <v>63</v>
      </c>
      <c r="BK253" s="121">
        <f>ROUND(I253*H253,2)</f>
        <v>0</v>
      </c>
      <c r="BL253" s="17" t="s">
        <v>108</v>
      </c>
      <c r="BM253" s="120" t="s">
        <v>443</v>
      </c>
    </row>
    <row r="254" spans="2:65" s="1" customFormat="1" x14ac:dyDescent="0.2">
      <c r="B254" s="28"/>
      <c r="D254" s="122" t="s">
        <v>110</v>
      </c>
      <c r="F254" s="123" t="s">
        <v>444</v>
      </c>
      <c r="L254" s="28"/>
      <c r="M254" s="124"/>
      <c r="T254" s="48"/>
      <c r="AT254" s="17" t="s">
        <v>110</v>
      </c>
      <c r="AU254" s="17" t="s">
        <v>65</v>
      </c>
    </row>
    <row r="255" spans="2:65" s="1" customFormat="1" ht="16.5" customHeight="1" x14ac:dyDescent="0.2">
      <c r="B255" s="109"/>
      <c r="C255" s="143" t="s">
        <v>445</v>
      </c>
      <c r="D255" s="143" t="s">
        <v>252</v>
      </c>
      <c r="E255" s="144" t="s">
        <v>446</v>
      </c>
      <c r="F255" s="145" t="s">
        <v>447</v>
      </c>
      <c r="G255" s="146" t="s">
        <v>314</v>
      </c>
      <c r="H255" s="147">
        <v>3</v>
      </c>
      <c r="I255" s="148">
        <v>0</v>
      </c>
      <c r="J255" s="148">
        <f>ROUND(I255*H255,2)</f>
        <v>0</v>
      </c>
      <c r="K255" s="145" t="s">
        <v>107</v>
      </c>
      <c r="L255" s="149"/>
      <c r="M255" s="150" t="s">
        <v>1</v>
      </c>
      <c r="N255" s="151" t="s">
        <v>39</v>
      </c>
      <c r="O255" s="118">
        <v>0</v>
      </c>
      <c r="P255" s="118">
        <f>O255*H255</f>
        <v>0</v>
      </c>
      <c r="Q255" s="118">
        <v>3.8999999999999999E-4</v>
      </c>
      <c r="R255" s="118">
        <f>Q255*H255</f>
        <v>1.17E-3</v>
      </c>
      <c r="S255" s="118">
        <v>0</v>
      </c>
      <c r="T255" s="119">
        <f>S255*H255</f>
        <v>0</v>
      </c>
      <c r="AR255" s="120" t="s">
        <v>171</v>
      </c>
      <c r="AT255" s="120" t="s">
        <v>252</v>
      </c>
      <c r="AU255" s="120" t="s">
        <v>65</v>
      </c>
      <c r="AY255" s="17" t="s">
        <v>101</v>
      </c>
      <c r="BE255" s="121">
        <f>IF(N255="základní",J255,0)</f>
        <v>0</v>
      </c>
      <c r="BF255" s="121">
        <f>IF(N255="snížená",J255,0)</f>
        <v>0</v>
      </c>
      <c r="BG255" s="121">
        <f>IF(N255="zákl. přenesená",J255,0)</f>
        <v>0</v>
      </c>
      <c r="BH255" s="121">
        <f>IF(N255="sníž. přenesená",J255,0)</f>
        <v>0</v>
      </c>
      <c r="BI255" s="121">
        <f>IF(N255="nulová",J255,0)</f>
        <v>0</v>
      </c>
      <c r="BJ255" s="17" t="s">
        <v>63</v>
      </c>
      <c r="BK255" s="121">
        <f>ROUND(I255*H255,2)</f>
        <v>0</v>
      </c>
      <c r="BL255" s="17" t="s">
        <v>108</v>
      </c>
      <c r="BM255" s="120" t="s">
        <v>448</v>
      </c>
    </row>
    <row r="256" spans="2:65" s="1" customFormat="1" x14ac:dyDescent="0.2">
      <c r="B256" s="28"/>
      <c r="D256" s="122" t="s">
        <v>110</v>
      </c>
      <c r="F256" s="123" t="s">
        <v>453</v>
      </c>
      <c r="L256" s="28"/>
      <c r="M256" s="124"/>
      <c r="T256" s="48"/>
      <c r="AT256" s="17" t="s">
        <v>110</v>
      </c>
      <c r="AU256" s="17" t="s">
        <v>65</v>
      </c>
    </row>
    <row r="257" spans="2:65" s="1" customFormat="1" ht="21.75" customHeight="1" x14ac:dyDescent="0.2">
      <c r="B257" s="109"/>
      <c r="C257" s="143" t="s">
        <v>454</v>
      </c>
      <c r="D257" s="143" t="s">
        <v>252</v>
      </c>
      <c r="E257" s="144" t="s">
        <v>455</v>
      </c>
      <c r="F257" s="145" t="s">
        <v>456</v>
      </c>
      <c r="G257" s="146" t="s">
        <v>314</v>
      </c>
      <c r="H257" s="147">
        <v>1</v>
      </c>
      <c r="I257" s="148">
        <v>0</v>
      </c>
      <c r="J257" s="148">
        <f>ROUND(I257*H257,2)</f>
        <v>0</v>
      </c>
      <c r="K257" s="145" t="s">
        <v>107</v>
      </c>
      <c r="L257" s="149"/>
      <c r="M257" s="150" t="s">
        <v>1</v>
      </c>
      <c r="N257" s="151" t="s">
        <v>39</v>
      </c>
      <c r="O257" s="118">
        <v>0</v>
      </c>
      <c r="P257" s="118">
        <f>O257*H257</f>
        <v>0</v>
      </c>
      <c r="Q257" s="118">
        <v>5.5999999999999995E-4</v>
      </c>
      <c r="R257" s="118">
        <f>Q257*H257</f>
        <v>5.5999999999999995E-4</v>
      </c>
      <c r="S257" s="118">
        <v>0</v>
      </c>
      <c r="T257" s="119">
        <f>S257*H257</f>
        <v>0</v>
      </c>
      <c r="AR257" s="120" t="s">
        <v>171</v>
      </c>
      <c r="AT257" s="120" t="s">
        <v>252</v>
      </c>
      <c r="AU257" s="120" t="s">
        <v>65</v>
      </c>
      <c r="AY257" s="17" t="s">
        <v>101</v>
      </c>
      <c r="BE257" s="121">
        <f>IF(N257="základní",J257,0)</f>
        <v>0</v>
      </c>
      <c r="BF257" s="121">
        <f>IF(N257="snížená",J257,0)</f>
        <v>0</v>
      </c>
      <c r="BG257" s="121">
        <f>IF(N257="zákl. přenesená",J257,0)</f>
        <v>0</v>
      </c>
      <c r="BH257" s="121">
        <f>IF(N257="sníž. přenesená",J257,0)</f>
        <v>0</v>
      </c>
      <c r="BI257" s="121">
        <f>IF(N257="nulová",J257,0)</f>
        <v>0</v>
      </c>
      <c r="BJ257" s="17" t="s">
        <v>63</v>
      </c>
      <c r="BK257" s="121">
        <f>ROUND(I257*H257,2)</f>
        <v>0</v>
      </c>
      <c r="BL257" s="17" t="s">
        <v>108</v>
      </c>
      <c r="BM257" s="120" t="s">
        <v>457</v>
      </c>
    </row>
    <row r="258" spans="2:65" s="1" customFormat="1" ht="44.25" customHeight="1" x14ac:dyDescent="0.2">
      <c r="B258" s="109"/>
      <c r="C258" s="110" t="s">
        <v>458</v>
      </c>
      <c r="D258" s="110" t="s">
        <v>103</v>
      </c>
      <c r="E258" s="111" t="s">
        <v>459</v>
      </c>
      <c r="F258" s="112" t="s">
        <v>460</v>
      </c>
      <c r="G258" s="113" t="s">
        <v>314</v>
      </c>
      <c r="H258" s="114">
        <v>8</v>
      </c>
      <c r="I258" s="115">
        <v>0</v>
      </c>
      <c r="J258" s="115">
        <f>ROUND(I258*H258,2)</f>
        <v>0</v>
      </c>
      <c r="K258" s="112" t="s">
        <v>107</v>
      </c>
      <c r="L258" s="28"/>
      <c r="M258" s="116" t="s">
        <v>1</v>
      </c>
      <c r="N258" s="117" t="s">
        <v>39</v>
      </c>
      <c r="O258" s="118">
        <v>0.67500000000000004</v>
      </c>
      <c r="P258" s="118">
        <f>O258*H258</f>
        <v>5.4</v>
      </c>
      <c r="Q258" s="118">
        <v>0</v>
      </c>
      <c r="R258" s="118">
        <f>Q258*H258</f>
        <v>0</v>
      </c>
      <c r="S258" s="118">
        <v>0</v>
      </c>
      <c r="T258" s="119">
        <f>S258*H258</f>
        <v>0</v>
      </c>
      <c r="AR258" s="120" t="s">
        <v>108</v>
      </c>
      <c r="AT258" s="120" t="s">
        <v>103</v>
      </c>
      <c r="AU258" s="120" t="s">
        <v>65</v>
      </c>
      <c r="AY258" s="17" t="s">
        <v>101</v>
      </c>
      <c r="BE258" s="121">
        <f>IF(N258="základní",J258,0)</f>
        <v>0</v>
      </c>
      <c r="BF258" s="121">
        <f>IF(N258="snížená",J258,0)</f>
        <v>0</v>
      </c>
      <c r="BG258" s="121">
        <f>IF(N258="zákl. přenesená",J258,0)</f>
        <v>0</v>
      </c>
      <c r="BH258" s="121">
        <f>IF(N258="sníž. přenesená",J258,0)</f>
        <v>0</v>
      </c>
      <c r="BI258" s="121">
        <f>IF(N258="nulová",J258,0)</f>
        <v>0</v>
      </c>
      <c r="BJ258" s="17" t="s">
        <v>63</v>
      </c>
      <c r="BK258" s="121">
        <f>ROUND(I258*H258,2)</f>
        <v>0</v>
      </c>
      <c r="BL258" s="17" t="s">
        <v>108</v>
      </c>
      <c r="BM258" s="120" t="s">
        <v>461</v>
      </c>
    </row>
    <row r="259" spans="2:65" s="1" customFormat="1" x14ac:dyDescent="0.2">
      <c r="B259" s="28"/>
      <c r="D259" s="122" t="s">
        <v>110</v>
      </c>
      <c r="F259" s="123" t="s">
        <v>462</v>
      </c>
      <c r="L259" s="28"/>
      <c r="M259" s="124"/>
      <c r="T259" s="48"/>
      <c r="AT259" s="17" t="s">
        <v>110</v>
      </c>
      <c r="AU259" s="17" t="s">
        <v>65</v>
      </c>
    </row>
    <row r="260" spans="2:65" s="1" customFormat="1" ht="16.5" customHeight="1" x14ac:dyDescent="0.2">
      <c r="B260" s="109"/>
      <c r="C260" s="143" t="s">
        <v>463</v>
      </c>
      <c r="D260" s="143" t="s">
        <v>252</v>
      </c>
      <c r="E260" s="144" t="s">
        <v>464</v>
      </c>
      <c r="F260" s="145" t="s">
        <v>465</v>
      </c>
      <c r="G260" s="146" t="s">
        <v>314</v>
      </c>
      <c r="H260" s="147">
        <v>7</v>
      </c>
      <c r="I260" s="148">
        <v>0</v>
      </c>
      <c r="J260" s="148">
        <f>ROUND(I260*H260,2)</f>
        <v>0</v>
      </c>
      <c r="K260" s="145" t="s">
        <v>107</v>
      </c>
      <c r="L260" s="149"/>
      <c r="M260" s="150" t="s">
        <v>1</v>
      </c>
      <c r="N260" s="151" t="s">
        <v>39</v>
      </c>
      <c r="O260" s="118">
        <v>0</v>
      </c>
      <c r="P260" s="118">
        <f>O260*H260</f>
        <v>0</v>
      </c>
      <c r="Q260" s="118">
        <v>7.2000000000000005E-4</v>
      </c>
      <c r="R260" s="118">
        <f>Q260*H260</f>
        <v>5.0400000000000002E-3</v>
      </c>
      <c r="S260" s="118">
        <v>0</v>
      </c>
      <c r="T260" s="119">
        <f>S260*H260</f>
        <v>0</v>
      </c>
      <c r="AR260" s="120" t="s">
        <v>171</v>
      </c>
      <c r="AT260" s="120" t="s">
        <v>252</v>
      </c>
      <c r="AU260" s="120" t="s">
        <v>65</v>
      </c>
      <c r="AY260" s="17" t="s">
        <v>101</v>
      </c>
      <c r="BE260" s="121">
        <f>IF(N260="základní",J260,0)</f>
        <v>0</v>
      </c>
      <c r="BF260" s="121">
        <f>IF(N260="snížená",J260,0)</f>
        <v>0</v>
      </c>
      <c r="BG260" s="121">
        <f>IF(N260="zákl. přenesená",J260,0)</f>
        <v>0</v>
      </c>
      <c r="BH260" s="121">
        <f>IF(N260="sníž. přenesená",J260,0)</f>
        <v>0</v>
      </c>
      <c r="BI260" s="121">
        <f>IF(N260="nulová",J260,0)</f>
        <v>0</v>
      </c>
      <c r="BJ260" s="17" t="s">
        <v>63</v>
      </c>
      <c r="BK260" s="121">
        <f>ROUND(I260*H260,2)</f>
        <v>0</v>
      </c>
      <c r="BL260" s="17" t="s">
        <v>108</v>
      </c>
      <c r="BM260" s="120" t="s">
        <v>466</v>
      </c>
    </row>
    <row r="261" spans="2:65" s="1" customFormat="1" ht="37.9" customHeight="1" x14ac:dyDescent="0.2">
      <c r="B261" s="109"/>
      <c r="C261" s="110" t="s">
        <v>467</v>
      </c>
      <c r="D261" s="110" t="s">
        <v>103</v>
      </c>
      <c r="E261" s="111" t="s">
        <v>468</v>
      </c>
      <c r="F261" s="112" t="s">
        <v>469</v>
      </c>
      <c r="G261" s="113" t="s">
        <v>314</v>
      </c>
      <c r="H261" s="114">
        <v>1</v>
      </c>
      <c r="I261" s="115">
        <v>0</v>
      </c>
      <c r="J261" s="115">
        <f>ROUND(I261*H261,2)</f>
        <v>0</v>
      </c>
      <c r="K261" s="112" t="s">
        <v>107</v>
      </c>
      <c r="L261" s="28"/>
      <c r="M261" s="116" t="s">
        <v>1</v>
      </c>
      <c r="N261" s="117" t="s">
        <v>39</v>
      </c>
      <c r="O261" s="118">
        <v>0.61899999999999999</v>
      </c>
      <c r="P261" s="118">
        <f>O261*H261</f>
        <v>0.61899999999999999</v>
      </c>
      <c r="Q261" s="118">
        <v>0</v>
      </c>
      <c r="R261" s="118">
        <f>Q261*H261</f>
        <v>0</v>
      </c>
      <c r="S261" s="118">
        <v>0</v>
      </c>
      <c r="T261" s="119">
        <f>S261*H261</f>
        <v>0</v>
      </c>
      <c r="AR261" s="120" t="s">
        <v>108</v>
      </c>
      <c r="AT261" s="120" t="s">
        <v>103</v>
      </c>
      <c r="AU261" s="120" t="s">
        <v>65</v>
      </c>
      <c r="AY261" s="17" t="s">
        <v>101</v>
      </c>
      <c r="BE261" s="121">
        <f>IF(N261="základní",J261,0)</f>
        <v>0</v>
      </c>
      <c r="BF261" s="121">
        <f>IF(N261="snížená",J261,0)</f>
        <v>0</v>
      </c>
      <c r="BG261" s="121">
        <f>IF(N261="zákl. přenesená",J261,0)</f>
        <v>0</v>
      </c>
      <c r="BH261" s="121">
        <f>IF(N261="sníž. přenesená",J261,0)</f>
        <v>0</v>
      </c>
      <c r="BI261" s="121">
        <f>IF(N261="nulová",J261,0)</f>
        <v>0</v>
      </c>
      <c r="BJ261" s="17" t="s">
        <v>63</v>
      </c>
      <c r="BK261" s="121">
        <f>ROUND(I261*H261,2)</f>
        <v>0</v>
      </c>
      <c r="BL261" s="17" t="s">
        <v>108</v>
      </c>
      <c r="BM261" s="120" t="s">
        <v>470</v>
      </c>
    </row>
    <row r="262" spans="2:65" s="1" customFormat="1" x14ac:dyDescent="0.2">
      <c r="B262" s="28"/>
      <c r="D262" s="122" t="s">
        <v>110</v>
      </c>
      <c r="F262" s="123" t="s">
        <v>471</v>
      </c>
      <c r="L262" s="28"/>
      <c r="M262" s="124"/>
      <c r="T262" s="48"/>
      <c r="AT262" s="17" t="s">
        <v>110</v>
      </c>
      <c r="AU262" s="17" t="s">
        <v>65</v>
      </c>
    </row>
    <row r="263" spans="2:65" s="1" customFormat="1" ht="16.5" customHeight="1" x14ac:dyDescent="0.2">
      <c r="B263" s="109"/>
      <c r="C263" s="143" t="s">
        <v>472</v>
      </c>
      <c r="D263" s="143" t="s">
        <v>252</v>
      </c>
      <c r="E263" s="144" t="s">
        <v>473</v>
      </c>
      <c r="F263" s="145" t="s">
        <v>474</v>
      </c>
      <c r="G263" s="146" t="s">
        <v>314</v>
      </c>
      <c r="H263" s="147">
        <v>1</v>
      </c>
      <c r="I263" s="148">
        <v>0</v>
      </c>
      <c r="J263" s="148">
        <f>ROUND(I263*H263,2)</f>
        <v>0</v>
      </c>
      <c r="K263" s="145" t="s">
        <v>107</v>
      </c>
      <c r="L263" s="149"/>
      <c r="M263" s="150" t="s">
        <v>1</v>
      </c>
      <c r="N263" s="151" t="s">
        <v>39</v>
      </c>
      <c r="O263" s="118">
        <v>0</v>
      </c>
      <c r="P263" s="118">
        <f>O263*H263</f>
        <v>0</v>
      </c>
      <c r="Q263" s="118">
        <v>1.2099999999999999E-3</v>
      </c>
      <c r="R263" s="118">
        <f>Q263*H263</f>
        <v>1.2099999999999999E-3</v>
      </c>
      <c r="S263" s="118">
        <v>0</v>
      </c>
      <c r="T263" s="119">
        <f>S263*H263</f>
        <v>0</v>
      </c>
      <c r="AR263" s="120" t="s">
        <v>171</v>
      </c>
      <c r="AT263" s="120" t="s">
        <v>252</v>
      </c>
      <c r="AU263" s="120" t="s">
        <v>65</v>
      </c>
      <c r="AY263" s="17" t="s">
        <v>101</v>
      </c>
      <c r="BE263" s="121">
        <f>IF(N263="základní",J263,0)</f>
        <v>0</v>
      </c>
      <c r="BF263" s="121">
        <f>IF(N263="snížená",J263,0)</f>
        <v>0</v>
      </c>
      <c r="BG263" s="121">
        <f>IF(N263="zákl. přenesená",J263,0)</f>
        <v>0</v>
      </c>
      <c r="BH263" s="121">
        <f>IF(N263="sníž. přenesená",J263,0)</f>
        <v>0</v>
      </c>
      <c r="BI263" s="121">
        <f>IF(N263="nulová",J263,0)</f>
        <v>0</v>
      </c>
      <c r="BJ263" s="17" t="s">
        <v>63</v>
      </c>
      <c r="BK263" s="121">
        <f>ROUND(I263*H263,2)</f>
        <v>0</v>
      </c>
      <c r="BL263" s="17" t="s">
        <v>108</v>
      </c>
      <c r="BM263" s="120" t="s">
        <v>475</v>
      </c>
    </row>
    <row r="264" spans="2:65" s="1" customFormat="1" ht="37.9" customHeight="1" x14ac:dyDescent="0.2">
      <c r="B264" s="109"/>
      <c r="C264" s="110" t="s">
        <v>476</v>
      </c>
      <c r="D264" s="110" t="s">
        <v>103</v>
      </c>
      <c r="E264" s="111" t="s">
        <v>477</v>
      </c>
      <c r="F264" s="112" t="s">
        <v>478</v>
      </c>
      <c r="G264" s="113" t="s">
        <v>314</v>
      </c>
      <c r="H264" s="114">
        <v>1</v>
      </c>
      <c r="I264" s="115">
        <v>0</v>
      </c>
      <c r="J264" s="115">
        <f>ROUND(I264*H264,2)</f>
        <v>0</v>
      </c>
      <c r="K264" s="112" t="s">
        <v>107</v>
      </c>
      <c r="L264" s="28"/>
      <c r="M264" s="116" t="s">
        <v>1</v>
      </c>
      <c r="N264" s="117" t="s">
        <v>39</v>
      </c>
      <c r="O264" s="118">
        <v>0.622</v>
      </c>
      <c r="P264" s="118">
        <f>O264*H264</f>
        <v>0.622</v>
      </c>
      <c r="Q264" s="118">
        <v>0</v>
      </c>
      <c r="R264" s="118">
        <f>Q264*H264</f>
        <v>0</v>
      </c>
      <c r="S264" s="118">
        <v>0</v>
      </c>
      <c r="T264" s="119">
        <f>S264*H264</f>
        <v>0</v>
      </c>
      <c r="AR264" s="120" t="s">
        <v>108</v>
      </c>
      <c r="AT264" s="120" t="s">
        <v>103</v>
      </c>
      <c r="AU264" s="120" t="s">
        <v>65</v>
      </c>
      <c r="AY264" s="17" t="s">
        <v>101</v>
      </c>
      <c r="BE264" s="121">
        <f>IF(N264="základní",J264,0)</f>
        <v>0</v>
      </c>
      <c r="BF264" s="121">
        <f>IF(N264="snížená",J264,0)</f>
        <v>0</v>
      </c>
      <c r="BG264" s="121">
        <f>IF(N264="zákl. přenesená",J264,0)</f>
        <v>0</v>
      </c>
      <c r="BH264" s="121">
        <f>IF(N264="sníž. přenesená",J264,0)</f>
        <v>0</v>
      </c>
      <c r="BI264" s="121">
        <f>IF(N264="nulová",J264,0)</f>
        <v>0</v>
      </c>
      <c r="BJ264" s="17" t="s">
        <v>63</v>
      </c>
      <c r="BK264" s="121">
        <f>ROUND(I264*H264,2)</f>
        <v>0</v>
      </c>
      <c r="BL264" s="17" t="s">
        <v>108</v>
      </c>
      <c r="BM264" s="120" t="s">
        <v>479</v>
      </c>
    </row>
    <row r="265" spans="2:65" s="1" customFormat="1" x14ac:dyDescent="0.2">
      <c r="B265" s="28"/>
      <c r="D265" s="122" t="s">
        <v>110</v>
      </c>
      <c r="F265" s="123" t="s">
        <v>480</v>
      </c>
      <c r="L265" s="28"/>
      <c r="M265" s="124"/>
      <c r="T265" s="48"/>
      <c r="AT265" s="17" t="s">
        <v>110</v>
      </c>
      <c r="AU265" s="17" t="s">
        <v>65</v>
      </c>
    </row>
    <row r="266" spans="2:65" s="1" customFormat="1" ht="21.75" customHeight="1" x14ac:dyDescent="0.2">
      <c r="B266" s="109"/>
      <c r="C266" s="143" t="s">
        <v>481</v>
      </c>
      <c r="D266" s="143" t="s">
        <v>252</v>
      </c>
      <c r="E266" s="144" t="s">
        <v>482</v>
      </c>
      <c r="F266" s="145" t="s">
        <v>483</v>
      </c>
      <c r="G266" s="146" t="s">
        <v>314</v>
      </c>
      <c r="H266" s="147">
        <v>1</v>
      </c>
      <c r="I266" s="148">
        <v>0</v>
      </c>
      <c r="J266" s="148">
        <f>ROUND(I266*H266,2)</f>
        <v>0</v>
      </c>
      <c r="K266" s="145" t="s">
        <v>107</v>
      </c>
      <c r="L266" s="149"/>
      <c r="M266" s="150" t="s">
        <v>1</v>
      </c>
      <c r="N266" s="151" t="s">
        <v>39</v>
      </c>
      <c r="O266" s="118">
        <v>0</v>
      </c>
      <c r="P266" s="118">
        <f>O266*H266</f>
        <v>0</v>
      </c>
      <c r="Q266" s="118">
        <v>9.1E-4</v>
      </c>
      <c r="R266" s="118">
        <f>Q266*H266</f>
        <v>9.1E-4</v>
      </c>
      <c r="S266" s="118">
        <v>0</v>
      </c>
      <c r="T266" s="119">
        <f>S266*H266</f>
        <v>0</v>
      </c>
      <c r="AR266" s="120" t="s">
        <v>171</v>
      </c>
      <c r="AT266" s="120" t="s">
        <v>252</v>
      </c>
      <c r="AU266" s="120" t="s">
        <v>65</v>
      </c>
      <c r="AY266" s="17" t="s">
        <v>101</v>
      </c>
      <c r="BE266" s="121">
        <f>IF(N266="základní",J266,0)</f>
        <v>0</v>
      </c>
      <c r="BF266" s="121">
        <f>IF(N266="snížená",J266,0)</f>
        <v>0</v>
      </c>
      <c r="BG266" s="121">
        <f>IF(N266="zákl. přenesená",J266,0)</f>
        <v>0</v>
      </c>
      <c r="BH266" s="121">
        <f>IF(N266="sníž. přenesená",J266,0)</f>
        <v>0</v>
      </c>
      <c r="BI266" s="121">
        <f>IF(N266="nulová",J266,0)</f>
        <v>0</v>
      </c>
      <c r="BJ266" s="17" t="s">
        <v>63</v>
      </c>
      <c r="BK266" s="121">
        <f>ROUND(I266*H266,2)</f>
        <v>0</v>
      </c>
      <c r="BL266" s="17" t="s">
        <v>108</v>
      </c>
      <c r="BM266" s="120" t="s">
        <v>484</v>
      </c>
    </row>
    <row r="267" spans="2:65" s="1" customFormat="1" ht="44.25" customHeight="1" x14ac:dyDescent="0.2">
      <c r="B267" s="109"/>
      <c r="C267" s="110" t="s">
        <v>485</v>
      </c>
      <c r="D267" s="110" t="s">
        <v>103</v>
      </c>
      <c r="E267" s="111" t="s">
        <v>486</v>
      </c>
      <c r="F267" s="112" t="s">
        <v>487</v>
      </c>
      <c r="G267" s="113" t="s">
        <v>314</v>
      </c>
      <c r="H267" s="114">
        <v>10</v>
      </c>
      <c r="I267" s="115">
        <v>0</v>
      </c>
      <c r="J267" s="115">
        <f>ROUND(I267*H267,2)</f>
        <v>0</v>
      </c>
      <c r="K267" s="112" t="s">
        <v>107</v>
      </c>
      <c r="L267" s="28"/>
      <c r="M267" s="116" t="s">
        <v>1</v>
      </c>
      <c r="N267" s="117" t="s">
        <v>39</v>
      </c>
      <c r="O267" s="118">
        <v>0.90400000000000003</v>
      </c>
      <c r="P267" s="118">
        <f>O267*H267</f>
        <v>9.0400000000000009</v>
      </c>
      <c r="Q267" s="118">
        <v>0</v>
      </c>
      <c r="R267" s="118">
        <f>Q267*H267</f>
        <v>0</v>
      </c>
      <c r="S267" s="118">
        <v>0</v>
      </c>
      <c r="T267" s="119">
        <f>S267*H267</f>
        <v>0</v>
      </c>
      <c r="AR267" s="120" t="s">
        <v>108</v>
      </c>
      <c r="AT267" s="120" t="s">
        <v>103</v>
      </c>
      <c r="AU267" s="120" t="s">
        <v>65</v>
      </c>
      <c r="AY267" s="17" t="s">
        <v>101</v>
      </c>
      <c r="BE267" s="121">
        <f>IF(N267="základní",J267,0)</f>
        <v>0</v>
      </c>
      <c r="BF267" s="121">
        <f>IF(N267="snížená",J267,0)</f>
        <v>0</v>
      </c>
      <c r="BG267" s="121">
        <f>IF(N267="zákl. přenesená",J267,0)</f>
        <v>0</v>
      </c>
      <c r="BH267" s="121">
        <f>IF(N267="sníž. přenesená",J267,0)</f>
        <v>0</v>
      </c>
      <c r="BI267" s="121">
        <f>IF(N267="nulová",J267,0)</f>
        <v>0</v>
      </c>
      <c r="BJ267" s="17" t="s">
        <v>63</v>
      </c>
      <c r="BK267" s="121">
        <f>ROUND(I267*H267,2)</f>
        <v>0</v>
      </c>
      <c r="BL267" s="17" t="s">
        <v>108</v>
      </c>
      <c r="BM267" s="120" t="s">
        <v>488</v>
      </c>
    </row>
    <row r="268" spans="2:65" s="1" customFormat="1" x14ac:dyDescent="0.2">
      <c r="B268" s="28"/>
      <c r="D268" s="122" t="s">
        <v>110</v>
      </c>
      <c r="F268" s="123" t="s">
        <v>489</v>
      </c>
      <c r="L268" s="28"/>
      <c r="M268" s="124"/>
      <c r="T268" s="48"/>
      <c r="AT268" s="17" t="s">
        <v>110</v>
      </c>
      <c r="AU268" s="17" t="s">
        <v>65</v>
      </c>
    </row>
    <row r="269" spans="2:65" s="1" customFormat="1" ht="16.5" customHeight="1" x14ac:dyDescent="0.2">
      <c r="B269" s="109"/>
      <c r="C269" s="143" t="s">
        <v>490</v>
      </c>
      <c r="D269" s="143" t="s">
        <v>252</v>
      </c>
      <c r="E269" s="144" t="s">
        <v>491</v>
      </c>
      <c r="F269" s="145" t="s">
        <v>492</v>
      </c>
      <c r="G269" s="146" t="s">
        <v>314</v>
      </c>
      <c r="H269" s="147">
        <v>10</v>
      </c>
      <c r="I269" s="148">
        <v>0</v>
      </c>
      <c r="J269" s="148">
        <f>ROUND(I269*H269,2)</f>
        <v>0</v>
      </c>
      <c r="K269" s="145" t="s">
        <v>107</v>
      </c>
      <c r="L269" s="149"/>
      <c r="M269" s="150" t="s">
        <v>1</v>
      </c>
      <c r="N269" s="151" t="s">
        <v>39</v>
      </c>
      <c r="O269" s="118">
        <v>0</v>
      </c>
      <c r="P269" s="118">
        <f>O269*H269</f>
        <v>0</v>
      </c>
      <c r="Q269" s="118">
        <v>8.1999999999999998E-4</v>
      </c>
      <c r="R269" s="118">
        <f>Q269*H269</f>
        <v>8.199999999999999E-3</v>
      </c>
      <c r="S269" s="118">
        <v>0</v>
      </c>
      <c r="T269" s="119">
        <f>S269*H269</f>
        <v>0</v>
      </c>
      <c r="AR269" s="120" t="s">
        <v>171</v>
      </c>
      <c r="AT269" s="120" t="s">
        <v>252</v>
      </c>
      <c r="AU269" s="120" t="s">
        <v>65</v>
      </c>
      <c r="AY269" s="17" t="s">
        <v>101</v>
      </c>
      <c r="BE269" s="121">
        <f>IF(N269="základní",J269,0)</f>
        <v>0</v>
      </c>
      <c r="BF269" s="121">
        <f>IF(N269="snížená",J269,0)</f>
        <v>0</v>
      </c>
      <c r="BG269" s="121">
        <f>IF(N269="zákl. přenesená",J269,0)</f>
        <v>0</v>
      </c>
      <c r="BH269" s="121">
        <f>IF(N269="sníž. přenesená",J269,0)</f>
        <v>0</v>
      </c>
      <c r="BI269" s="121">
        <f>IF(N269="nulová",J269,0)</f>
        <v>0</v>
      </c>
      <c r="BJ269" s="17" t="s">
        <v>63</v>
      </c>
      <c r="BK269" s="121">
        <f>ROUND(I269*H269,2)</f>
        <v>0</v>
      </c>
      <c r="BL269" s="17" t="s">
        <v>108</v>
      </c>
      <c r="BM269" s="120" t="s">
        <v>493</v>
      </c>
    </row>
    <row r="270" spans="2:65" s="1" customFormat="1" x14ac:dyDescent="0.2">
      <c r="B270" s="28"/>
      <c r="D270" s="122" t="s">
        <v>110</v>
      </c>
      <c r="F270" s="123" t="s">
        <v>498</v>
      </c>
      <c r="L270" s="28"/>
      <c r="M270" s="124"/>
      <c r="T270" s="48"/>
      <c r="AT270" s="17" t="s">
        <v>110</v>
      </c>
      <c r="AU270" s="17" t="s">
        <v>65</v>
      </c>
    </row>
    <row r="271" spans="2:65" s="1" customFormat="1" ht="49.15" customHeight="1" x14ac:dyDescent="0.2">
      <c r="B271" s="109"/>
      <c r="C271" s="110" t="s">
        <v>503</v>
      </c>
      <c r="D271" s="110" t="s">
        <v>103</v>
      </c>
      <c r="E271" s="111" t="s">
        <v>504</v>
      </c>
      <c r="F271" s="112" t="s">
        <v>505</v>
      </c>
      <c r="G271" s="113" t="s">
        <v>314</v>
      </c>
      <c r="H271" s="114">
        <v>4</v>
      </c>
      <c r="I271" s="115">
        <v>0</v>
      </c>
      <c r="J271" s="115">
        <f>ROUND(I271*H271,2)</f>
        <v>0</v>
      </c>
      <c r="K271" s="112" t="s">
        <v>107</v>
      </c>
      <c r="L271" s="28"/>
      <c r="M271" s="116" t="s">
        <v>1</v>
      </c>
      <c r="N271" s="117" t="s">
        <v>39</v>
      </c>
      <c r="O271" s="118">
        <v>1.554</v>
      </c>
      <c r="P271" s="118">
        <f>O271*H271</f>
        <v>6.2160000000000002</v>
      </c>
      <c r="Q271" s="118">
        <v>1.6199999999999999E-3</v>
      </c>
      <c r="R271" s="118">
        <f>Q271*H271</f>
        <v>6.4799999999999996E-3</v>
      </c>
      <c r="S271" s="118">
        <v>0</v>
      </c>
      <c r="T271" s="119">
        <f>S271*H271</f>
        <v>0</v>
      </c>
      <c r="AR271" s="120" t="s">
        <v>108</v>
      </c>
      <c r="AT271" s="120" t="s">
        <v>103</v>
      </c>
      <c r="AU271" s="120" t="s">
        <v>65</v>
      </c>
      <c r="AY271" s="17" t="s">
        <v>101</v>
      </c>
      <c r="BE271" s="121">
        <f>IF(N271="základní",J271,0)</f>
        <v>0</v>
      </c>
      <c r="BF271" s="121">
        <f>IF(N271="snížená",J271,0)</f>
        <v>0</v>
      </c>
      <c r="BG271" s="121">
        <f>IF(N271="zákl. přenesená",J271,0)</f>
        <v>0</v>
      </c>
      <c r="BH271" s="121">
        <f>IF(N271="sníž. přenesená",J271,0)</f>
        <v>0</v>
      </c>
      <c r="BI271" s="121">
        <f>IF(N271="nulová",J271,0)</f>
        <v>0</v>
      </c>
      <c r="BJ271" s="17" t="s">
        <v>63</v>
      </c>
      <c r="BK271" s="121">
        <f>ROUND(I271*H271,2)</f>
        <v>0</v>
      </c>
      <c r="BL271" s="17" t="s">
        <v>108</v>
      </c>
      <c r="BM271" s="120" t="s">
        <v>506</v>
      </c>
    </row>
    <row r="272" spans="2:65" s="1" customFormat="1" x14ac:dyDescent="0.2">
      <c r="B272" s="28"/>
      <c r="D272" s="122" t="s">
        <v>110</v>
      </c>
      <c r="F272" s="123" t="s">
        <v>507</v>
      </c>
      <c r="L272" s="28"/>
      <c r="M272" s="124"/>
      <c r="T272" s="48"/>
      <c r="AT272" s="17" t="s">
        <v>110</v>
      </c>
      <c r="AU272" s="17" t="s">
        <v>65</v>
      </c>
    </row>
    <row r="273" spans="2:65" s="1" customFormat="1" ht="24.2" customHeight="1" x14ac:dyDescent="0.2">
      <c r="B273" s="109"/>
      <c r="C273" s="143" t="s">
        <v>508</v>
      </c>
      <c r="D273" s="143" t="s">
        <v>252</v>
      </c>
      <c r="E273" s="144" t="s">
        <v>509</v>
      </c>
      <c r="F273" s="145" t="s">
        <v>510</v>
      </c>
      <c r="G273" s="146" t="s">
        <v>314</v>
      </c>
      <c r="H273" s="147">
        <v>4</v>
      </c>
      <c r="I273" s="148">
        <v>0</v>
      </c>
      <c r="J273" s="148">
        <f>ROUND(I273*H273,2)</f>
        <v>0</v>
      </c>
      <c r="K273" s="145" t="s">
        <v>107</v>
      </c>
      <c r="L273" s="149"/>
      <c r="M273" s="150" t="s">
        <v>1</v>
      </c>
      <c r="N273" s="151" t="s">
        <v>39</v>
      </c>
      <c r="O273" s="118">
        <v>0</v>
      </c>
      <c r="P273" s="118">
        <f>O273*H273</f>
        <v>0</v>
      </c>
      <c r="Q273" s="118">
        <v>1.7999999999999999E-2</v>
      </c>
      <c r="R273" s="118">
        <f>Q273*H273</f>
        <v>7.1999999999999995E-2</v>
      </c>
      <c r="S273" s="118">
        <v>0</v>
      </c>
      <c r="T273" s="119">
        <f>S273*H273</f>
        <v>0</v>
      </c>
      <c r="AR273" s="120" t="s">
        <v>171</v>
      </c>
      <c r="AT273" s="120" t="s">
        <v>252</v>
      </c>
      <c r="AU273" s="120" t="s">
        <v>65</v>
      </c>
      <c r="AY273" s="17" t="s">
        <v>101</v>
      </c>
      <c r="BE273" s="121">
        <f>IF(N273="základní",J273,0)</f>
        <v>0</v>
      </c>
      <c r="BF273" s="121">
        <f>IF(N273="snížená",J273,0)</f>
        <v>0</v>
      </c>
      <c r="BG273" s="121">
        <f>IF(N273="zákl. přenesená",J273,0)</f>
        <v>0</v>
      </c>
      <c r="BH273" s="121">
        <f>IF(N273="sníž. přenesená",J273,0)</f>
        <v>0</v>
      </c>
      <c r="BI273" s="121">
        <f>IF(N273="nulová",J273,0)</f>
        <v>0</v>
      </c>
      <c r="BJ273" s="17" t="s">
        <v>63</v>
      </c>
      <c r="BK273" s="121">
        <f>ROUND(I273*H273,2)</f>
        <v>0</v>
      </c>
      <c r="BL273" s="17" t="s">
        <v>108</v>
      </c>
      <c r="BM273" s="120" t="s">
        <v>511</v>
      </c>
    </row>
    <row r="274" spans="2:65" s="1" customFormat="1" ht="21.75" customHeight="1" x14ac:dyDescent="0.2">
      <c r="B274" s="109"/>
      <c r="C274" s="143" t="s">
        <v>512</v>
      </c>
      <c r="D274" s="143" t="s">
        <v>252</v>
      </c>
      <c r="E274" s="144" t="s">
        <v>513</v>
      </c>
      <c r="F274" s="145" t="s">
        <v>514</v>
      </c>
      <c r="G274" s="146" t="s">
        <v>314</v>
      </c>
      <c r="H274" s="147">
        <v>4</v>
      </c>
      <c r="I274" s="148">
        <v>0</v>
      </c>
      <c r="J274" s="148">
        <f>ROUND(I274*H274,2)</f>
        <v>0</v>
      </c>
      <c r="K274" s="145" t="s">
        <v>107</v>
      </c>
      <c r="L274" s="149"/>
      <c r="M274" s="150" t="s">
        <v>1</v>
      </c>
      <c r="N274" s="151" t="s">
        <v>39</v>
      </c>
      <c r="O274" s="118">
        <v>0</v>
      </c>
      <c r="P274" s="118">
        <f>O274*H274</f>
        <v>0</v>
      </c>
      <c r="Q274" s="118">
        <v>3.5000000000000001E-3</v>
      </c>
      <c r="R274" s="118">
        <f>Q274*H274</f>
        <v>1.4E-2</v>
      </c>
      <c r="S274" s="118">
        <v>0</v>
      </c>
      <c r="T274" s="119">
        <f>S274*H274</f>
        <v>0</v>
      </c>
      <c r="AR274" s="120" t="s">
        <v>171</v>
      </c>
      <c r="AT274" s="120" t="s">
        <v>252</v>
      </c>
      <c r="AU274" s="120" t="s">
        <v>65</v>
      </c>
      <c r="AY274" s="17" t="s">
        <v>101</v>
      </c>
      <c r="BE274" s="121">
        <f>IF(N274="základní",J274,0)</f>
        <v>0</v>
      </c>
      <c r="BF274" s="121">
        <f>IF(N274="snížená",J274,0)</f>
        <v>0</v>
      </c>
      <c r="BG274" s="121">
        <f>IF(N274="zákl. přenesená",J274,0)</f>
        <v>0</v>
      </c>
      <c r="BH274" s="121">
        <f>IF(N274="sníž. přenesená",J274,0)</f>
        <v>0</v>
      </c>
      <c r="BI274" s="121">
        <f>IF(N274="nulová",J274,0)</f>
        <v>0</v>
      </c>
      <c r="BJ274" s="17" t="s">
        <v>63</v>
      </c>
      <c r="BK274" s="121">
        <f>ROUND(I274*H274,2)</f>
        <v>0</v>
      </c>
      <c r="BL274" s="17" t="s">
        <v>108</v>
      </c>
      <c r="BM274" s="120" t="s">
        <v>515</v>
      </c>
    </row>
    <row r="275" spans="2:65" s="1" customFormat="1" ht="24.2" customHeight="1" x14ac:dyDescent="0.2">
      <c r="B275" s="109"/>
      <c r="C275" s="110" t="s">
        <v>516</v>
      </c>
      <c r="D275" s="110" t="s">
        <v>103</v>
      </c>
      <c r="E275" s="111" t="s">
        <v>517</v>
      </c>
      <c r="F275" s="112" t="s">
        <v>518</v>
      </c>
      <c r="G275" s="113" t="s">
        <v>314</v>
      </c>
      <c r="H275" s="114">
        <v>1</v>
      </c>
      <c r="I275" s="115">
        <v>0</v>
      </c>
      <c r="J275" s="115">
        <f>ROUND(I275*H275,2)</f>
        <v>0</v>
      </c>
      <c r="K275" s="112" t="s">
        <v>107</v>
      </c>
      <c r="L275" s="28"/>
      <c r="M275" s="116" t="s">
        <v>1</v>
      </c>
      <c r="N275" s="117" t="s">
        <v>39</v>
      </c>
      <c r="O275" s="118">
        <v>1.333</v>
      </c>
      <c r="P275" s="118">
        <f>O275*H275</f>
        <v>1.333</v>
      </c>
      <c r="Q275" s="118">
        <v>1.3600000000000001E-3</v>
      </c>
      <c r="R275" s="118">
        <f>Q275*H275</f>
        <v>1.3600000000000001E-3</v>
      </c>
      <c r="S275" s="118">
        <v>0</v>
      </c>
      <c r="T275" s="119">
        <f>S275*H275</f>
        <v>0</v>
      </c>
      <c r="AR275" s="120" t="s">
        <v>108</v>
      </c>
      <c r="AT275" s="120" t="s">
        <v>103</v>
      </c>
      <c r="AU275" s="120" t="s">
        <v>65</v>
      </c>
      <c r="AY275" s="17" t="s">
        <v>101</v>
      </c>
      <c r="BE275" s="121">
        <f>IF(N275="základní",J275,0)</f>
        <v>0</v>
      </c>
      <c r="BF275" s="121">
        <f>IF(N275="snížená",J275,0)</f>
        <v>0</v>
      </c>
      <c r="BG275" s="121">
        <f>IF(N275="zákl. přenesená",J275,0)</f>
        <v>0</v>
      </c>
      <c r="BH275" s="121">
        <f>IF(N275="sníž. přenesená",J275,0)</f>
        <v>0</v>
      </c>
      <c r="BI275" s="121">
        <f>IF(N275="nulová",J275,0)</f>
        <v>0</v>
      </c>
      <c r="BJ275" s="17" t="s">
        <v>63</v>
      </c>
      <c r="BK275" s="121">
        <f>ROUND(I275*H275,2)</f>
        <v>0</v>
      </c>
      <c r="BL275" s="17" t="s">
        <v>108</v>
      </c>
      <c r="BM275" s="120" t="s">
        <v>519</v>
      </c>
    </row>
    <row r="276" spans="2:65" s="1" customFormat="1" x14ac:dyDescent="0.2">
      <c r="B276" s="28"/>
      <c r="D276" s="122" t="s">
        <v>110</v>
      </c>
      <c r="F276" s="123" t="s">
        <v>520</v>
      </c>
      <c r="L276" s="28"/>
      <c r="M276" s="124"/>
      <c r="T276" s="48"/>
      <c r="AT276" s="17" t="s">
        <v>110</v>
      </c>
      <c r="AU276" s="17" t="s">
        <v>65</v>
      </c>
    </row>
    <row r="277" spans="2:65" s="1" customFormat="1" ht="24.2" customHeight="1" x14ac:dyDescent="0.2">
      <c r="B277" s="109"/>
      <c r="C277" s="143" t="s">
        <v>521</v>
      </c>
      <c r="D277" s="143" t="s">
        <v>252</v>
      </c>
      <c r="E277" s="144" t="s">
        <v>522</v>
      </c>
      <c r="F277" s="145" t="s">
        <v>523</v>
      </c>
      <c r="G277" s="146" t="s">
        <v>314</v>
      </c>
      <c r="H277" s="147">
        <v>1</v>
      </c>
      <c r="I277" s="148">
        <v>0</v>
      </c>
      <c r="J277" s="148">
        <f>ROUND(I277*H277,2)</f>
        <v>0</v>
      </c>
      <c r="K277" s="145" t="s">
        <v>107</v>
      </c>
      <c r="L277" s="149"/>
      <c r="M277" s="150" t="s">
        <v>1</v>
      </c>
      <c r="N277" s="151" t="s">
        <v>39</v>
      </c>
      <c r="O277" s="118">
        <v>0</v>
      </c>
      <c r="P277" s="118">
        <f>O277*H277</f>
        <v>0</v>
      </c>
      <c r="Q277" s="118">
        <v>3.2500000000000001E-2</v>
      </c>
      <c r="R277" s="118">
        <f>Q277*H277</f>
        <v>3.2500000000000001E-2</v>
      </c>
      <c r="S277" s="118">
        <v>0</v>
      </c>
      <c r="T277" s="119">
        <f>S277*H277</f>
        <v>0</v>
      </c>
      <c r="AR277" s="120" t="s">
        <v>171</v>
      </c>
      <c r="AT277" s="120" t="s">
        <v>252</v>
      </c>
      <c r="AU277" s="120" t="s">
        <v>65</v>
      </c>
      <c r="AY277" s="17" t="s">
        <v>101</v>
      </c>
      <c r="BE277" s="121">
        <f>IF(N277="základní",J277,0)</f>
        <v>0</v>
      </c>
      <c r="BF277" s="121">
        <f>IF(N277="snížená",J277,0)</f>
        <v>0</v>
      </c>
      <c r="BG277" s="121">
        <f>IF(N277="zákl. přenesená",J277,0)</f>
        <v>0</v>
      </c>
      <c r="BH277" s="121">
        <f>IF(N277="sníž. přenesená",J277,0)</f>
        <v>0</v>
      </c>
      <c r="BI277" s="121">
        <f>IF(N277="nulová",J277,0)</f>
        <v>0</v>
      </c>
      <c r="BJ277" s="17" t="s">
        <v>63</v>
      </c>
      <c r="BK277" s="121">
        <f>ROUND(I277*H277,2)</f>
        <v>0</v>
      </c>
      <c r="BL277" s="17" t="s">
        <v>108</v>
      </c>
      <c r="BM277" s="120" t="s">
        <v>524</v>
      </c>
    </row>
    <row r="278" spans="2:65" s="1" customFormat="1" ht="24.2" customHeight="1" x14ac:dyDescent="0.2">
      <c r="B278" s="109"/>
      <c r="C278" s="143" t="s">
        <v>525</v>
      </c>
      <c r="D278" s="143" t="s">
        <v>252</v>
      </c>
      <c r="E278" s="144" t="s">
        <v>526</v>
      </c>
      <c r="F278" s="145" t="s">
        <v>527</v>
      </c>
      <c r="G278" s="146" t="s">
        <v>314</v>
      </c>
      <c r="H278" s="147">
        <v>1</v>
      </c>
      <c r="I278" s="148">
        <v>0</v>
      </c>
      <c r="J278" s="148">
        <f>ROUND(I278*H278,2)</f>
        <v>0</v>
      </c>
      <c r="K278" s="145" t="s">
        <v>1</v>
      </c>
      <c r="L278" s="149"/>
      <c r="M278" s="150" t="s">
        <v>1</v>
      </c>
      <c r="N278" s="151" t="s">
        <v>39</v>
      </c>
      <c r="O278" s="118">
        <v>0</v>
      </c>
      <c r="P278" s="118">
        <f>O278*H278</f>
        <v>0</v>
      </c>
      <c r="Q278" s="118">
        <v>1.5E-3</v>
      </c>
      <c r="R278" s="118">
        <f>Q278*H278</f>
        <v>1.5E-3</v>
      </c>
      <c r="S278" s="118">
        <v>0</v>
      </c>
      <c r="T278" s="119">
        <f>S278*H278</f>
        <v>0</v>
      </c>
      <c r="AR278" s="120" t="s">
        <v>171</v>
      </c>
      <c r="AT278" s="120" t="s">
        <v>252</v>
      </c>
      <c r="AU278" s="120" t="s">
        <v>65</v>
      </c>
      <c r="AY278" s="17" t="s">
        <v>101</v>
      </c>
      <c r="BE278" s="121">
        <f>IF(N278="základní",J278,0)</f>
        <v>0</v>
      </c>
      <c r="BF278" s="121">
        <f>IF(N278="snížená",J278,0)</f>
        <v>0</v>
      </c>
      <c r="BG278" s="121">
        <f>IF(N278="zákl. přenesená",J278,0)</f>
        <v>0</v>
      </c>
      <c r="BH278" s="121">
        <f>IF(N278="sníž. přenesená",J278,0)</f>
        <v>0</v>
      </c>
      <c r="BI278" s="121">
        <f>IF(N278="nulová",J278,0)</f>
        <v>0</v>
      </c>
      <c r="BJ278" s="17" t="s">
        <v>63</v>
      </c>
      <c r="BK278" s="121">
        <f>ROUND(I278*H278,2)</f>
        <v>0</v>
      </c>
      <c r="BL278" s="17" t="s">
        <v>108</v>
      </c>
      <c r="BM278" s="120" t="s">
        <v>528</v>
      </c>
    </row>
    <row r="279" spans="2:65" s="1" customFormat="1" ht="49.15" customHeight="1" x14ac:dyDescent="0.2">
      <c r="B279" s="109"/>
      <c r="C279" s="110" t="s">
        <v>529</v>
      </c>
      <c r="D279" s="110" t="s">
        <v>103</v>
      </c>
      <c r="E279" s="111" t="s">
        <v>530</v>
      </c>
      <c r="F279" s="112" t="s">
        <v>531</v>
      </c>
      <c r="G279" s="113" t="s">
        <v>314</v>
      </c>
      <c r="H279" s="114">
        <v>5</v>
      </c>
      <c r="I279" s="115">
        <v>0</v>
      </c>
      <c r="J279" s="115">
        <f>ROUND(I279*H279,2)</f>
        <v>0</v>
      </c>
      <c r="K279" s="112" t="s">
        <v>107</v>
      </c>
      <c r="L279" s="28"/>
      <c r="M279" s="116" t="s">
        <v>1</v>
      </c>
      <c r="N279" s="117" t="s">
        <v>39</v>
      </c>
      <c r="O279" s="118">
        <v>1.8660000000000001</v>
      </c>
      <c r="P279" s="118">
        <f>O279*H279</f>
        <v>9.33</v>
      </c>
      <c r="Q279" s="118">
        <v>1.65E-3</v>
      </c>
      <c r="R279" s="118">
        <f>Q279*H279</f>
        <v>8.2500000000000004E-3</v>
      </c>
      <c r="S279" s="118">
        <v>0</v>
      </c>
      <c r="T279" s="119">
        <f>S279*H279</f>
        <v>0</v>
      </c>
      <c r="AR279" s="120" t="s">
        <v>108</v>
      </c>
      <c r="AT279" s="120" t="s">
        <v>103</v>
      </c>
      <c r="AU279" s="120" t="s">
        <v>65</v>
      </c>
      <c r="AY279" s="17" t="s">
        <v>101</v>
      </c>
      <c r="BE279" s="121">
        <f>IF(N279="základní",J279,0)</f>
        <v>0</v>
      </c>
      <c r="BF279" s="121">
        <f>IF(N279="snížená",J279,0)</f>
        <v>0</v>
      </c>
      <c r="BG279" s="121">
        <f>IF(N279="zákl. přenesená",J279,0)</f>
        <v>0</v>
      </c>
      <c r="BH279" s="121">
        <f>IF(N279="sníž. přenesená",J279,0)</f>
        <v>0</v>
      </c>
      <c r="BI279" s="121">
        <f>IF(N279="nulová",J279,0)</f>
        <v>0</v>
      </c>
      <c r="BJ279" s="17" t="s">
        <v>63</v>
      </c>
      <c r="BK279" s="121">
        <f>ROUND(I279*H279,2)</f>
        <v>0</v>
      </c>
      <c r="BL279" s="17" t="s">
        <v>108</v>
      </c>
      <c r="BM279" s="120" t="s">
        <v>532</v>
      </c>
    </row>
    <row r="280" spans="2:65" s="1" customFormat="1" x14ac:dyDescent="0.2">
      <c r="B280" s="28"/>
      <c r="D280" s="122" t="s">
        <v>110</v>
      </c>
      <c r="F280" s="123" t="s">
        <v>533</v>
      </c>
      <c r="L280" s="28"/>
      <c r="M280" s="124"/>
      <c r="T280" s="48"/>
      <c r="AT280" s="17" t="s">
        <v>110</v>
      </c>
      <c r="AU280" s="17" t="s">
        <v>65</v>
      </c>
    </row>
    <row r="281" spans="2:65" s="1" customFormat="1" ht="24.2" customHeight="1" x14ac:dyDescent="0.2">
      <c r="B281" s="109"/>
      <c r="C281" s="143" t="s">
        <v>534</v>
      </c>
      <c r="D281" s="143" t="s">
        <v>252</v>
      </c>
      <c r="E281" s="144" t="s">
        <v>535</v>
      </c>
      <c r="F281" s="145" t="s">
        <v>536</v>
      </c>
      <c r="G281" s="146" t="s">
        <v>314</v>
      </c>
      <c r="H281" s="147">
        <v>5</v>
      </c>
      <c r="I281" s="148">
        <v>0</v>
      </c>
      <c r="J281" s="148">
        <f>ROUND(I281*H281,2)</f>
        <v>0</v>
      </c>
      <c r="K281" s="145" t="s">
        <v>107</v>
      </c>
      <c r="L281" s="149"/>
      <c r="M281" s="150" t="s">
        <v>1</v>
      </c>
      <c r="N281" s="151" t="s">
        <v>39</v>
      </c>
      <c r="O281" s="118">
        <v>0</v>
      </c>
      <c r="P281" s="118">
        <f>O281*H281</f>
        <v>0</v>
      </c>
      <c r="Q281" s="118">
        <v>2.3E-2</v>
      </c>
      <c r="R281" s="118">
        <f>Q281*H281</f>
        <v>0.11499999999999999</v>
      </c>
      <c r="S281" s="118">
        <v>0</v>
      </c>
      <c r="T281" s="119">
        <f>S281*H281</f>
        <v>0</v>
      </c>
      <c r="AR281" s="120" t="s">
        <v>171</v>
      </c>
      <c r="AT281" s="120" t="s">
        <v>252</v>
      </c>
      <c r="AU281" s="120" t="s">
        <v>65</v>
      </c>
      <c r="AY281" s="17" t="s">
        <v>101</v>
      </c>
      <c r="BE281" s="121">
        <f>IF(N281="základní",J281,0)</f>
        <v>0</v>
      </c>
      <c r="BF281" s="121">
        <f>IF(N281="snížená",J281,0)</f>
        <v>0</v>
      </c>
      <c r="BG281" s="121">
        <f>IF(N281="zákl. přenesená",J281,0)</f>
        <v>0</v>
      </c>
      <c r="BH281" s="121">
        <f>IF(N281="sníž. přenesená",J281,0)</f>
        <v>0</v>
      </c>
      <c r="BI281" s="121">
        <f>IF(N281="nulová",J281,0)</f>
        <v>0</v>
      </c>
      <c r="BJ281" s="17" t="s">
        <v>63</v>
      </c>
      <c r="BK281" s="121">
        <f>ROUND(I281*H281,2)</f>
        <v>0</v>
      </c>
      <c r="BL281" s="17" t="s">
        <v>108</v>
      </c>
      <c r="BM281" s="120" t="s">
        <v>537</v>
      </c>
    </row>
    <row r="282" spans="2:65" s="1" customFormat="1" ht="21.75" customHeight="1" x14ac:dyDescent="0.2">
      <c r="B282" s="109"/>
      <c r="C282" s="143" t="s">
        <v>538</v>
      </c>
      <c r="D282" s="143" t="s">
        <v>252</v>
      </c>
      <c r="E282" s="144" t="s">
        <v>539</v>
      </c>
      <c r="F282" s="145" t="s">
        <v>540</v>
      </c>
      <c r="G282" s="146" t="s">
        <v>314</v>
      </c>
      <c r="H282" s="147">
        <v>5</v>
      </c>
      <c r="I282" s="148">
        <v>0</v>
      </c>
      <c r="J282" s="148">
        <f>ROUND(I282*H282,2)</f>
        <v>0</v>
      </c>
      <c r="K282" s="145" t="s">
        <v>107</v>
      </c>
      <c r="L282" s="149"/>
      <c r="M282" s="150" t="s">
        <v>1</v>
      </c>
      <c r="N282" s="151" t="s">
        <v>39</v>
      </c>
      <c r="O282" s="118">
        <v>0</v>
      </c>
      <c r="P282" s="118">
        <f>O282*H282</f>
        <v>0</v>
      </c>
      <c r="Q282" s="118">
        <v>4.0000000000000001E-3</v>
      </c>
      <c r="R282" s="118">
        <f>Q282*H282</f>
        <v>0.02</v>
      </c>
      <c r="S282" s="118">
        <v>0</v>
      </c>
      <c r="T282" s="119">
        <f>S282*H282</f>
        <v>0</v>
      </c>
      <c r="AR282" s="120" t="s">
        <v>171</v>
      </c>
      <c r="AT282" s="120" t="s">
        <v>252</v>
      </c>
      <c r="AU282" s="120" t="s">
        <v>65</v>
      </c>
      <c r="AY282" s="17" t="s">
        <v>101</v>
      </c>
      <c r="BE282" s="121">
        <f>IF(N282="základní",J282,0)</f>
        <v>0</v>
      </c>
      <c r="BF282" s="121">
        <f>IF(N282="snížená",J282,0)</f>
        <v>0</v>
      </c>
      <c r="BG282" s="121">
        <f>IF(N282="zákl. přenesená",J282,0)</f>
        <v>0</v>
      </c>
      <c r="BH282" s="121">
        <f>IF(N282="sníž. přenesená",J282,0)</f>
        <v>0</v>
      </c>
      <c r="BI282" s="121">
        <f>IF(N282="nulová",J282,0)</f>
        <v>0</v>
      </c>
      <c r="BJ282" s="17" t="s">
        <v>63</v>
      </c>
      <c r="BK282" s="121">
        <f>ROUND(I282*H282,2)</f>
        <v>0</v>
      </c>
      <c r="BL282" s="17" t="s">
        <v>108</v>
      </c>
      <c r="BM282" s="120" t="s">
        <v>541</v>
      </c>
    </row>
    <row r="283" spans="2:65" s="1" customFormat="1" ht="49.15" customHeight="1" x14ac:dyDescent="0.2">
      <c r="B283" s="109"/>
      <c r="C283" s="110" t="s">
        <v>542</v>
      </c>
      <c r="D283" s="110" t="s">
        <v>103</v>
      </c>
      <c r="E283" s="111" t="s">
        <v>543</v>
      </c>
      <c r="F283" s="112" t="s">
        <v>544</v>
      </c>
      <c r="G283" s="113" t="s">
        <v>314</v>
      </c>
      <c r="H283" s="114">
        <v>9</v>
      </c>
      <c r="I283" s="115">
        <v>0</v>
      </c>
      <c r="J283" s="115">
        <f>ROUND(I283*H283,2)</f>
        <v>0</v>
      </c>
      <c r="K283" s="112" t="s">
        <v>107</v>
      </c>
      <c r="L283" s="28"/>
      <c r="M283" s="116" t="s">
        <v>1</v>
      </c>
      <c r="N283" s="117" t="s">
        <v>39</v>
      </c>
      <c r="O283" s="118">
        <v>2.1280000000000001</v>
      </c>
      <c r="P283" s="118">
        <f>O283*H283</f>
        <v>19.152000000000001</v>
      </c>
      <c r="Q283" s="118">
        <v>2.81E-3</v>
      </c>
      <c r="R283" s="118">
        <f>Q283*H283</f>
        <v>2.529E-2</v>
      </c>
      <c r="S283" s="118">
        <v>0</v>
      </c>
      <c r="T283" s="119">
        <f>S283*H283</f>
        <v>0</v>
      </c>
      <c r="AR283" s="120" t="s">
        <v>108</v>
      </c>
      <c r="AT283" s="120" t="s">
        <v>103</v>
      </c>
      <c r="AU283" s="120" t="s">
        <v>65</v>
      </c>
      <c r="AY283" s="17" t="s">
        <v>101</v>
      </c>
      <c r="BE283" s="121">
        <f>IF(N283="základní",J283,0)</f>
        <v>0</v>
      </c>
      <c r="BF283" s="121">
        <f>IF(N283="snížená",J283,0)</f>
        <v>0</v>
      </c>
      <c r="BG283" s="121">
        <f>IF(N283="zákl. přenesená",J283,0)</f>
        <v>0</v>
      </c>
      <c r="BH283" s="121">
        <f>IF(N283="sníž. přenesená",J283,0)</f>
        <v>0</v>
      </c>
      <c r="BI283" s="121">
        <f>IF(N283="nulová",J283,0)</f>
        <v>0</v>
      </c>
      <c r="BJ283" s="17" t="s">
        <v>63</v>
      </c>
      <c r="BK283" s="121">
        <f>ROUND(I283*H283,2)</f>
        <v>0</v>
      </c>
      <c r="BL283" s="17" t="s">
        <v>108</v>
      </c>
      <c r="BM283" s="120" t="s">
        <v>545</v>
      </c>
    </row>
    <row r="284" spans="2:65" s="1" customFormat="1" x14ac:dyDescent="0.2">
      <c r="B284" s="28"/>
      <c r="D284" s="122" t="s">
        <v>110</v>
      </c>
      <c r="F284" s="123" t="s">
        <v>546</v>
      </c>
      <c r="L284" s="28"/>
      <c r="M284" s="124"/>
      <c r="T284" s="48"/>
      <c r="AT284" s="17" t="s">
        <v>110</v>
      </c>
      <c r="AU284" s="17" t="s">
        <v>65</v>
      </c>
    </row>
    <row r="285" spans="2:65" s="1" customFormat="1" ht="24.2" customHeight="1" x14ac:dyDescent="0.2">
      <c r="B285" s="109"/>
      <c r="C285" s="143" t="s">
        <v>547</v>
      </c>
      <c r="D285" s="143" t="s">
        <v>252</v>
      </c>
      <c r="E285" s="144" t="s">
        <v>548</v>
      </c>
      <c r="F285" s="145" t="s">
        <v>549</v>
      </c>
      <c r="G285" s="146" t="s">
        <v>314</v>
      </c>
      <c r="H285" s="147">
        <v>9</v>
      </c>
      <c r="I285" s="148">
        <v>0</v>
      </c>
      <c r="J285" s="148">
        <f>ROUND(I285*H285,2)</f>
        <v>0</v>
      </c>
      <c r="K285" s="145" t="s">
        <v>107</v>
      </c>
      <c r="L285" s="149"/>
      <c r="M285" s="150" t="s">
        <v>1</v>
      </c>
      <c r="N285" s="151" t="s">
        <v>39</v>
      </c>
      <c r="O285" s="118">
        <v>0</v>
      </c>
      <c r="P285" s="118">
        <f>O285*H285</f>
        <v>0</v>
      </c>
      <c r="Q285" s="118">
        <v>4.5999999999999999E-2</v>
      </c>
      <c r="R285" s="118">
        <f>Q285*H285</f>
        <v>0.41399999999999998</v>
      </c>
      <c r="S285" s="118">
        <v>0</v>
      </c>
      <c r="T285" s="119">
        <f>S285*H285</f>
        <v>0</v>
      </c>
      <c r="AR285" s="120" t="s">
        <v>171</v>
      </c>
      <c r="AT285" s="120" t="s">
        <v>252</v>
      </c>
      <c r="AU285" s="120" t="s">
        <v>65</v>
      </c>
      <c r="AY285" s="17" t="s">
        <v>101</v>
      </c>
      <c r="BE285" s="121">
        <f>IF(N285="základní",J285,0)</f>
        <v>0</v>
      </c>
      <c r="BF285" s="121">
        <f>IF(N285="snížená",J285,0)</f>
        <v>0</v>
      </c>
      <c r="BG285" s="121">
        <f>IF(N285="zákl. přenesená",J285,0)</f>
        <v>0</v>
      </c>
      <c r="BH285" s="121">
        <f>IF(N285="sníž. přenesená",J285,0)</f>
        <v>0</v>
      </c>
      <c r="BI285" s="121">
        <f>IF(N285="nulová",J285,0)</f>
        <v>0</v>
      </c>
      <c r="BJ285" s="17" t="s">
        <v>63</v>
      </c>
      <c r="BK285" s="121">
        <f>ROUND(I285*H285,2)</f>
        <v>0</v>
      </c>
      <c r="BL285" s="17" t="s">
        <v>108</v>
      </c>
      <c r="BM285" s="120" t="s">
        <v>550</v>
      </c>
    </row>
    <row r="286" spans="2:65" s="1" customFormat="1" ht="21.75" customHeight="1" x14ac:dyDescent="0.2">
      <c r="B286" s="109"/>
      <c r="C286" s="143" t="s">
        <v>555</v>
      </c>
      <c r="D286" s="143" t="s">
        <v>252</v>
      </c>
      <c r="E286" s="144" t="s">
        <v>539</v>
      </c>
      <c r="F286" s="145" t="s">
        <v>540</v>
      </c>
      <c r="G286" s="146" t="s">
        <v>314</v>
      </c>
      <c r="H286" s="147">
        <v>9</v>
      </c>
      <c r="I286" s="148">
        <v>0</v>
      </c>
      <c r="J286" s="148">
        <f>ROUND(I286*H286,2)</f>
        <v>0</v>
      </c>
      <c r="K286" s="145" t="s">
        <v>107</v>
      </c>
      <c r="L286" s="149"/>
      <c r="M286" s="150" t="s">
        <v>1</v>
      </c>
      <c r="N286" s="151" t="s">
        <v>39</v>
      </c>
      <c r="O286" s="118">
        <v>0</v>
      </c>
      <c r="P286" s="118">
        <f>O286*H286</f>
        <v>0</v>
      </c>
      <c r="Q286" s="118">
        <v>4.0000000000000001E-3</v>
      </c>
      <c r="R286" s="118">
        <f>Q286*H286</f>
        <v>3.6000000000000004E-2</v>
      </c>
      <c r="S286" s="118">
        <v>0</v>
      </c>
      <c r="T286" s="119">
        <f>S286*H286</f>
        <v>0</v>
      </c>
      <c r="AR286" s="120" t="s">
        <v>171</v>
      </c>
      <c r="AT286" s="120" t="s">
        <v>252</v>
      </c>
      <c r="AU286" s="120" t="s">
        <v>65</v>
      </c>
      <c r="AY286" s="17" t="s">
        <v>101</v>
      </c>
      <c r="BE286" s="121">
        <f>IF(N286="základní",J286,0)</f>
        <v>0</v>
      </c>
      <c r="BF286" s="121">
        <f>IF(N286="snížená",J286,0)</f>
        <v>0</v>
      </c>
      <c r="BG286" s="121">
        <f>IF(N286="zákl. přenesená",J286,0)</f>
        <v>0</v>
      </c>
      <c r="BH286" s="121">
        <f>IF(N286="sníž. přenesená",J286,0)</f>
        <v>0</v>
      </c>
      <c r="BI286" s="121">
        <f>IF(N286="nulová",J286,0)</f>
        <v>0</v>
      </c>
      <c r="BJ286" s="17" t="s">
        <v>63</v>
      </c>
      <c r="BK286" s="121">
        <f>ROUND(I286*H286,2)</f>
        <v>0</v>
      </c>
      <c r="BL286" s="17" t="s">
        <v>108</v>
      </c>
      <c r="BM286" s="120" t="s">
        <v>556</v>
      </c>
    </row>
    <row r="287" spans="2:65" s="1" customFormat="1" x14ac:dyDescent="0.2">
      <c r="B287" s="28"/>
      <c r="D287" s="122" t="s">
        <v>110</v>
      </c>
      <c r="F287" s="123" t="s">
        <v>561</v>
      </c>
      <c r="L287" s="28"/>
      <c r="M287" s="124"/>
      <c r="T287" s="48"/>
      <c r="AT287" s="17" t="s">
        <v>110</v>
      </c>
      <c r="AU287" s="17" t="s">
        <v>65</v>
      </c>
    </row>
    <row r="288" spans="2:65" s="1" customFormat="1" ht="21.75" customHeight="1" x14ac:dyDescent="0.2">
      <c r="B288" s="109"/>
      <c r="C288" s="110" t="s">
        <v>562</v>
      </c>
      <c r="D288" s="110" t="s">
        <v>103</v>
      </c>
      <c r="E288" s="111" t="s">
        <v>563</v>
      </c>
      <c r="F288" s="112" t="s">
        <v>564</v>
      </c>
      <c r="G288" s="113" t="s">
        <v>106</v>
      </c>
      <c r="H288" s="114">
        <f>189.9*0.82</f>
        <v>155.71799999999999</v>
      </c>
      <c r="I288" s="115">
        <v>0</v>
      </c>
      <c r="J288" s="115">
        <f>ROUND(I288*H288,2)</f>
        <v>0</v>
      </c>
      <c r="K288" s="112" t="s">
        <v>107</v>
      </c>
      <c r="L288" s="28"/>
      <c r="M288" s="116" t="s">
        <v>1</v>
      </c>
      <c r="N288" s="117" t="s">
        <v>39</v>
      </c>
      <c r="O288" s="118">
        <v>4.3999999999999997E-2</v>
      </c>
      <c r="P288" s="118">
        <f>O288*H288</f>
        <v>6.8515919999999992</v>
      </c>
      <c r="Q288" s="118">
        <v>0</v>
      </c>
      <c r="R288" s="118">
        <f>Q288*H288</f>
        <v>0</v>
      </c>
      <c r="S288" s="118">
        <v>0</v>
      </c>
      <c r="T288" s="119">
        <f>S288*H288</f>
        <v>0</v>
      </c>
      <c r="AR288" s="120" t="s">
        <v>108</v>
      </c>
      <c r="AT288" s="120" t="s">
        <v>103</v>
      </c>
      <c r="AU288" s="120" t="s">
        <v>65</v>
      </c>
      <c r="AY288" s="17" t="s">
        <v>101</v>
      </c>
      <c r="BE288" s="121">
        <f>IF(N288="základní",J288,0)</f>
        <v>0</v>
      </c>
      <c r="BF288" s="121">
        <f>IF(N288="snížená",J288,0)</f>
        <v>0</v>
      </c>
      <c r="BG288" s="121">
        <f>IF(N288="zákl. přenesená",J288,0)</f>
        <v>0</v>
      </c>
      <c r="BH288" s="121">
        <f>IF(N288="sníž. přenesená",J288,0)</f>
        <v>0</v>
      </c>
      <c r="BI288" s="121">
        <f>IF(N288="nulová",J288,0)</f>
        <v>0</v>
      </c>
      <c r="BJ288" s="17" t="s">
        <v>63</v>
      </c>
      <c r="BK288" s="121">
        <f>ROUND(I288*H288,2)</f>
        <v>0</v>
      </c>
      <c r="BL288" s="17" t="s">
        <v>108</v>
      </c>
      <c r="BM288" s="120" t="s">
        <v>565</v>
      </c>
    </row>
    <row r="289" spans="2:65" s="1" customFormat="1" x14ac:dyDescent="0.2">
      <c r="B289" s="28"/>
      <c r="D289" s="122" t="s">
        <v>110</v>
      </c>
      <c r="F289" s="123" t="s">
        <v>566</v>
      </c>
      <c r="L289" s="28"/>
      <c r="M289" s="124"/>
      <c r="T289" s="48"/>
      <c r="AT289" s="17" t="s">
        <v>110</v>
      </c>
      <c r="AU289" s="17" t="s">
        <v>65</v>
      </c>
    </row>
    <row r="290" spans="2:65" s="1" customFormat="1" ht="21.75" customHeight="1" x14ac:dyDescent="0.2">
      <c r="B290" s="109"/>
      <c r="C290" s="110" t="s">
        <v>567</v>
      </c>
      <c r="D290" s="110" t="s">
        <v>103</v>
      </c>
      <c r="E290" s="111" t="s">
        <v>568</v>
      </c>
      <c r="F290" s="112" t="s">
        <v>569</v>
      </c>
      <c r="G290" s="113" t="s">
        <v>106</v>
      </c>
      <c r="H290" s="114">
        <f>392.1*0.82</f>
        <v>321.52199999999999</v>
      </c>
      <c r="I290" s="115">
        <v>0</v>
      </c>
      <c r="J290" s="115">
        <f>ROUND(I290*H290,2)</f>
        <v>0</v>
      </c>
      <c r="K290" s="112" t="s">
        <v>107</v>
      </c>
      <c r="L290" s="28"/>
      <c r="M290" s="116" t="s">
        <v>1</v>
      </c>
      <c r="N290" s="117" t="s">
        <v>39</v>
      </c>
      <c r="O290" s="118">
        <v>5.5E-2</v>
      </c>
      <c r="P290" s="118">
        <f>O290*H290</f>
        <v>17.683710000000001</v>
      </c>
      <c r="Q290" s="118">
        <v>0</v>
      </c>
      <c r="R290" s="118">
        <f>Q290*H290</f>
        <v>0</v>
      </c>
      <c r="S290" s="118">
        <v>0</v>
      </c>
      <c r="T290" s="119">
        <f>S290*H290</f>
        <v>0</v>
      </c>
      <c r="AR290" s="120" t="s">
        <v>108</v>
      </c>
      <c r="AT290" s="120" t="s">
        <v>103</v>
      </c>
      <c r="AU290" s="120" t="s">
        <v>65</v>
      </c>
      <c r="AY290" s="17" t="s">
        <v>101</v>
      </c>
      <c r="BE290" s="121">
        <f>IF(N290="základní",J290,0)</f>
        <v>0</v>
      </c>
      <c r="BF290" s="121">
        <f>IF(N290="snížená",J290,0)</f>
        <v>0</v>
      </c>
      <c r="BG290" s="121">
        <f>IF(N290="zákl. přenesená",J290,0)</f>
        <v>0</v>
      </c>
      <c r="BH290" s="121">
        <f>IF(N290="sníž. přenesená",J290,0)</f>
        <v>0</v>
      </c>
      <c r="BI290" s="121">
        <f>IF(N290="nulová",J290,0)</f>
        <v>0</v>
      </c>
      <c r="BJ290" s="17" t="s">
        <v>63</v>
      </c>
      <c r="BK290" s="121">
        <f>ROUND(I290*H290,2)</f>
        <v>0</v>
      </c>
      <c r="BL290" s="17" t="s">
        <v>108</v>
      </c>
      <c r="BM290" s="120" t="s">
        <v>570</v>
      </c>
    </row>
    <row r="291" spans="2:65" s="1" customFormat="1" x14ac:dyDescent="0.2">
      <c r="B291" s="28"/>
      <c r="D291" s="122" t="s">
        <v>110</v>
      </c>
      <c r="F291" s="123" t="s">
        <v>571</v>
      </c>
      <c r="L291" s="28"/>
      <c r="M291" s="124"/>
      <c r="T291" s="48"/>
      <c r="AT291" s="17" t="s">
        <v>110</v>
      </c>
      <c r="AU291" s="17" t="s">
        <v>65</v>
      </c>
    </row>
    <row r="292" spans="2:65" s="1" customFormat="1" ht="24.2" customHeight="1" x14ac:dyDescent="0.2">
      <c r="B292" s="109"/>
      <c r="C292" s="110" t="s">
        <v>572</v>
      </c>
      <c r="D292" s="110" t="s">
        <v>103</v>
      </c>
      <c r="E292" s="111" t="s">
        <v>573</v>
      </c>
      <c r="F292" s="112" t="s">
        <v>574</v>
      </c>
      <c r="G292" s="113" t="s">
        <v>106</v>
      </c>
      <c r="H292" s="114">
        <f>202.2*0.82</f>
        <v>165.80399999999997</v>
      </c>
      <c r="I292" s="115">
        <v>0</v>
      </c>
      <c r="J292" s="115">
        <f>ROUND(I292*H292,2)</f>
        <v>0</v>
      </c>
      <c r="K292" s="112" t="s">
        <v>107</v>
      </c>
      <c r="L292" s="28"/>
      <c r="M292" s="116" t="s">
        <v>1</v>
      </c>
      <c r="N292" s="117" t="s">
        <v>39</v>
      </c>
      <c r="O292" s="118">
        <v>7.9000000000000001E-2</v>
      </c>
      <c r="P292" s="118">
        <f>O292*H292</f>
        <v>13.098515999999998</v>
      </c>
      <c r="Q292" s="118">
        <v>0</v>
      </c>
      <c r="R292" s="118">
        <f>Q292*H292</f>
        <v>0</v>
      </c>
      <c r="S292" s="118">
        <v>0</v>
      </c>
      <c r="T292" s="119">
        <f>S292*H292</f>
        <v>0</v>
      </c>
      <c r="AR292" s="120" t="s">
        <v>108</v>
      </c>
      <c r="AT292" s="120" t="s">
        <v>103</v>
      </c>
      <c r="AU292" s="120" t="s">
        <v>65</v>
      </c>
      <c r="AY292" s="17" t="s">
        <v>101</v>
      </c>
      <c r="BE292" s="121">
        <f>IF(N292="základní",J292,0)</f>
        <v>0</v>
      </c>
      <c r="BF292" s="121">
        <f>IF(N292="snížená",J292,0)</f>
        <v>0</v>
      </c>
      <c r="BG292" s="121">
        <f>IF(N292="zákl. přenesená",J292,0)</f>
        <v>0</v>
      </c>
      <c r="BH292" s="121">
        <f>IF(N292="sníž. přenesená",J292,0)</f>
        <v>0</v>
      </c>
      <c r="BI292" s="121">
        <f>IF(N292="nulová",J292,0)</f>
        <v>0</v>
      </c>
      <c r="BJ292" s="17" t="s">
        <v>63</v>
      </c>
      <c r="BK292" s="121">
        <f>ROUND(I292*H292,2)</f>
        <v>0</v>
      </c>
      <c r="BL292" s="17" t="s">
        <v>108</v>
      </c>
      <c r="BM292" s="120" t="s">
        <v>575</v>
      </c>
    </row>
    <row r="293" spans="2:65" s="1" customFormat="1" x14ac:dyDescent="0.2">
      <c r="B293" s="28"/>
      <c r="D293" s="122" t="s">
        <v>110</v>
      </c>
      <c r="F293" s="123" t="s">
        <v>576</v>
      </c>
      <c r="L293" s="28"/>
      <c r="M293" s="124"/>
      <c r="T293" s="48"/>
      <c r="AT293" s="17" t="s">
        <v>110</v>
      </c>
      <c r="AU293" s="17" t="s">
        <v>65</v>
      </c>
    </row>
    <row r="294" spans="2:65" s="13" customFormat="1" x14ac:dyDescent="0.2">
      <c r="B294" s="131"/>
      <c r="D294" s="126" t="s">
        <v>112</v>
      </c>
      <c r="E294" s="132" t="s">
        <v>1</v>
      </c>
      <c r="F294" s="133" t="s">
        <v>577</v>
      </c>
      <c r="H294" s="134">
        <v>189.9</v>
      </c>
      <c r="L294" s="131"/>
      <c r="M294" s="135"/>
      <c r="T294" s="136"/>
      <c r="AT294" s="132" t="s">
        <v>112</v>
      </c>
      <c r="AU294" s="132" t="s">
        <v>65</v>
      </c>
      <c r="AV294" s="13" t="s">
        <v>65</v>
      </c>
      <c r="AW294" s="13" t="s">
        <v>30</v>
      </c>
      <c r="AX294" s="13" t="s">
        <v>55</v>
      </c>
      <c r="AY294" s="132" t="s">
        <v>101</v>
      </c>
    </row>
    <row r="295" spans="2:65" s="13" customFormat="1" x14ac:dyDescent="0.2">
      <c r="B295" s="131"/>
      <c r="D295" s="126" t="s">
        <v>112</v>
      </c>
      <c r="E295" s="132" t="s">
        <v>1</v>
      </c>
      <c r="F295" s="133" t="s">
        <v>578</v>
      </c>
      <c r="H295" s="134">
        <v>12.3</v>
      </c>
      <c r="L295" s="131"/>
      <c r="M295" s="135"/>
      <c r="T295" s="136"/>
      <c r="AT295" s="132" t="s">
        <v>112</v>
      </c>
      <c r="AU295" s="132" t="s">
        <v>65</v>
      </c>
      <c r="AV295" s="13" t="s">
        <v>65</v>
      </c>
      <c r="AW295" s="13" t="s">
        <v>30</v>
      </c>
      <c r="AX295" s="13" t="s">
        <v>55</v>
      </c>
      <c r="AY295" s="132" t="s">
        <v>101</v>
      </c>
    </row>
    <row r="296" spans="2:65" s="14" customFormat="1" x14ac:dyDescent="0.2">
      <c r="B296" s="137"/>
      <c r="D296" s="126" t="s">
        <v>112</v>
      </c>
      <c r="E296" s="138" t="s">
        <v>1</v>
      </c>
      <c r="F296" s="139" t="s">
        <v>127</v>
      </c>
      <c r="H296" s="140">
        <v>202.2</v>
      </c>
      <c r="L296" s="137"/>
      <c r="M296" s="141"/>
      <c r="T296" s="142"/>
      <c r="AT296" s="138" t="s">
        <v>112</v>
      </c>
      <c r="AU296" s="138" t="s">
        <v>65</v>
      </c>
      <c r="AV296" s="14" t="s">
        <v>108</v>
      </c>
      <c r="AW296" s="14" t="s">
        <v>30</v>
      </c>
      <c r="AX296" s="14" t="s">
        <v>63</v>
      </c>
      <c r="AY296" s="138" t="s">
        <v>101</v>
      </c>
    </row>
    <row r="297" spans="2:65" s="14" customFormat="1" x14ac:dyDescent="0.2">
      <c r="B297" s="137"/>
      <c r="D297" s="126"/>
      <c r="E297" s="138"/>
      <c r="F297" s="139" t="s">
        <v>1839</v>
      </c>
      <c r="H297" s="140">
        <f>H296*0.82</f>
        <v>165.80399999999997</v>
      </c>
      <c r="L297" s="137"/>
      <c r="M297" s="141"/>
      <c r="T297" s="142"/>
      <c r="AT297" s="138"/>
      <c r="AU297" s="138"/>
      <c r="AY297" s="138"/>
    </row>
    <row r="298" spans="2:65" s="1" customFormat="1" ht="24.2" customHeight="1" x14ac:dyDescent="0.2">
      <c r="B298" s="109"/>
      <c r="C298" s="110" t="s">
        <v>579</v>
      </c>
      <c r="D298" s="110" t="s">
        <v>103</v>
      </c>
      <c r="E298" s="111" t="s">
        <v>580</v>
      </c>
      <c r="F298" s="112" t="s">
        <v>581</v>
      </c>
      <c r="G298" s="113" t="s">
        <v>106</v>
      </c>
      <c r="H298" s="114">
        <f>392.1*0.82</f>
        <v>321.52199999999999</v>
      </c>
      <c r="I298" s="115">
        <v>0</v>
      </c>
      <c r="J298" s="115">
        <f>ROUND(I298*H298,2)</f>
        <v>0</v>
      </c>
      <c r="K298" s="112" t="s">
        <v>107</v>
      </c>
      <c r="L298" s="28"/>
      <c r="M298" s="116" t="s">
        <v>1</v>
      </c>
      <c r="N298" s="117" t="s">
        <v>39</v>
      </c>
      <c r="O298" s="118">
        <v>0.124</v>
      </c>
      <c r="P298" s="118">
        <f>O298*H298</f>
        <v>39.868727999999997</v>
      </c>
      <c r="Q298" s="118">
        <v>0</v>
      </c>
      <c r="R298" s="118">
        <f>Q298*H298</f>
        <v>0</v>
      </c>
      <c r="S298" s="118">
        <v>0</v>
      </c>
      <c r="T298" s="119">
        <f>S298*H298</f>
        <v>0</v>
      </c>
      <c r="AR298" s="120" t="s">
        <v>108</v>
      </c>
      <c r="AT298" s="120" t="s">
        <v>103</v>
      </c>
      <c r="AU298" s="120" t="s">
        <v>65</v>
      </c>
      <c r="AY298" s="17" t="s">
        <v>101</v>
      </c>
      <c r="BE298" s="121">
        <f>IF(N298="základní",J298,0)</f>
        <v>0</v>
      </c>
      <c r="BF298" s="121">
        <f>IF(N298="snížená",J298,0)</f>
        <v>0</v>
      </c>
      <c r="BG298" s="121">
        <f>IF(N298="zákl. přenesená",J298,0)</f>
        <v>0</v>
      </c>
      <c r="BH298" s="121">
        <f>IF(N298="sníž. přenesená",J298,0)</f>
        <v>0</v>
      </c>
      <c r="BI298" s="121">
        <f>IF(N298="nulová",J298,0)</f>
        <v>0</v>
      </c>
      <c r="BJ298" s="17" t="s">
        <v>63</v>
      </c>
      <c r="BK298" s="121">
        <f>ROUND(I298*H298,2)</f>
        <v>0</v>
      </c>
      <c r="BL298" s="17" t="s">
        <v>108</v>
      </c>
      <c r="BM298" s="120" t="s">
        <v>582</v>
      </c>
    </row>
    <row r="299" spans="2:65" s="1" customFormat="1" x14ac:dyDescent="0.2">
      <c r="B299" s="28"/>
      <c r="D299" s="122" t="s">
        <v>110</v>
      </c>
      <c r="F299" s="123" t="s">
        <v>583</v>
      </c>
      <c r="L299" s="28"/>
      <c r="M299" s="124"/>
      <c r="T299" s="48"/>
      <c r="AT299" s="17" t="s">
        <v>110</v>
      </c>
      <c r="AU299" s="17" t="s">
        <v>65</v>
      </c>
    </row>
    <row r="300" spans="2:65" s="1" customFormat="1" ht="16.5" customHeight="1" x14ac:dyDescent="0.2">
      <c r="B300" s="109"/>
      <c r="C300" s="110" t="s">
        <v>584</v>
      </c>
      <c r="D300" s="110" t="s">
        <v>103</v>
      </c>
      <c r="E300" s="111" t="s">
        <v>585</v>
      </c>
      <c r="F300" s="112" t="s">
        <v>586</v>
      </c>
      <c r="G300" s="113" t="s">
        <v>314</v>
      </c>
      <c r="H300" s="114">
        <v>19</v>
      </c>
      <c r="I300" s="115">
        <v>0</v>
      </c>
      <c r="J300" s="115">
        <f>ROUND(I300*H300,2)</f>
        <v>0</v>
      </c>
      <c r="K300" s="112" t="s">
        <v>107</v>
      </c>
      <c r="L300" s="28"/>
      <c r="M300" s="116" t="s">
        <v>1</v>
      </c>
      <c r="N300" s="117" t="s">
        <v>39</v>
      </c>
      <c r="O300" s="118">
        <v>0.86299999999999999</v>
      </c>
      <c r="P300" s="118">
        <f>O300*H300</f>
        <v>16.396999999999998</v>
      </c>
      <c r="Q300" s="118">
        <v>0.04</v>
      </c>
      <c r="R300" s="118">
        <f>Q300*H300</f>
        <v>0.76</v>
      </c>
      <c r="S300" s="118">
        <v>0</v>
      </c>
      <c r="T300" s="119">
        <f>S300*H300</f>
        <v>0</v>
      </c>
      <c r="AR300" s="120" t="s">
        <v>108</v>
      </c>
      <c r="AT300" s="120" t="s">
        <v>103</v>
      </c>
      <c r="AU300" s="120" t="s">
        <v>65</v>
      </c>
      <c r="AY300" s="17" t="s">
        <v>101</v>
      </c>
      <c r="BE300" s="121">
        <f>IF(N300="základní",J300,0)</f>
        <v>0</v>
      </c>
      <c r="BF300" s="121">
        <f>IF(N300="snížená",J300,0)</f>
        <v>0</v>
      </c>
      <c r="BG300" s="121">
        <f>IF(N300="zákl. přenesená",J300,0)</f>
        <v>0</v>
      </c>
      <c r="BH300" s="121">
        <f>IF(N300="sníž. přenesená",J300,0)</f>
        <v>0</v>
      </c>
      <c r="BI300" s="121">
        <f>IF(N300="nulová",J300,0)</f>
        <v>0</v>
      </c>
      <c r="BJ300" s="17" t="s">
        <v>63</v>
      </c>
      <c r="BK300" s="121">
        <f>ROUND(I300*H300,2)</f>
        <v>0</v>
      </c>
      <c r="BL300" s="17" t="s">
        <v>108</v>
      </c>
      <c r="BM300" s="120" t="s">
        <v>587</v>
      </c>
    </row>
    <row r="301" spans="2:65" s="1" customFormat="1" x14ac:dyDescent="0.2">
      <c r="B301" s="28"/>
      <c r="D301" s="122" t="s">
        <v>110</v>
      </c>
      <c r="F301" s="123" t="s">
        <v>588</v>
      </c>
      <c r="L301" s="28"/>
      <c r="M301" s="124"/>
      <c r="T301" s="48"/>
      <c r="AT301" s="17" t="s">
        <v>110</v>
      </c>
      <c r="AU301" s="17" t="s">
        <v>65</v>
      </c>
    </row>
    <row r="302" spans="2:65" s="1" customFormat="1" ht="24.2" customHeight="1" x14ac:dyDescent="0.2">
      <c r="B302" s="109"/>
      <c r="C302" s="143" t="s">
        <v>589</v>
      </c>
      <c r="D302" s="143" t="s">
        <v>252</v>
      </c>
      <c r="E302" s="144" t="s">
        <v>590</v>
      </c>
      <c r="F302" s="145" t="s">
        <v>591</v>
      </c>
      <c r="G302" s="146" t="s">
        <v>314</v>
      </c>
      <c r="H302" s="147">
        <v>19</v>
      </c>
      <c r="I302" s="148">
        <v>0</v>
      </c>
      <c r="J302" s="148">
        <f>ROUND(I302*H302,2)</f>
        <v>0</v>
      </c>
      <c r="K302" s="145" t="s">
        <v>107</v>
      </c>
      <c r="L302" s="149"/>
      <c r="M302" s="150" t="s">
        <v>1</v>
      </c>
      <c r="N302" s="151" t="s">
        <v>39</v>
      </c>
      <c r="O302" s="118">
        <v>0</v>
      </c>
      <c r="P302" s="118">
        <f>O302*H302</f>
        <v>0</v>
      </c>
      <c r="Q302" s="118">
        <v>1.3299999999999999E-2</v>
      </c>
      <c r="R302" s="118">
        <f>Q302*H302</f>
        <v>0.25269999999999998</v>
      </c>
      <c r="S302" s="118">
        <v>0</v>
      </c>
      <c r="T302" s="119">
        <f>S302*H302</f>
        <v>0</v>
      </c>
      <c r="AR302" s="120" t="s">
        <v>171</v>
      </c>
      <c r="AT302" s="120" t="s">
        <v>252</v>
      </c>
      <c r="AU302" s="120" t="s">
        <v>65</v>
      </c>
      <c r="AY302" s="17" t="s">
        <v>101</v>
      </c>
      <c r="BE302" s="121">
        <f>IF(N302="základní",J302,0)</f>
        <v>0</v>
      </c>
      <c r="BF302" s="121">
        <f>IF(N302="snížená",J302,0)</f>
        <v>0</v>
      </c>
      <c r="BG302" s="121">
        <f>IF(N302="zákl. přenesená",J302,0)</f>
        <v>0</v>
      </c>
      <c r="BH302" s="121">
        <f>IF(N302="sníž. přenesená",J302,0)</f>
        <v>0</v>
      </c>
      <c r="BI302" s="121">
        <f>IF(N302="nulová",J302,0)</f>
        <v>0</v>
      </c>
      <c r="BJ302" s="17" t="s">
        <v>63</v>
      </c>
      <c r="BK302" s="121">
        <f>ROUND(I302*H302,2)</f>
        <v>0</v>
      </c>
      <c r="BL302" s="17" t="s">
        <v>108</v>
      </c>
      <c r="BM302" s="120" t="s">
        <v>592</v>
      </c>
    </row>
    <row r="303" spans="2:65" s="1" customFormat="1" ht="24.2" customHeight="1" x14ac:dyDescent="0.2">
      <c r="B303" s="109"/>
      <c r="C303" s="143" t="s">
        <v>593</v>
      </c>
      <c r="D303" s="143" t="s">
        <v>252</v>
      </c>
      <c r="E303" s="144" t="s">
        <v>594</v>
      </c>
      <c r="F303" s="145" t="s">
        <v>595</v>
      </c>
      <c r="G303" s="146" t="s">
        <v>314</v>
      </c>
      <c r="H303" s="147">
        <v>19</v>
      </c>
      <c r="I303" s="148">
        <v>0</v>
      </c>
      <c r="J303" s="148">
        <f>ROUND(I303*H303,2)</f>
        <v>0</v>
      </c>
      <c r="K303" s="145" t="s">
        <v>107</v>
      </c>
      <c r="L303" s="149"/>
      <c r="M303" s="150" t="s">
        <v>1</v>
      </c>
      <c r="N303" s="151" t="s">
        <v>39</v>
      </c>
      <c r="O303" s="118">
        <v>0</v>
      </c>
      <c r="P303" s="118">
        <f>O303*H303</f>
        <v>0</v>
      </c>
      <c r="Q303" s="118">
        <v>2.9999999999999997E-4</v>
      </c>
      <c r="R303" s="118">
        <f>Q303*H303</f>
        <v>5.6999999999999993E-3</v>
      </c>
      <c r="S303" s="118">
        <v>0</v>
      </c>
      <c r="T303" s="119">
        <f>S303*H303</f>
        <v>0</v>
      </c>
      <c r="AR303" s="120" t="s">
        <v>171</v>
      </c>
      <c r="AT303" s="120" t="s">
        <v>252</v>
      </c>
      <c r="AU303" s="120" t="s">
        <v>65</v>
      </c>
      <c r="AY303" s="17" t="s">
        <v>101</v>
      </c>
      <c r="BE303" s="121">
        <f>IF(N303="základní",J303,0)</f>
        <v>0</v>
      </c>
      <c r="BF303" s="121">
        <f>IF(N303="snížená",J303,0)</f>
        <v>0</v>
      </c>
      <c r="BG303" s="121">
        <f>IF(N303="zákl. přenesená",J303,0)</f>
        <v>0</v>
      </c>
      <c r="BH303" s="121">
        <f>IF(N303="sníž. přenesená",J303,0)</f>
        <v>0</v>
      </c>
      <c r="BI303" s="121">
        <f>IF(N303="nulová",J303,0)</f>
        <v>0</v>
      </c>
      <c r="BJ303" s="17" t="s">
        <v>63</v>
      </c>
      <c r="BK303" s="121">
        <f>ROUND(I303*H303,2)</f>
        <v>0</v>
      </c>
      <c r="BL303" s="17" t="s">
        <v>108</v>
      </c>
      <c r="BM303" s="120" t="s">
        <v>596</v>
      </c>
    </row>
    <row r="304" spans="2:65" s="1" customFormat="1" ht="16.5" customHeight="1" x14ac:dyDescent="0.2">
      <c r="B304" s="109"/>
      <c r="C304" s="110" t="s">
        <v>597</v>
      </c>
      <c r="D304" s="110" t="s">
        <v>103</v>
      </c>
      <c r="E304" s="111" t="s">
        <v>598</v>
      </c>
      <c r="F304" s="112" t="s">
        <v>599</v>
      </c>
      <c r="G304" s="113" t="s">
        <v>314</v>
      </c>
      <c r="H304" s="114">
        <v>1</v>
      </c>
      <c r="I304" s="115">
        <v>0</v>
      </c>
      <c r="J304" s="115">
        <f>ROUND(I304*H304,2)</f>
        <v>0</v>
      </c>
      <c r="K304" s="112" t="s">
        <v>107</v>
      </c>
      <c r="L304" s="28"/>
      <c r="M304" s="116" t="s">
        <v>1</v>
      </c>
      <c r="N304" s="117" t="s">
        <v>39</v>
      </c>
      <c r="O304" s="118">
        <v>1.1819999999999999</v>
      </c>
      <c r="P304" s="118">
        <f>O304*H304</f>
        <v>1.1819999999999999</v>
      </c>
      <c r="Q304" s="118">
        <v>0.05</v>
      </c>
      <c r="R304" s="118">
        <f>Q304*H304</f>
        <v>0.05</v>
      </c>
      <c r="S304" s="118">
        <v>0</v>
      </c>
      <c r="T304" s="119">
        <f>S304*H304</f>
        <v>0</v>
      </c>
      <c r="AR304" s="120" t="s">
        <v>108</v>
      </c>
      <c r="AT304" s="120" t="s">
        <v>103</v>
      </c>
      <c r="AU304" s="120" t="s">
        <v>65</v>
      </c>
      <c r="AY304" s="17" t="s">
        <v>101</v>
      </c>
      <c r="BE304" s="121">
        <f>IF(N304="základní",J304,0)</f>
        <v>0</v>
      </c>
      <c r="BF304" s="121">
        <f>IF(N304="snížená",J304,0)</f>
        <v>0</v>
      </c>
      <c r="BG304" s="121">
        <f>IF(N304="zákl. přenesená",J304,0)</f>
        <v>0</v>
      </c>
      <c r="BH304" s="121">
        <f>IF(N304="sníž. přenesená",J304,0)</f>
        <v>0</v>
      </c>
      <c r="BI304" s="121">
        <f>IF(N304="nulová",J304,0)</f>
        <v>0</v>
      </c>
      <c r="BJ304" s="17" t="s">
        <v>63</v>
      </c>
      <c r="BK304" s="121">
        <f>ROUND(I304*H304,2)</f>
        <v>0</v>
      </c>
      <c r="BL304" s="17" t="s">
        <v>108</v>
      </c>
      <c r="BM304" s="120" t="s">
        <v>600</v>
      </c>
    </row>
    <row r="305" spans="2:65" s="1" customFormat="1" x14ac:dyDescent="0.2">
      <c r="B305" s="28"/>
      <c r="D305" s="122" t="s">
        <v>110</v>
      </c>
      <c r="F305" s="123" t="s">
        <v>601</v>
      </c>
      <c r="L305" s="28"/>
      <c r="M305" s="124"/>
      <c r="T305" s="48"/>
      <c r="AT305" s="17" t="s">
        <v>110</v>
      </c>
      <c r="AU305" s="17" t="s">
        <v>65</v>
      </c>
    </row>
    <row r="306" spans="2:65" s="1" customFormat="1" ht="16.5" customHeight="1" x14ac:dyDescent="0.2">
      <c r="B306" s="109"/>
      <c r="C306" s="143" t="s">
        <v>602</v>
      </c>
      <c r="D306" s="143" t="s">
        <v>252</v>
      </c>
      <c r="E306" s="144" t="s">
        <v>603</v>
      </c>
      <c r="F306" s="145" t="s">
        <v>604</v>
      </c>
      <c r="G306" s="146" t="s">
        <v>314</v>
      </c>
      <c r="H306" s="147">
        <v>1</v>
      </c>
      <c r="I306" s="148">
        <v>0</v>
      </c>
      <c r="J306" s="148">
        <f>ROUND(I306*H306,2)</f>
        <v>0</v>
      </c>
      <c r="K306" s="145" t="s">
        <v>107</v>
      </c>
      <c r="L306" s="149"/>
      <c r="M306" s="150" t="s">
        <v>1</v>
      </c>
      <c r="N306" s="151" t="s">
        <v>39</v>
      </c>
      <c r="O306" s="118">
        <v>0</v>
      </c>
      <c r="P306" s="118">
        <f>O306*H306</f>
        <v>0</v>
      </c>
      <c r="Q306" s="118">
        <v>2.9499999999999998E-2</v>
      </c>
      <c r="R306" s="118">
        <f>Q306*H306</f>
        <v>2.9499999999999998E-2</v>
      </c>
      <c r="S306" s="118">
        <v>0</v>
      </c>
      <c r="T306" s="119">
        <f>S306*H306</f>
        <v>0</v>
      </c>
      <c r="AR306" s="120" t="s">
        <v>171</v>
      </c>
      <c r="AT306" s="120" t="s">
        <v>252</v>
      </c>
      <c r="AU306" s="120" t="s">
        <v>65</v>
      </c>
      <c r="AY306" s="17" t="s">
        <v>101</v>
      </c>
      <c r="BE306" s="121">
        <f>IF(N306="základní",J306,0)</f>
        <v>0</v>
      </c>
      <c r="BF306" s="121">
        <f>IF(N306="snížená",J306,0)</f>
        <v>0</v>
      </c>
      <c r="BG306" s="121">
        <f>IF(N306="zákl. přenesená",J306,0)</f>
        <v>0</v>
      </c>
      <c r="BH306" s="121">
        <f>IF(N306="sníž. přenesená",J306,0)</f>
        <v>0</v>
      </c>
      <c r="BI306" s="121">
        <f>IF(N306="nulová",J306,0)</f>
        <v>0</v>
      </c>
      <c r="BJ306" s="17" t="s">
        <v>63</v>
      </c>
      <c r="BK306" s="121">
        <f>ROUND(I306*H306,2)</f>
        <v>0</v>
      </c>
      <c r="BL306" s="17" t="s">
        <v>108</v>
      </c>
      <c r="BM306" s="120" t="s">
        <v>605</v>
      </c>
    </row>
    <row r="307" spans="2:65" s="1" customFormat="1" ht="24.2" customHeight="1" x14ac:dyDescent="0.2">
      <c r="B307" s="109"/>
      <c r="C307" s="143" t="s">
        <v>606</v>
      </c>
      <c r="D307" s="143" t="s">
        <v>252</v>
      </c>
      <c r="E307" s="144" t="s">
        <v>607</v>
      </c>
      <c r="F307" s="145" t="s">
        <v>608</v>
      </c>
      <c r="G307" s="146" t="s">
        <v>314</v>
      </c>
      <c r="H307" s="147">
        <v>1</v>
      </c>
      <c r="I307" s="148">
        <v>0</v>
      </c>
      <c r="J307" s="148">
        <f>ROUND(I307*H307,2)</f>
        <v>0</v>
      </c>
      <c r="K307" s="145" t="s">
        <v>107</v>
      </c>
      <c r="L307" s="149"/>
      <c r="M307" s="150" t="s">
        <v>1</v>
      </c>
      <c r="N307" s="151" t="s">
        <v>39</v>
      </c>
      <c r="O307" s="118">
        <v>0</v>
      </c>
      <c r="P307" s="118">
        <f>O307*H307</f>
        <v>0</v>
      </c>
      <c r="Q307" s="118">
        <v>2.5000000000000001E-3</v>
      </c>
      <c r="R307" s="118">
        <f>Q307*H307</f>
        <v>2.5000000000000001E-3</v>
      </c>
      <c r="S307" s="118">
        <v>0</v>
      </c>
      <c r="T307" s="119">
        <f>S307*H307</f>
        <v>0</v>
      </c>
      <c r="AR307" s="120" t="s">
        <v>171</v>
      </c>
      <c r="AT307" s="120" t="s">
        <v>252</v>
      </c>
      <c r="AU307" s="120" t="s">
        <v>65</v>
      </c>
      <c r="AY307" s="17" t="s">
        <v>101</v>
      </c>
      <c r="BE307" s="121">
        <f>IF(N307="základní",J307,0)</f>
        <v>0</v>
      </c>
      <c r="BF307" s="121">
        <f>IF(N307="snížená",J307,0)</f>
        <v>0</v>
      </c>
      <c r="BG307" s="121">
        <f>IF(N307="zákl. přenesená",J307,0)</f>
        <v>0</v>
      </c>
      <c r="BH307" s="121">
        <f>IF(N307="sníž. přenesená",J307,0)</f>
        <v>0</v>
      </c>
      <c r="BI307" s="121">
        <f>IF(N307="nulová",J307,0)</f>
        <v>0</v>
      </c>
      <c r="BJ307" s="17" t="s">
        <v>63</v>
      </c>
      <c r="BK307" s="121">
        <f>ROUND(I307*H307,2)</f>
        <v>0</v>
      </c>
      <c r="BL307" s="17" t="s">
        <v>108</v>
      </c>
      <c r="BM307" s="120" t="s">
        <v>609</v>
      </c>
    </row>
    <row r="308" spans="2:65" s="1" customFormat="1" ht="33" customHeight="1" x14ac:dyDescent="0.2">
      <c r="B308" s="109"/>
      <c r="C308" s="110" t="s">
        <v>610</v>
      </c>
      <c r="D308" s="110" t="s">
        <v>103</v>
      </c>
      <c r="E308" s="111" t="s">
        <v>611</v>
      </c>
      <c r="F308" s="112" t="s">
        <v>612</v>
      </c>
      <c r="G308" s="113" t="s">
        <v>314</v>
      </c>
      <c r="H308" s="114">
        <v>39</v>
      </c>
      <c r="I308" s="115">
        <v>0</v>
      </c>
      <c r="J308" s="115">
        <f>ROUND(I308*H308,2)</f>
        <v>0</v>
      </c>
      <c r="K308" s="112" t="s">
        <v>107</v>
      </c>
      <c r="L308" s="28"/>
      <c r="M308" s="116" t="s">
        <v>1</v>
      </c>
      <c r="N308" s="117" t="s">
        <v>39</v>
      </c>
      <c r="O308" s="118">
        <v>0.40300000000000002</v>
      </c>
      <c r="P308" s="118">
        <f>O308*H308</f>
        <v>15.717000000000001</v>
      </c>
      <c r="Q308" s="118">
        <v>1.6000000000000001E-4</v>
      </c>
      <c r="R308" s="118">
        <f>Q308*H308</f>
        <v>6.2400000000000008E-3</v>
      </c>
      <c r="S308" s="118">
        <v>0</v>
      </c>
      <c r="T308" s="119">
        <f>S308*H308</f>
        <v>0</v>
      </c>
      <c r="AR308" s="120" t="s">
        <v>108</v>
      </c>
      <c r="AT308" s="120" t="s">
        <v>103</v>
      </c>
      <c r="AU308" s="120" t="s">
        <v>65</v>
      </c>
      <c r="AY308" s="17" t="s">
        <v>101</v>
      </c>
      <c r="BE308" s="121">
        <f>IF(N308="základní",J308,0)</f>
        <v>0</v>
      </c>
      <c r="BF308" s="121">
        <f>IF(N308="snížená",J308,0)</f>
        <v>0</v>
      </c>
      <c r="BG308" s="121">
        <f>IF(N308="zákl. přenesená",J308,0)</f>
        <v>0</v>
      </c>
      <c r="BH308" s="121">
        <f>IF(N308="sníž. přenesená",J308,0)</f>
        <v>0</v>
      </c>
      <c r="BI308" s="121">
        <f>IF(N308="nulová",J308,0)</f>
        <v>0</v>
      </c>
      <c r="BJ308" s="17" t="s">
        <v>63</v>
      </c>
      <c r="BK308" s="121">
        <f>ROUND(I308*H308,2)</f>
        <v>0</v>
      </c>
      <c r="BL308" s="17" t="s">
        <v>108</v>
      </c>
      <c r="BM308" s="120" t="s">
        <v>613</v>
      </c>
    </row>
    <row r="309" spans="2:65" s="1" customFormat="1" x14ac:dyDescent="0.2">
      <c r="B309" s="28"/>
      <c r="D309" s="122" t="s">
        <v>110</v>
      </c>
      <c r="F309" s="123" t="s">
        <v>614</v>
      </c>
      <c r="L309" s="28"/>
      <c r="M309" s="124"/>
      <c r="T309" s="48"/>
      <c r="AT309" s="17" t="s">
        <v>110</v>
      </c>
      <c r="AU309" s="17" t="s">
        <v>65</v>
      </c>
    </row>
    <row r="310" spans="2:65" s="1" customFormat="1" ht="16.5" customHeight="1" x14ac:dyDescent="0.2">
      <c r="B310" s="109"/>
      <c r="C310" s="110" t="s">
        <v>615</v>
      </c>
      <c r="D310" s="110" t="s">
        <v>103</v>
      </c>
      <c r="E310" s="111" t="s">
        <v>616</v>
      </c>
      <c r="F310" s="112" t="s">
        <v>617</v>
      </c>
      <c r="G310" s="113" t="s">
        <v>106</v>
      </c>
      <c r="H310" s="114">
        <f>594.3*0.82</f>
        <v>487.32599999999991</v>
      </c>
      <c r="I310" s="115">
        <v>0</v>
      </c>
      <c r="J310" s="115">
        <f>ROUND(I310*H310,2)</f>
        <v>0</v>
      </c>
      <c r="K310" s="112" t="s">
        <v>107</v>
      </c>
      <c r="L310" s="28"/>
      <c r="M310" s="116" t="s">
        <v>1</v>
      </c>
      <c r="N310" s="117" t="s">
        <v>39</v>
      </c>
      <c r="O310" s="118">
        <v>5.3999999999999999E-2</v>
      </c>
      <c r="P310" s="118">
        <f>O310*H310</f>
        <v>26.315603999999993</v>
      </c>
      <c r="Q310" s="118">
        <v>1.9000000000000001E-4</v>
      </c>
      <c r="R310" s="118">
        <f>Q310*H310</f>
        <v>9.2591939999999984E-2</v>
      </c>
      <c r="S310" s="118">
        <v>0</v>
      </c>
      <c r="T310" s="119">
        <f>S310*H310</f>
        <v>0</v>
      </c>
      <c r="AR310" s="120" t="s">
        <v>108</v>
      </c>
      <c r="AT310" s="120" t="s">
        <v>103</v>
      </c>
      <c r="AU310" s="120" t="s">
        <v>65</v>
      </c>
      <c r="AY310" s="17" t="s">
        <v>101</v>
      </c>
      <c r="BE310" s="121">
        <f>IF(N310="základní",J310,0)</f>
        <v>0</v>
      </c>
      <c r="BF310" s="121">
        <f>IF(N310="snížená",J310,0)</f>
        <v>0</v>
      </c>
      <c r="BG310" s="121">
        <f>IF(N310="zákl. přenesená",J310,0)</f>
        <v>0</v>
      </c>
      <c r="BH310" s="121">
        <f>IF(N310="sníž. přenesená",J310,0)</f>
        <v>0</v>
      </c>
      <c r="BI310" s="121">
        <f>IF(N310="nulová",J310,0)</f>
        <v>0</v>
      </c>
      <c r="BJ310" s="17" t="s">
        <v>63</v>
      </c>
      <c r="BK310" s="121">
        <f>ROUND(I310*H310,2)</f>
        <v>0</v>
      </c>
      <c r="BL310" s="17" t="s">
        <v>108</v>
      </c>
      <c r="BM310" s="120" t="s">
        <v>618</v>
      </c>
    </row>
    <row r="311" spans="2:65" s="1" customFormat="1" x14ac:dyDescent="0.2">
      <c r="B311" s="28"/>
      <c r="D311" s="122" t="s">
        <v>110</v>
      </c>
      <c r="F311" s="123" t="s">
        <v>619</v>
      </c>
      <c r="L311" s="28"/>
      <c r="M311" s="124"/>
      <c r="T311" s="48"/>
      <c r="AT311" s="17" t="s">
        <v>110</v>
      </c>
      <c r="AU311" s="17" t="s">
        <v>65</v>
      </c>
    </row>
    <row r="312" spans="2:65" s="1" customFormat="1" ht="21.75" customHeight="1" x14ac:dyDescent="0.2">
      <c r="B312" s="109"/>
      <c r="C312" s="110" t="s">
        <v>620</v>
      </c>
      <c r="D312" s="110" t="s">
        <v>103</v>
      </c>
      <c r="E312" s="111" t="s">
        <v>621</v>
      </c>
      <c r="F312" s="112" t="s">
        <v>622</v>
      </c>
      <c r="G312" s="113" t="s">
        <v>106</v>
      </c>
      <c r="H312" s="114">
        <f>594.3*0.82</f>
        <v>487.32599999999991</v>
      </c>
      <c r="I312" s="115">
        <v>0</v>
      </c>
      <c r="J312" s="115">
        <f>ROUND(I312*H312,2)</f>
        <v>0</v>
      </c>
      <c r="K312" s="112" t="s">
        <v>107</v>
      </c>
      <c r="L312" s="28"/>
      <c r="M312" s="116" t="s">
        <v>1</v>
      </c>
      <c r="N312" s="117" t="s">
        <v>39</v>
      </c>
      <c r="O312" s="118">
        <v>2.3E-2</v>
      </c>
      <c r="P312" s="118">
        <f>O312*H312</f>
        <v>11.208497999999997</v>
      </c>
      <c r="Q312" s="118">
        <v>6.9999999999999994E-5</v>
      </c>
      <c r="R312" s="118">
        <f>Q312*H312</f>
        <v>3.4112819999999988E-2</v>
      </c>
      <c r="S312" s="118">
        <v>0</v>
      </c>
      <c r="T312" s="119">
        <f>S312*H312</f>
        <v>0</v>
      </c>
      <c r="AR312" s="120" t="s">
        <v>108</v>
      </c>
      <c r="AT312" s="120" t="s">
        <v>103</v>
      </c>
      <c r="AU312" s="120" t="s">
        <v>65</v>
      </c>
      <c r="AY312" s="17" t="s">
        <v>101</v>
      </c>
      <c r="BE312" s="121">
        <f>IF(N312="základní",J312,0)</f>
        <v>0</v>
      </c>
      <c r="BF312" s="121">
        <f>IF(N312="snížená",J312,0)</f>
        <v>0</v>
      </c>
      <c r="BG312" s="121">
        <f>IF(N312="zákl. přenesená",J312,0)</f>
        <v>0</v>
      </c>
      <c r="BH312" s="121">
        <f>IF(N312="sníž. přenesená",J312,0)</f>
        <v>0</v>
      </c>
      <c r="BI312" s="121">
        <f>IF(N312="nulová",J312,0)</f>
        <v>0</v>
      </c>
      <c r="BJ312" s="17" t="s">
        <v>63</v>
      </c>
      <c r="BK312" s="121">
        <f>ROUND(I312*H312,2)</f>
        <v>0</v>
      </c>
      <c r="BL312" s="17" t="s">
        <v>108</v>
      </c>
      <c r="BM312" s="120" t="s">
        <v>623</v>
      </c>
    </row>
    <row r="313" spans="2:65" s="1" customFormat="1" x14ac:dyDescent="0.2">
      <c r="B313" s="28"/>
      <c r="D313" s="122" t="s">
        <v>110</v>
      </c>
      <c r="F313" s="123" t="s">
        <v>624</v>
      </c>
      <c r="L313" s="28"/>
      <c r="M313" s="124"/>
      <c r="T313" s="48"/>
      <c r="AT313" s="17" t="s">
        <v>110</v>
      </c>
      <c r="AU313" s="17" t="s">
        <v>65</v>
      </c>
    </row>
    <row r="314" spans="2:65" s="11" customFormat="1" ht="22.9" customHeight="1" x14ac:dyDescent="0.2">
      <c r="B314" s="98"/>
      <c r="D314" s="99" t="s">
        <v>54</v>
      </c>
      <c r="E314" s="107" t="s">
        <v>625</v>
      </c>
      <c r="F314" s="107" t="s">
        <v>626</v>
      </c>
      <c r="J314" s="108">
        <f>BK314</f>
        <v>0</v>
      </c>
      <c r="L314" s="98"/>
      <c r="M314" s="102"/>
      <c r="P314" s="103">
        <f>SUM(P315:P318)</f>
        <v>11.887566239999998</v>
      </c>
      <c r="R314" s="103">
        <f>SUM(R315:R318)</f>
        <v>0</v>
      </c>
      <c r="T314" s="104">
        <f>SUM(T315:T318)</f>
        <v>0</v>
      </c>
      <c r="V314" s="411"/>
      <c r="AR314" s="99" t="s">
        <v>63</v>
      </c>
      <c r="AT314" s="105" t="s">
        <v>54</v>
      </c>
      <c r="AU314" s="105" t="s">
        <v>63</v>
      </c>
      <c r="AY314" s="99" t="s">
        <v>101</v>
      </c>
      <c r="BK314" s="106">
        <f>SUM(BK315:BK318)</f>
        <v>0</v>
      </c>
    </row>
    <row r="315" spans="2:65" s="1" customFormat="1" ht="49.15" customHeight="1" x14ac:dyDescent="0.2">
      <c r="B315" s="109"/>
      <c r="C315" s="110" t="s">
        <v>627</v>
      </c>
      <c r="D315" s="110" t="s">
        <v>103</v>
      </c>
      <c r="E315" s="111" t="s">
        <v>628</v>
      </c>
      <c r="F315" s="112" t="s">
        <v>629</v>
      </c>
      <c r="G315" s="113" t="s">
        <v>231</v>
      </c>
      <c r="H315" s="114">
        <f>5.874*0.82</f>
        <v>4.8166799999999999</v>
      </c>
      <c r="I315" s="115">
        <v>0</v>
      </c>
      <c r="J315" s="115">
        <f>ROUND(I315*H315,2)</f>
        <v>0</v>
      </c>
      <c r="K315" s="112" t="s">
        <v>107</v>
      </c>
      <c r="L315" s="28"/>
      <c r="M315" s="116" t="s">
        <v>1</v>
      </c>
      <c r="N315" s="117" t="s">
        <v>39</v>
      </c>
      <c r="O315" s="118">
        <v>1.48</v>
      </c>
      <c r="P315" s="118">
        <f>O315*H315</f>
        <v>7.1286863999999994</v>
      </c>
      <c r="Q315" s="118">
        <v>0</v>
      </c>
      <c r="R315" s="118">
        <f>Q315*H315</f>
        <v>0</v>
      </c>
      <c r="S315" s="118">
        <v>0</v>
      </c>
      <c r="T315" s="119">
        <f>S315*H315</f>
        <v>0</v>
      </c>
      <c r="AR315" s="120" t="s">
        <v>108</v>
      </c>
      <c r="AT315" s="120" t="s">
        <v>103</v>
      </c>
      <c r="AU315" s="120" t="s">
        <v>65</v>
      </c>
      <c r="AY315" s="17" t="s">
        <v>101</v>
      </c>
      <c r="BE315" s="121">
        <f>IF(N315="základní",J315,0)</f>
        <v>0</v>
      </c>
      <c r="BF315" s="121">
        <f>IF(N315="snížená",J315,0)</f>
        <v>0</v>
      </c>
      <c r="BG315" s="121">
        <f>IF(N315="zákl. přenesená",J315,0)</f>
        <v>0</v>
      </c>
      <c r="BH315" s="121">
        <f>IF(N315="sníž. přenesená",J315,0)</f>
        <v>0</v>
      </c>
      <c r="BI315" s="121">
        <f>IF(N315="nulová",J315,0)</f>
        <v>0</v>
      </c>
      <c r="BJ315" s="17" t="s">
        <v>63</v>
      </c>
      <c r="BK315" s="121">
        <f>ROUND(I315*H315,2)</f>
        <v>0</v>
      </c>
      <c r="BL315" s="17" t="s">
        <v>108</v>
      </c>
      <c r="BM315" s="120" t="s">
        <v>630</v>
      </c>
    </row>
    <row r="316" spans="2:65" s="1" customFormat="1" x14ac:dyDescent="0.2">
      <c r="B316" s="28"/>
      <c r="D316" s="122" t="s">
        <v>110</v>
      </c>
      <c r="F316" s="123" t="s">
        <v>631</v>
      </c>
      <c r="L316" s="28"/>
      <c r="M316" s="124"/>
      <c r="T316" s="48"/>
      <c r="AT316" s="17" t="s">
        <v>110</v>
      </c>
      <c r="AU316" s="17" t="s">
        <v>65</v>
      </c>
    </row>
    <row r="317" spans="2:65" s="1" customFormat="1" ht="55.5" customHeight="1" x14ac:dyDescent="0.2">
      <c r="B317" s="109"/>
      <c r="C317" s="110" t="s">
        <v>632</v>
      </c>
      <c r="D317" s="110" t="s">
        <v>103</v>
      </c>
      <c r="E317" s="111" t="s">
        <v>633</v>
      </c>
      <c r="F317" s="112" t="s">
        <v>634</v>
      </c>
      <c r="G317" s="113" t="s">
        <v>231</v>
      </c>
      <c r="H317" s="114">
        <f>5.874*0.82</f>
        <v>4.8166799999999999</v>
      </c>
      <c r="I317" s="115">
        <v>0</v>
      </c>
      <c r="J317" s="115">
        <f>ROUND(I317*H317,2)</f>
        <v>0</v>
      </c>
      <c r="K317" s="112" t="s">
        <v>107</v>
      </c>
      <c r="L317" s="28"/>
      <c r="M317" s="116" t="s">
        <v>1</v>
      </c>
      <c r="N317" s="117" t="s">
        <v>39</v>
      </c>
      <c r="O317" s="118">
        <v>0.98799999999999999</v>
      </c>
      <c r="P317" s="118">
        <f>O317*H317</f>
        <v>4.7588798399999996</v>
      </c>
      <c r="Q317" s="118">
        <v>0</v>
      </c>
      <c r="R317" s="118">
        <f>Q317*H317</f>
        <v>0</v>
      </c>
      <c r="S317" s="118">
        <v>0</v>
      </c>
      <c r="T317" s="119">
        <f>S317*H317</f>
        <v>0</v>
      </c>
      <c r="AR317" s="120" t="s">
        <v>108</v>
      </c>
      <c r="AT317" s="120" t="s">
        <v>103</v>
      </c>
      <c r="AU317" s="120" t="s">
        <v>65</v>
      </c>
      <c r="AY317" s="17" t="s">
        <v>101</v>
      </c>
      <c r="BE317" s="121">
        <f>IF(N317="základní",J317,0)</f>
        <v>0</v>
      </c>
      <c r="BF317" s="121">
        <f>IF(N317="snížená",J317,0)</f>
        <v>0</v>
      </c>
      <c r="BG317" s="121">
        <f>IF(N317="zákl. přenesená",J317,0)</f>
        <v>0</v>
      </c>
      <c r="BH317" s="121">
        <f>IF(N317="sníž. přenesená",J317,0)</f>
        <v>0</v>
      </c>
      <c r="BI317" s="121">
        <f>IF(N317="nulová",J317,0)</f>
        <v>0</v>
      </c>
      <c r="BJ317" s="17" t="s">
        <v>63</v>
      </c>
      <c r="BK317" s="121">
        <f>ROUND(I317*H317,2)</f>
        <v>0</v>
      </c>
      <c r="BL317" s="17" t="s">
        <v>108</v>
      </c>
      <c r="BM317" s="120" t="s">
        <v>635</v>
      </c>
    </row>
    <row r="318" spans="2:65" s="1" customFormat="1" x14ac:dyDescent="0.2">
      <c r="B318" s="28"/>
      <c r="D318" s="122" t="s">
        <v>110</v>
      </c>
      <c r="F318" s="123" t="s">
        <v>636</v>
      </c>
      <c r="L318" s="28"/>
      <c r="M318" s="124"/>
      <c r="T318" s="48"/>
      <c r="AT318" s="17" t="s">
        <v>110</v>
      </c>
      <c r="AU318" s="17" t="s">
        <v>65</v>
      </c>
    </row>
    <row r="319" spans="2:65" s="11" customFormat="1" ht="25.9" customHeight="1" x14ac:dyDescent="0.2">
      <c r="B319" s="98"/>
      <c r="D319" s="99" t="s">
        <v>54</v>
      </c>
      <c r="E319" s="100" t="s">
        <v>637</v>
      </c>
      <c r="F319" s="100" t="s">
        <v>638</v>
      </c>
      <c r="J319" s="101">
        <f>BK319</f>
        <v>0</v>
      </c>
      <c r="L319" s="98"/>
      <c r="M319" s="102"/>
      <c r="P319" s="103">
        <f>P320</f>
        <v>0</v>
      </c>
      <c r="R319" s="103">
        <f>R320</f>
        <v>0</v>
      </c>
      <c r="T319" s="104">
        <f>T320</f>
        <v>0</v>
      </c>
      <c r="AR319" s="99" t="s">
        <v>141</v>
      </c>
      <c r="AT319" s="105" t="s">
        <v>54</v>
      </c>
      <c r="AU319" s="105" t="s">
        <v>55</v>
      </c>
      <c r="AY319" s="99" t="s">
        <v>101</v>
      </c>
      <c r="BK319" s="106">
        <f>BK320</f>
        <v>0</v>
      </c>
    </row>
    <row r="320" spans="2:65" s="11" customFormat="1" ht="22.9" customHeight="1" x14ac:dyDescent="0.2">
      <c r="B320" s="98"/>
      <c r="D320" s="99" t="s">
        <v>54</v>
      </c>
      <c r="E320" s="107" t="s">
        <v>639</v>
      </c>
      <c r="F320" s="107" t="s">
        <v>640</v>
      </c>
      <c r="J320" s="108">
        <f>BK320</f>
        <v>0</v>
      </c>
      <c r="L320" s="98"/>
      <c r="M320" s="102"/>
      <c r="P320" s="103">
        <f>P321</f>
        <v>0</v>
      </c>
      <c r="R320" s="103">
        <f>R321</f>
        <v>0</v>
      </c>
      <c r="T320" s="104">
        <f>T321</f>
        <v>0</v>
      </c>
      <c r="AR320" s="99" t="s">
        <v>141</v>
      </c>
      <c r="AT320" s="105" t="s">
        <v>54</v>
      </c>
      <c r="AU320" s="105" t="s">
        <v>63</v>
      </c>
      <c r="AY320" s="99" t="s">
        <v>101</v>
      </c>
      <c r="BK320" s="106">
        <f>BK321</f>
        <v>0</v>
      </c>
    </row>
    <row r="321" spans="2:65" s="1" customFormat="1" ht="24.2" customHeight="1" x14ac:dyDescent="0.2">
      <c r="B321" s="109"/>
      <c r="C321" s="110" t="s">
        <v>641</v>
      </c>
      <c r="D321" s="110" t="s">
        <v>103</v>
      </c>
      <c r="E321" s="111" t="s">
        <v>642</v>
      </c>
      <c r="F321" s="112" t="s">
        <v>643</v>
      </c>
      <c r="G321" s="113" t="s">
        <v>644</v>
      </c>
      <c r="H321" s="114">
        <v>1</v>
      </c>
      <c r="I321" s="115">
        <v>0</v>
      </c>
      <c r="J321" s="115">
        <f>ROUND(I321*H321,2)</f>
        <v>0</v>
      </c>
      <c r="K321" s="112" t="s">
        <v>1</v>
      </c>
      <c r="L321" s="28"/>
      <c r="M321" s="152" t="s">
        <v>1</v>
      </c>
      <c r="N321" s="153" t="s">
        <v>39</v>
      </c>
      <c r="O321" s="154">
        <v>0</v>
      </c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AR321" s="120" t="s">
        <v>645</v>
      </c>
      <c r="AT321" s="120" t="s">
        <v>103</v>
      </c>
      <c r="AU321" s="120" t="s">
        <v>65</v>
      </c>
      <c r="AY321" s="17" t="s">
        <v>101</v>
      </c>
      <c r="BE321" s="121">
        <f>IF(N321="základní",J321,0)</f>
        <v>0</v>
      </c>
      <c r="BF321" s="121">
        <f>IF(N321="snížená",J321,0)</f>
        <v>0</v>
      </c>
      <c r="BG321" s="121">
        <f>IF(N321="zákl. přenesená",J321,0)</f>
        <v>0</v>
      </c>
      <c r="BH321" s="121">
        <f>IF(N321="sníž. přenesená",J321,0)</f>
        <v>0</v>
      </c>
      <c r="BI321" s="121">
        <f>IF(N321="nulová",J321,0)</f>
        <v>0</v>
      </c>
      <c r="BJ321" s="17" t="s">
        <v>63</v>
      </c>
      <c r="BK321" s="121">
        <f>ROUND(I321*H321,2)</f>
        <v>0</v>
      </c>
      <c r="BL321" s="17" t="s">
        <v>645</v>
      </c>
      <c r="BM321" s="120" t="s">
        <v>646</v>
      </c>
    </row>
    <row r="322" spans="2:65" s="1" customFormat="1" ht="6.95" customHeight="1" x14ac:dyDescent="0.2">
      <c r="B322" s="37"/>
      <c r="C322" s="38"/>
      <c r="D322" s="38"/>
      <c r="E322" s="38"/>
      <c r="F322" s="38"/>
      <c r="G322" s="38"/>
      <c r="H322" s="38"/>
      <c r="I322" s="38"/>
      <c r="J322" s="38"/>
      <c r="K322" s="38"/>
      <c r="L322" s="28"/>
    </row>
  </sheetData>
  <autoFilter ref="C85:K321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85AE0EFD-4E33-48B3-A323-C9570E562F4B}"/>
    <hyperlink ref="F102" r:id="rId2" xr:uid="{8968B13E-005E-49CE-A15D-84AA8944E3CE}"/>
    <hyperlink ref="F114" r:id="rId3" xr:uid="{91EDF136-1502-484F-BC7D-02ADCB0FB17A}"/>
    <hyperlink ref="F126" r:id="rId4" xr:uid="{6FAA176C-EB5F-4CCA-8A75-87B59B27E0BC}"/>
    <hyperlink ref="F133" r:id="rId5" xr:uid="{810A57A9-A781-4372-AB19-FF364287D474}"/>
    <hyperlink ref="F135" r:id="rId6" xr:uid="{53DE4658-1087-4894-870D-9D09D105BD8E}"/>
    <hyperlink ref="F142" r:id="rId7" xr:uid="{0491DE37-213F-4B8A-B987-CD6601F222D9}"/>
    <hyperlink ref="F144" r:id="rId8" xr:uid="{CDAB9133-A68B-4F84-A7F6-67B603082213}"/>
    <hyperlink ref="F146" r:id="rId9" xr:uid="{B0BC1ACA-9EE6-426A-A5DA-94003DA6DDB5}"/>
    <hyperlink ref="F149" r:id="rId10" xr:uid="{8FC12092-266C-4154-A8DF-6F89EDECB4E6}"/>
    <hyperlink ref="F151" r:id="rId11" xr:uid="{9A3D8BAB-3518-4A54-87E6-E29A3ED29C10}"/>
    <hyperlink ref="F154" r:id="rId12" xr:uid="{7D1524E3-6F4C-4F7A-9A7B-F94FA997AD50}"/>
    <hyperlink ref="F161" r:id="rId13" xr:uid="{5A6CD849-A293-450F-AE9A-7E7FD9E036E7}"/>
    <hyperlink ref="F163" r:id="rId14" xr:uid="{DC650293-9133-4CF3-B4BC-F7429F0657E2}"/>
    <hyperlink ref="F166" r:id="rId15" xr:uid="{6F1840B8-DCDE-4E72-8B75-377CC130569E}"/>
    <hyperlink ref="F168" r:id="rId16" xr:uid="{31622237-08F3-4E74-8F80-AA619C9ECD87}"/>
    <hyperlink ref="F182" r:id="rId17" xr:uid="{0CE50067-12C4-473C-BB9A-CF048455556E}"/>
    <hyperlink ref="F197" r:id="rId18" xr:uid="{45F16078-1BA6-4371-BDC7-D29DD46C44A7}"/>
    <hyperlink ref="F209" r:id="rId19" xr:uid="{59DA0349-C49D-4FB7-8552-CF702275C421}"/>
    <hyperlink ref="F218" r:id="rId20" xr:uid="{B010B18B-2F04-44B6-8634-FB78DE6A937A}"/>
    <hyperlink ref="F223" r:id="rId21" xr:uid="{238271A7-AB55-42DC-ADE6-07442185B84B}"/>
    <hyperlink ref="F227" r:id="rId22" xr:uid="{5B94A20B-9D0D-427F-8AAF-E1F43BD21340}"/>
    <hyperlink ref="F231" r:id="rId23" xr:uid="{9C5BF1CA-7FE6-46BF-A1DB-7E6F05C3C3C0}"/>
    <hyperlink ref="F236" r:id="rId24" xr:uid="{D64FCDE8-CE39-471F-AB06-D3040821EF43}"/>
    <hyperlink ref="F240" r:id="rId25" xr:uid="{88CC318D-8870-4B2F-B451-3048A8EA9B9E}"/>
    <hyperlink ref="F244" r:id="rId26" xr:uid="{8BA9FA77-A38B-42B8-9DD7-D921F693E148}"/>
    <hyperlink ref="F250" r:id="rId27" xr:uid="{580376ED-F6C7-4C37-8615-C5663AEC20FC}"/>
    <hyperlink ref="F252" r:id="rId28" xr:uid="{73D1C07C-B2A9-4B5B-8DD3-AE8DFD1BF620}"/>
    <hyperlink ref="F254" r:id="rId29" xr:uid="{8B54C74F-C4FC-4743-B46D-89C87169A487}"/>
    <hyperlink ref="F259" r:id="rId30" xr:uid="{9F3B78B2-52E3-4E9F-B3E4-E908D0BEE5E3}"/>
    <hyperlink ref="F262" r:id="rId31" xr:uid="{43BAE6E2-BDBD-4CC4-8221-81D177389432}"/>
    <hyperlink ref="F265" r:id="rId32" xr:uid="{F882CDC8-78B7-495C-8DE7-6414F8CA7E3A}"/>
    <hyperlink ref="F268" r:id="rId33" xr:uid="{A5414C6B-E659-4BA9-B9A4-52DD4DA04E64}"/>
    <hyperlink ref="F270" r:id="rId34" xr:uid="{37AC14F8-181B-4D3C-A1F2-79AD70E0EE7E}"/>
    <hyperlink ref="F272" r:id="rId35" xr:uid="{FD7026DB-18FB-432C-BCFB-5B6805B45E55}"/>
    <hyperlink ref="F276" r:id="rId36" xr:uid="{7A76E4A8-B12A-4285-9B53-664A297F7134}"/>
    <hyperlink ref="F280" r:id="rId37" xr:uid="{FB69365B-703F-4C1E-A9ED-972449DD7739}"/>
    <hyperlink ref="F284" r:id="rId38" xr:uid="{36486A6A-710C-4869-A914-2C4D0B4F93CB}"/>
    <hyperlink ref="F287" r:id="rId39" xr:uid="{FD1938CF-F8FA-4D55-8B92-1853140A4AB2}"/>
    <hyperlink ref="F289" r:id="rId40" xr:uid="{E8B1276C-8A41-46E3-8315-71B5A619ACB5}"/>
    <hyperlink ref="F291" r:id="rId41" xr:uid="{4D8CCDFD-A42C-409F-AE1C-C2B5B949AD09}"/>
    <hyperlink ref="F293" r:id="rId42" xr:uid="{879B5FE9-C1EC-4E38-8334-0146D189155D}"/>
    <hyperlink ref="F299" r:id="rId43" xr:uid="{039E5F70-638A-484E-9605-A15D1444D821}"/>
    <hyperlink ref="F301" r:id="rId44" xr:uid="{09607763-0E12-4A16-B51E-C760D7761A99}"/>
    <hyperlink ref="F305" r:id="rId45" xr:uid="{8581C215-12EE-4756-942F-1471E2CCAA20}"/>
    <hyperlink ref="F309" r:id="rId46" xr:uid="{3B8635DA-327F-4285-A1B5-2802C975E7FD}"/>
    <hyperlink ref="F311" r:id="rId47" xr:uid="{3C3828EC-1EBE-4003-B3DB-37254DC357BF}"/>
    <hyperlink ref="F313" r:id="rId48" xr:uid="{1BCC70B7-1793-402D-8C53-A45DEA78F809}"/>
    <hyperlink ref="F316" r:id="rId49" xr:uid="{1C14C7EE-298E-42FC-A766-F780F83617E5}"/>
    <hyperlink ref="F318" r:id="rId50" xr:uid="{3FA2B074-8A99-4CC5-8B7C-FAD30CB6C14A}"/>
    <hyperlink ref="F256" r:id="rId51" xr:uid="{3B974CDB-5DDD-4D7F-9E10-FC451E4B1E43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L455"/>
  <sheetViews>
    <sheetView showGridLines="0" topLeftCell="A434" zoomScaleNormal="100" workbookViewId="0">
      <selection activeCell="F277" sqref="F27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19" width="14.1640625" hidden="1" customWidth="1"/>
    <col min="20" max="20" width="8.83203125" hidden="1" customWidth="1"/>
    <col min="21" max="21" width="16.5" customWidth="1"/>
    <col min="22" max="22" width="12.33203125" style="413" customWidth="1"/>
    <col min="23" max="23" width="12.33203125" style="423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 ht="36.950000000000003" customHeight="1" x14ac:dyDescent="0.2">
      <c r="L2" s="671" t="s">
        <v>4</v>
      </c>
      <c r="M2" s="653"/>
      <c r="N2" s="653"/>
      <c r="O2" s="653"/>
      <c r="P2" s="653"/>
      <c r="Q2" s="653"/>
      <c r="R2" s="653"/>
      <c r="S2" s="653"/>
      <c r="T2" s="653"/>
      <c r="U2" s="653"/>
      <c r="V2" s="653"/>
      <c r="AS2" s="17" t="s">
        <v>68</v>
      </c>
    </row>
    <row r="3" spans="2:45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S3" s="17" t="s">
        <v>65</v>
      </c>
    </row>
    <row r="4" spans="2:45" ht="24.95" customHeight="1" x14ac:dyDescent="0.2">
      <c r="B4" s="20"/>
      <c r="D4" s="21" t="s">
        <v>72</v>
      </c>
      <c r="L4" s="20"/>
      <c r="M4" s="68" t="s">
        <v>9</v>
      </c>
      <c r="AS4" s="17" t="s">
        <v>2</v>
      </c>
    </row>
    <row r="5" spans="2:45" ht="6.95" customHeight="1" x14ac:dyDescent="0.2">
      <c r="B5" s="20"/>
      <c r="L5" s="20"/>
    </row>
    <row r="6" spans="2:45" ht="12" customHeight="1" x14ac:dyDescent="0.2">
      <c r="B6" s="20"/>
      <c r="D6" s="25" t="s">
        <v>13</v>
      </c>
      <c r="L6" s="20"/>
    </row>
    <row r="7" spans="2:45" ht="16.5" customHeight="1" x14ac:dyDescent="0.2">
      <c r="B7" s="20"/>
      <c r="E7" s="669" t="str">
        <f>Rekapitulace!K6</f>
        <v>Propojení Okružní x Na hroudách</v>
      </c>
      <c r="F7" s="670"/>
      <c r="G7" s="670"/>
      <c r="H7" s="670"/>
      <c r="L7" s="20"/>
    </row>
    <row r="8" spans="2:45" s="1" customFormat="1" ht="12" customHeight="1" x14ac:dyDescent="0.2">
      <c r="B8" s="28"/>
      <c r="D8" s="25" t="s">
        <v>73</v>
      </c>
      <c r="L8" s="28"/>
      <c r="V8" s="414"/>
      <c r="W8" s="424"/>
    </row>
    <row r="9" spans="2:45" s="1" customFormat="1" ht="16.5" customHeight="1" x14ac:dyDescent="0.2">
      <c r="B9" s="28"/>
      <c r="E9" s="638" t="s">
        <v>647</v>
      </c>
      <c r="F9" s="668"/>
      <c r="G9" s="668"/>
      <c r="H9" s="668"/>
      <c r="L9" s="28"/>
      <c r="V9" s="414"/>
      <c r="W9" s="424"/>
    </row>
    <row r="10" spans="2:45" s="1" customFormat="1" x14ac:dyDescent="0.2">
      <c r="B10" s="28"/>
      <c r="L10" s="28"/>
      <c r="V10" s="414"/>
      <c r="W10" s="424"/>
    </row>
    <row r="11" spans="2:45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V11" s="414"/>
      <c r="W11" s="424"/>
    </row>
    <row r="12" spans="2:45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V12" s="414"/>
      <c r="W12" s="424"/>
    </row>
    <row r="13" spans="2:45" s="1" customFormat="1" ht="10.9" customHeight="1" x14ac:dyDescent="0.2">
      <c r="B13" s="28"/>
      <c r="L13" s="28"/>
      <c r="V13" s="414"/>
      <c r="W13" s="424"/>
    </row>
    <row r="14" spans="2:45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V14" s="414"/>
      <c r="W14" s="424"/>
    </row>
    <row r="15" spans="2:45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V15" s="414"/>
      <c r="W15" s="424"/>
    </row>
    <row r="16" spans="2:45" s="1" customFormat="1" ht="6.95" customHeight="1" x14ac:dyDescent="0.2">
      <c r="B16" s="28"/>
      <c r="L16" s="28"/>
      <c r="V16" s="414"/>
      <c r="W16" s="424"/>
    </row>
    <row r="17" spans="2:23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V17" s="414"/>
      <c r="W17" s="424"/>
    </row>
    <row r="18" spans="2:23" s="1" customFormat="1" ht="18" customHeight="1" x14ac:dyDescent="0.2">
      <c r="B18" s="28"/>
      <c r="E18" s="652" t="str">
        <f>Rekapitulace!E14</f>
        <v xml:space="preserve"> </v>
      </c>
      <c r="F18" s="652"/>
      <c r="G18" s="652"/>
      <c r="H18" s="652"/>
      <c r="I18" s="25" t="s">
        <v>24</v>
      </c>
      <c r="J18" s="23" t="str">
        <f>Rekapitulace!AN14</f>
        <v/>
      </c>
      <c r="L18" s="28"/>
      <c r="V18" s="414"/>
      <c r="W18" s="424"/>
    </row>
    <row r="19" spans="2:23" s="1" customFormat="1" ht="6.95" customHeight="1" x14ac:dyDescent="0.2">
      <c r="B19" s="28"/>
      <c r="L19" s="28"/>
      <c r="V19" s="414"/>
      <c r="W19" s="424"/>
    </row>
    <row r="20" spans="2:23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V20" s="414"/>
      <c r="W20" s="424"/>
    </row>
    <row r="21" spans="2:23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V21" s="414"/>
      <c r="W21" s="424"/>
    </row>
    <row r="22" spans="2:23" s="1" customFormat="1" ht="6.95" customHeight="1" x14ac:dyDescent="0.2">
      <c r="B22" s="28"/>
      <c r="L22" s="28"/>
      <c r="V22" s="414"/>
      <c r="W22" s="424"/>
    </row>
    <row r="23" spans="2:23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V23" s="414"/>
      <c r="W23" s="424"/>
    </row>
    <row r="24" spans="2:23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V24" s="414"/>
      <c r="W24" s="424"/>
    </row>
    <row r="25" spans="2:23" s="1" customFormat="1" ht="6.95" customHeight="1" x14ac:dyDescent="0.2">
      <c r="B25" s="28"/>
      <c r="L25" s="28"/>
      <c r="V25" s="414"/>
      <c r="W25" s="424"/>
    </row>
    <row r="26" spans="2:23" s="1" customFormat="1" ht="12" customHeight="1" x14ac:dyDescent="0.2">
      <c r="B26" s="28"/>
      <c r="D26" s="25" t="s">
        <v>32</v>
      </c>
      <c r="L26" s="28"/>
      <c r="V26" s="414"/>
      <c r="W26" s="424"/>
    </row>
    <row r="27" spans="2:23" s="7" customFormat="1" ht="16.5" customHeight="1" x14ac:dyDescent="0.2">
      <c r="B27" s="69"/>
      <c r="E27" s="655" t="s">
        <v>1</v>
      </c>
      <c r="F27" s="655"/>
      <c r="G27" s="655"/>
      <c r="H27" s="655"/>
      <c r="L27" s="69"/>
      <c r="V27" s="415"/>
      <c r="W27" s="425"/>
    </row>
    <row r="28" spans="2:23" s="1" customFormat="1" ht="6.95" customHeight="1" x14ac:dyDescent="0.2">
      <c r="B28" s="28"/>
      <c r="L28" s="28"/>
      <c r="V28" s="414"/>
      <c r="W28" s="424"/>
    </row>
    <row r="29" spans="2:23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V29" s="414"/>
      <c r="W29" s="424"/>
    </row>
    <row r="30" spans="2:23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V30" s="414"/>
      <c r="W30" s="424"/>
    </row>
    <row r="31" spans="2:23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V31" s="414"/>
      <c r="W31" s="424"/>
    </row>
    <row r="32" spans="2:23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V32" s="414"/>
      <c r="W32" s="424"/>
    </row>
    <row r="33" spans="2:23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V33" s="414"/>
      <c r="W33" s="424"/>
    </row>
    <row r="34" spans="2:23" s="1" customFormat="1" ht="14.45" customHeight="1" x14ac:dyDescent="0.2">
      <c r="B34" s="28"/>
      <c r="E34" s="25" t="s">
        <v>40</v>
      </c>
      <c r="F34" s="71">
        <f>ROUND((SUM(BE88:BE454)),  2)</f>
        <v>0</v>
      </c>
      <c r="I34" s="72">
        <v>0.15</v>
      </c>
      <c r="J34" s="71">
        <f>ROUND(((SUM(BE88:BE454))*I34),  2)</f>
        <v>0</v>
      </c>
      <c r="L34" s="28"/>
      <c r="V34" s="414"/>
      <c r="W34" s="424"/>
    </row>
    <row r="35" spans="2:23" s="1" customFormat="1" ht="14.45" hidden="1" customHeight="1" x14ac:dyDescent="0.2">
      <c r="B35" s="28"/>
      <c r="E35" s="25" t="s">
        <v>41</v>
      </c>
      <c r="F35" s="71">
        <f>ROUND((SUM(BF88:BF454)),  2)</f>
        <v>0</v>
      </c>
      <c r="I35" s="72">
        <v>0.21</v>
      </c>
      <c r="J35" s="71">
        <f>0</f>
        <v>0</v>
      </c>
      <c r="L35" s="28"/>
      <c r="V35" s="414"/>
      <c r="W35" s="424"/>
    </row>
    <row r="36" spans="2:23" s="1" customFormat="1" ht="14.45" hidden="1" customHeight="1" x14ac:dyDescent="0.2">
      <c r="B36" s="28"/>
      <c r="E36" s="25" t="s">
        <v>42</v>
      </c>
      <c r="F36" s="71">
        <f>ROUND((SUM(BG88:BG454)),  2)</f>
        <v>0</v>
      </c>
      <c r="I36" s="72">
        <v>0.15</v>
      </c>
      <c r="J36" s="71">
        <f>0</f>
        <v>0</v>
      </c>
      <c r="L36" s="28"/>
      <c r="V36" s="414"/>
      <c r="W36" s="424"/>
    </row>
    <row r="37" spans="2:23" s="1" customFormat="1" ht="14.45" hidden="1" customHeight="1" x14ac:dyDescent="0.2">
      <c r="B37" s="28"/>
      <c r="E37" s="25" t="s">
        <v>43</v>
      </c>
      <c r="F37" s="71">
        <f>ROUND((SUM(BH88:BH454)),  2)</f>
        <v>0</v>
      </c>
      <c r="I37" s="72">
        <v>0</v>
      </c>
      <c r="J37" s="71">
        <f>0</f>
        <v>0</v>
      </c>
      <c r="L37" s="28"/>
      <c r="V37" s="414"/>
      <c r="W37" s="424"/>
    </row>
    <row r="38" spans="2:23" s="1" customFormat="1" ht="6.95" customHeight="1" x14ac:dyDescent="0.2">
      <c r="B38" s="28"/>
      <c r="L38" s="28"/>
      <c r="V38" s="414"/>
      <c r="W38" s="424"/>
    </row>
    <row r="39" spans="2:23" s="1" customFormat="1" ht="25.35" customHeight="1" x14ac:dyDescent="0.2">
      <c r="B39" s="28"/>
      <c r="C39" s="73"/>
      <c r="D39" s="74" t="s">
        <v>44</v>
      </c>
      <c r="E39" s="49"/>
      <c r="F39" s="49"/>
      <c r="G39" s="75" t="s">
        <v>45</v>
      </c>
      <c r="H39" s="76" t="s">
        <v>46</v>
      </c>
      <c r="I39" s="49"/>
      <c r="J39" s="77">
        <f>SUM(J30:J37)</f>
        <v>0</v>
      </c>
      <c r="K39" s="78"/>
      <c r="L39" s="28"/>
      <c r="V39" s="414"/>
      <c r="W39" s="424"/>
    </row>
    <row r="40" spans="2:23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V40" s="414"/>
      <c r="W40" s="424"/>
    </row>
    <row r="44" spans="2:23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V44" s="414"/>
      <c r="W44" s="424"/>
    </row>
    <row r="45" spans="2:23" s="1" customFormat="1" ht="24.95" customHeight="1" x14ac:dyDescent="0.2">
      <c r="B45" s="28"/>
      <c r="C45" s="21" t="s">
        <v>75</v>
      </c>
      <c r="L45" s="28"/>
      <c r="V45" s="414"/>
      <c r="W45" s="424"/>
    </row>
    <row r="46" spans="2:23" s="1" customFormat="1" ht="6.95" customHeight="1" x14ac:dyDescent="0.2">
      <c r="B46" s="28"/>
      <c r="L46" s="28"/>
      <c r="V46" s="414"/>
      <c r="W46" s="424"/>
    </row>
    <row r="47" spans="2:23" s="1" customFormat="1" ht="12" customHeight="1" x14ac:dyDescent="0.2">
      <c r="B47" s="28"/>
      <c r="C47" s="25" t="s">
        <v>13</v>
      </c>
      <c r="L47" s="28"/>
      <c r="V47" s="414"/>
      <c r="W47" s="424"/>
    </row>
    <row r="48" spans="2:23" s="1" customFormat="1" ht="16.5" customHeight="1" x14ac:dyDescent="0.2">
      <c r="B48" s="28"/>
      <c r="E48" s="669" t="str">
        <f>E7</f>
        <v>Propojení Okružní x Na hroudách</v>
      </c>
      <c r="F48" s="670"/>
      <c r="G48" s="670"/>
      <c r="H48" s="670"/>
      <c r="L48" s="28"/>
      <c r="V48" s="414"/>
      <c r="W48" s="424"/>
    </row>
    <row r="49" spans="2:46" s="1" customFormat="1" ht="12" customHeight="1" x14ac:dyDescent="0.2">
      <c r="B49" s="28"/>
      <c r="C49" s="25" t="s">
        <v>73</v>
      </c>
      <c r="L49" s="28"/>
      <c r="V49" s="414"/>
      <c r="W49" s="424"/>
    </row>
    <row r="50" spans="2:46" s="1" customFormat="1" ht="16.5" customHeight="1" x14ac:dyDescent="0.2">
      <c r="B50" s="28"/>
      <c r="E50" s="638" t="str">
        <f>E9</f>
        <v>SO 320 - Splašková kanalizace</v>
      </c>
      <c r="F50" s="668"/>
      <c r="G50" s="668"/>
      <c r="H50" s="668"/>
      <c r="L50" s="28"/>
      <c r="V50" s="414"/>
      <c r="W50" s="424"/>
    </row>
    <row r="51" spans="2:46" s="1" customFormat="1" ht="6.95" customHeight="1" x14ac:dyDescent="0.2">
      <c r="B51" s="28"/>
      <c r="L51" s="28"/>
      <c r="V51" s="414"/>
      <c r="W51" s="424"/>
    </row>
    <row r="52" spans="2:46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V52" s="414"/>
      <c r="W52" s="424"/>
    </row>
    <row r="53" spans="2:46" s="1" customFormat="1" ht="6.95" customHeight="1" x14ac:dyDescent="0.2">
      <c r="B53" s="28"/>
      <c r="L53" s="28"/>
      <c r="V53" s="414"/>
      <c r="W53" s="424"/>
    </row>
    <row r="54" spans="2:46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V54" s="414"/>
      <c r="W54" s="424"/>
    </row>
    <row r="55" spans="2:46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V55" s="414"/>
      <c r="W55" s="424"/>
    </row>
    <row r="56" spans="2:46" s="1" customFormat="1" ht="10.35" customHeight="1" x14ac:dyDescent="0.2">
      <c r="B56" s="28"/>
      <c r="L56" s="28"/>
      <c r="V56" s="414"/>
      <c r="W56" s="424"/>
    </row>
    <row r="57" spans="2:46" s="1" customFormat="1" ht="29.25" customHeight="1" x14ac:dyDescent="0.2">
      <c r="B57" s="28"/>
      <c r="C57" s="79" t="s">
        <v>76</v>
      </c>
      <c r="D57" s="73"/>
      <c r="E57" s="73"/>
      <c r="F57" s="73"/>
      <c r="G57" s="73"/>
      <c r="H57" s="73"/>
      <c r="I57" s="73"/>
      <c r="J57" s="80" t="s">
        <v>77</v>
      </c>
      <c r="K57" s="73"/>
      <c r="L57" s="28"/>
      <c r="V57" s="414"/>
      <c r="W57" s="424"/>
    </row>
    <row r="58" spans="2:46" s="1" customFormat="1" ht="10.35" customHeight="1" x14ac:dyDescent="0.2">
      <c r="B58" s="28"/>
      <c r="L58" s="28"/>
      <c r="V58" s="414"/>
      <c r="W58" s="424"/>
    </row>
    <row r="59" spans="2:46" s="1" customFormat="1" ht="22.9" customHeight="1" x14ac:dyDescent="0.2">
      <c r="B59" s="28"/>
      <c r="C59" s="81" t="s">
        <v>53</v>
      </c>
      <c r="J59" s="58">
        <f>J88</f>
        <v>0</v>
      </c>
      <c r="L59" s="28"/>
      <c r="V59" s="414"/>
      <c r="W59" s="424"/>
      <c r="AT59" s="17" t="s">
        <v>78</v>
      </c>
    </row>
    <row r="60" spans="2:46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V60" s="416"/>
      <c r="W60" s="426"/>
    </row>
    <row r="61" spans="2:46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V61" s="417"/>
      <c r="W61" s="427"/>
    </row>
    <row r="62" spans="2:46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J242</f>
        <v>0</v>
      </c>
      <c r="L62" s="86"/>
      <c r="V62" s="417"/>
      <c r="W62" s="427"/>
    </row>
    <row r="63" spans="2:46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J245</f>
        <v>0</v>
      </c>
      <c r="L63" s="86"/>
      <c r="V63" s="417"/>
      <c r="W63" s="427"/>
    </row>
    <row r="64" spans="2:46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J304</f>
        <v>0</v>
      </c>
      <c r="L64" s="86"/>
      <c r="V64" s="417"/>
      <c r="W64" s="427"/>
    </row>
    <row r="65" spans="2:23" s="9" customFormat="1" ht="19.899999999999999" customHeight="1" x14ac:dyDescent="0.2">
      <c r="B65" s="86"/>
      <c r="D65" s="87" t="s">
        <v>83</v>
      </c>
      <c r="E65" s="88"/>
      <c r="F65" s="88"/>
      <c r="G65" s="88"/>
      <c r="H65" s="88"/>
      <c r="I65" s="88"/>
      <c r="J65" s="89">
        <f>J435</f>
        <v>0</v>
      </c>
      <c r="L65" s="86"/>
      <c r="V65" s="417"/>
      <c r="W65" s="427"/>
    </row>
    <row r="66" spans="2:23" s="8" customFormat="1" ht="24.95" customHeight="1" x14ac:dyDescent="0.2">
      <c r="B66" s="82"/>
      <c r="D66" s="83" t="s">
        <v>649</v>
      </c>
      <c r="E66" s="84"/>
      <c r="F66" s="84"/>
      <c r="G66" s="84"/>
      <c r="H66" s="84"/>
      <c r="I66" s="84"/>
      <c r="J66" s="85">
        <f>J440</f>
        <v>0</v>
      </c>
      <c r="L66" s="82"/>
      <c r="V66" s="416"/>
      <c r="W66" s="426"/>
    </row>
    <row r="67" spans="2:23" s="9" customFormat="1" ht="19.899999999999999" customHeight="1" x14ac:dyDescent="0.2">
      <c r="B67" s="86"/>
      <c r="D67" s="87" t="s">
        <v>650</v>
      </c>
      <c r="E67" s="88"/>
      <c r="F67" s="88"/>
      <c r="G67" s="88"/>
      <c r="H67" s="88"/>
      <c r="I67" s="88"/>
      <c r="J67" s="89">
        <f>J441</f>
        <v>0</v>
      </c>
      <c r="L67" s="86"/>
      <c r="V67" s="417"/>
      <c r="W67" s="427"/>
    </row>
    <row r="68" spans="2:23" s="9" customFormat="1" ht="19.899999999999999" customHeight="1" x14ac:dyDescent="0.2">
      <c r="B68" s="86"/>
      <c r="D68" s="87" t="s">
        <v>651</v>
      </c>
      <c r="E68" s="88"/>
      <c r="F68" s="88"/>
      <c r="G68" s="88"/>
      <c r="H68" s="88"/>
      <c r="I68" s="88"/>
      <c r="J68" s="89">
        <f>J445</f>
        <v>0</v>
      </c>
      <c r="L68" s="86"/>
      <c r="V68" s="417"/>
      <c r="W68" s="427"/>
    </row>
    <row r="69" spans="2:23" s="1" customFormat="1" ht="21.75" customHeight="1" x14ac:dyDescent="0.2">
      <c r="B69" s="28"/>
      <c r="L69" s="28"/>
      <c r="V69" s="414"/>
      <c r="W69" s="424"/>
    </row>
    <row r="70" spans="2:23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V70" s="414"/>
      <c r="W70" s="424"/>
    </row>
    <row r="74" spans="2:23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V74" s="414"/>
      <c r="W74" s="424"/>
    </row>
    <row r="75" spans="2:23" s="1" customFormat="1" ht="24.95" customHeight="1" x14ac:dyDescent="0.2">
      <c r="B75" s="28"/>
      <c r="C75" s="21" t="s">
        <v>86</v>
      </c>
      <c r="L75" s="28"/>
      <c r="V75" s="414"/>
      <c r="W75" s="424"/>
    </row>
    <row r="76" spans="2:23" s="1" customFormat="1" ht="6.95" customHeight="1" x14ac:dyDescent="0.2">
      <c r="B76" s="28"/>
      <c r="L76" s="28"/>
      <c r="V76" s="414"/>
      <c r="W76" s="424"/>
    </row>
    <row r="77" spans="2:23" s="1" customFormat="1" ht="12" customHeight="1" x14ac:dyDescent="0.2">
      <c r="B77" s="28"/>
      <c r="C77" s="25" t="s">
        <v>13</v>
      </c>
      <c r="L77" s="28"/>
      <c r="V77" s="414"/>
      <c r="W77" s="424"/>
    </row>
    <row r="78" spans="2:23" s="1" customFormat="1" ht="16.5" customHeight="1" x14ac:dyDescent="0.2">
      <c r="B78" s="28"/>
      <c r="E78" s="669" t="str">
        <f>E7</f>
        <v>Propojení Okružní x Na hroudách</v>
      </c>
      <c r="F78" s="670"/>
      <c r="G78" s="670"/>
      <c r="H78" s="670"/>
      <c r="L78" s="28"/>
      <c r="V78" s="414"/>
      <c r="W78" s="424"/>
    </row>
    <row r="79" spans="2:23" s="1" customFormat="1" ht="12" customHeight="1" x14ac:dyDescent="0.2">
      <c r="B79" s="28"/>
      <c r="C79" s="25" t="s">
        <v>73</v>
      </c>
      <c r="L79" s="28"/>
      <c r="V79" s="414"/>
      <c r="W79" s="424"/>
    </row>
    <row r="80" spans="2:23" s="1" customFormat="1" ht="16.5" customHeight="1" x14ac:dyDescent="0.2">
      <c r="B80" s="28"/>
      <c r="E80" s="638" t="str">
        <f>E9</f>
        <v>SO 320 - Splašková kanalizace</v>
      </c>
      <c r="F80" s="668"/>
      <c r="G80" s="668"/>
      <c r="H80" s="668"/>
      <c r="L80" s="28"/>
      <c r="V80" s="414"/>
      <c r="W80" s="424"/>
    </row>
    <row r="81" spans="2:64" s="1" customFormat="1" ht="6.95" customHeight="1" x14ac:dyDescent="0.2">
      <c r="B81" s="28"/>
      <c r="L81" s="28"/>
      <c r="V81" s="414"/>
      <c r="W81" s="424"/>
    </row>
    <row r="82" spans="2:64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V82" s="414"/>
      <c r="W82" s="424"/>
    </row>
    <row r="83" spans="2:64" s="1" customFormat="1" ht="6.95" customHeight="1" x14ac:dyDescent="0.2">
      <c r="B83" s="28"/>
      <c r="L83" s="28"/>
      <c r="V83" s="414"/>
      <c r="W83" s="424"/>
    </row>
    <row r="84" spans="2:64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V84" s="414"/>
      <c r="W84" s="424"/>
    </row>
    <row r="85" spans="2:64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V85" s="414"/>
      <c r="W85" s="424"/>
    </row>
    <row r="86" spans="2:64" s="1" customFormat="1" ht="10.35" customHeight="1" x14ac:dyDescent="0.2">
      <c r="B86" s="28"/>
      <c r="L86" s="28"/>
      <c r="V86" s="414"/>
      <c r="W86" s="424"/>
    </row>
    <row r="87" spans="2:64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92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V87" s="418"/>
      <c r="W87" s="428"/>
    </row>
    <row r="88" spans="2:64" s="1" customFormat="1" ht="22.9" customHeight="1" x14ac:dyDescent="0.25">
      <c r="B88" s="28"/>
      <c r="C88" s="56" t="s">
        <v>98</v>
      </c>
      <c r="J88" s="94">
        <f>BJ88</f>
        <v>0</v>
      </c>
      <c r="K88" s="121"/>
      <c r="L88" s="28"/>
      <c r="M88" s="54"/>
      <c r="N88" s="46"/>
      <c r="O88" s="46"/>
      <c r="P88" s="95">
        <f>P89+P440</f>
        <v>0</v>
      </c>
      <c r="Q88" s="46"/>
      <c r="R88" s="95">
        <f>R89+R440</f>
        <v>0</v>
      </c>
      <c r="S88" s="46"/>
      <c r="T88" s="96">
        <f>T89+T440</f>
        <v>0</v>
      </c>
      <c r="V88" s="414"/>
      <c r="W88" s="424"/>
      <c r="AS88" s="17" t="s">
        <v>54</v>
      </c>
      <c r="AT88" s="17" t="s">
        <v>78</v>
      </c>
      <c r="BJ88" s="97">
        <f>BJ89+BJ440</f>
        <v>0</v>
      </c>
    </row>
    <row r="89" spans="2:64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BJ89</f>
        <v>0</v>
      </c>
      <c r="L89" s="98"/>
      <c r="M89" s="102"/>
      <c r="P89" s="103"/>
      <c r="R89" s="103"/>
      <c r="T89" s="104"/>
      <c r="V89" s="419"/>
      <c r="W89" s="423"/>
      <c r="AQ89" s="99" t="s">
        <v>63</v>
      </c>
      <c r="AS89" s="105" t="s">
        <v>54</v>
      </c>
      <c r="AT89" s="105" t="s">
        <v>55</v>
      </c>
      <c r="AX89" s="99" t="s">
        <v>101</v>
      </c>
      <c r="BJ89" s="106">
        <f>BJ90+BJ242+BJ245+BJ304+BJ435</f>
        <v>0</v>
      </c>
    </row>
    <row r="90" spans="2:64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BJ90</f>
        <v>0</v>
      </c>
      <c r="L90" s="98"/>
      <c r="M90" s="102"/>
      <c r="P90" s="103"/>
      <c r="R90" s="103"/>
      <c r="T90" s="104"/>
      <c r="V90" s="419"/>
      <c r="W90" s="423"/>
      <c r="AQ90" s="99" t="s">
        <v>63</v>
      </c>
      <c r="AS90" s="105" t="s">
        <v>54</v>
      </c>
      <c r="AT90" s="105" t="s">
        <v>63</v>
      </c>
      <c r="AX90" s="99" t="s">
        <v>101</v>
      </c>
      <c r="BJ90" s="106">
        <f>SUM(BJ91:BJ240)</f>
        <v>0</v>
      </c>
    </row>
    <row r="91" spans="2:64" s="1" customFormat="1" ht="90" customHeight="1" x14ac:dyDescent="0.2">
      <c r="B91" s="109"/>
      <c r="C91" s="110" t="s">
        <v>63</v>
      </c>
      <c r="D91" s="110" t="s">
        <v>103</v>
      </c>
      <c r="E91" s="111" t="s">
        <v>115</v>
      </c>
      <c r="F91" s="112" t="s">
        <v>116</v>
      </c>
      <c r="G91" s="113" t="s">
        <v>106</v>
      </c>
      <c r="H91" s="114">
        <v>2</v>
      </c>
      <c r="I91" s="115">
        <v>0</v>
      </c>
      <c r="J91" s="115">
        <f>ROUND(I91*H91,2)</f>
        <v>0</v>
      </c>
      <c r="K91" s="112" t="s">
        <v>107</v>
      </c>
      <c r="L91" s="28"/>
      <c r="M91" s="116"/>
      <c r="N91" s="117"/>
      <c r="O91" s="118"/>
      <c r="P91" s="118"/>
      <c r="Q91" s="118"/>
      <c r="R91" s="118"/>
      <c r="S91" s="118"/>
      <c r="T91" s="119"/>
      <c r="V91" s="414"/>
      <c r="W91" s="424"/>
      <c r="AQ91" s="120" t="s">
        <v>108</v>
      </c>
      <c r="AS91" s="120" t="s">
        <v>103</v>
      </c>
      <c r="AT91" s="120" t="s">
        <v>65</v>
      </c>
      <c r="AX91" s="17" t="s">
        <v>101</v>
      </c>
      <c r="BD91" s="121">
        <f>IF(N91="základní",J91,0)</f>
        <v>0</v>
      </c>
      <c r="BE91" s="121">
        <f>IF(N91="snížená",J91,0)</f>
        <v>0</v>
      </c>
      <c r="BF91" s="121">
        <f>IF(N91="zákl. přenesená",J91,0)</f>
        <v>0</v>
      </c>
      <c r="BG91" s="121">
        <f>IF(N91="sníž. přenesená",J91,0)</f>
        <v>0</v>
      </c>
      <c r="BH91" s="121">
        <f>IF(N91="nulová",J91,0)</f>
        <v>0</v>
      </c>
      <c r="BI91" s="17" t="s">
        <v>63</v>
      </c>
      <c r="BJ91" s="121">
        <f>ROUND(I91*H91,2)</f>
        <v>0</v>
      </c>
      <c r="BK91" s="17" t="s">
        <v>108</v>
      </c>
      <c r="BL91" s="120" t="s">
        <v>652</v>
      </c>
    </row>
    <row r="92" spans="2:64" s="1" customFormat="1" x14ac:dyDescent="0.2">
      <c r="B92" s="28"/>
      <c r="D92" s="122" t="s">
        <v>110</v>
      </c>
      <c r="F92" s="412" t="s">
        <v>118</v>
      </c>
      <c r="L92" s="28"/>
      <c r="M92" s="124"/>
      <c r="T92" s="48"/>
      <c r="V92" s="414"/>
      <c r="W92" s="424"/>
      <c r="AS92" s="17" t="s">
        <v>110</v>
      </c>
      <c r="AT92" s="17" t="s">
        <v>65</v>
      </c>
    </row>
    <row r="93" spans="2:64" s="12" customFormat="1" x14ac:dyDescent="0.2">
      <c r="B93" s="125"/>
      <c r="D93" s="126" t="s">
        <v>112</v>
      </c>
      <c r="E93" s="127" t="s">
        <v>1</v>
      </c>
      <c r="F93" s="128" t="s">
        <v>113</v>
      </c>
      <c r="H93" s="127" t="s">
        <v>1</v>
      </c>
      <c r="L93" s="125"/>
      <c r="M93" s="129"/>
      <c r="T93" s="130"/>
      <c r="V93" s="414"/>
      <c r="W93" s="424"/>
      <c r="AS93" s="127" t="s">
        <v>112</v>
      </c>
      <c r="AT93" s="127" t="s">
        <v>65</v>
      </c>
      <c r="AU93" s="12" t="s">
        <v>63</v>
      </c>
      <c r="AV93" s="12" t="s">
        <v>30</v>
      </c>
      <c r="AW93" s="12" t="s">
        <v>55</v>
      </c>
      <c r="AX93" s="127" t="s">
        <v>101</v>
      </c>
    </row>
    <row r="94" spans="2:64" s="13" customFormat="1" x14ac:dyDescent="0.2">
      <c r="B94" s="131"/>
      <c r="D94" s="126" t="s">
        <v>112</v>
      </c>
      <c r="E94" s="132" t="s">
        <v>1</v>
      </c>
      <c r="F94" s="133" t="s">
        <v>653</v>
      </c>
      <c r="H94" s="134">
        <v>1</v>
      </c>
      <c r="L94" s="131"/>
      <c r="M94" s="135"/>
      <c r="T94" s="136"/>
      <c r="V94" s="414"/>
      <c r="W94" s="424"/>
      <c r="AS94" s="132" t="s">
        <v>112</v>
      </c>
      <c r="AT94" s="132" t="s">
        <v>65</v>
      </c>
      <c r="AU94" s="13" t="s">
        <v>65</v>
      </c>
      <c r="AV94" s="13" t="s">
        <v>30</v>
      </c>
      <c r="AW94" s="13" t="s">
        <v>55</v>
      </c>
      <c r="AX94" s="132" t="s">
        <v>101</v>
      </c>
    </row>
    <row r="95" spans="2:64" s="13" customFormat="1" x14ac:dyDescent="0.2">
      <c r="B95" s="131"/>
      <c r="D95" s="126" t="s">
        <v>112</v>
      </c>
      <c r="E95" s="132" t="s">
        <v>1</v>
      </c>
      <c r="F95" s="133" t="s">
        <v>654</v>
      </c>
      <c r="H95" s="134">
        <v>1</v>
      </c>
      <c r="L95" s="131"/>
      <c r="M95" s="135"/>
      <c r="T95" s="136"/>
      <c r="V95" s="414"/>
      <c r="W95" s="424"/>
      <c r="AS95" s="132" t="s">
        <v>112</v>
      </c>
      <c r="AT95" s="132" t="s">
        <v>65</v>
      </c>
      <c r="AU95" s="13" t="s">
        <v>65</v>
      </c>
      <c r="AV95" s="13" t="s">
        <v>30</v>
      </c>
      <c r="AW95" s="13" t="s">
        <v>55</v>
      </c>
      <c r="AX95" s="132" t="s">
        <v>101</v>
      </c>
    </row>
    <row r="96" spans="2:64" s="14" customFormat="1" x14ac:dyDescent="0.2">
      <c r="B96" s="137"/>
      <c r="D96" s="126" t="s">
        <v>112</v>
      </c>
      <c r="E96" s="138" t="s">
        <v>1</v>
      </c>
      <c r="F96" s="139" t="s">
        <v>127</v>
      </c>
      <c r="H96" s="140">
        <v>2</v>
      </c>
      <c r="L96" s="137"/>
      <c r="M96" s="141"/>
      <c r="T96" s="142"/>
      <c r="V96" s="414"/>
      <c r="W96" s="424"/>
      <c r="AS96" s="138" t="s">
        <v>112</v>
      </c>
      <c r="AT96" s="138" t="s">
        <v>65</v>
      </c>
      <c r="AU96" s="14" t="s">
        <v>108</v>
      </c>
      <c r="AV96" s="14" t="s">
        <v>30</v>
      </c>
      <c r="AW96" s="14" t="s">
        <v>63</v>
      </c>
      <c r="AX96" s="138" t="s">
        <v>101</v>
      </c>
    </row>
    <row r="97" spans="2:64" s="1" customFormat="1" ht="90" customHeight="1" x14ac:dyDescent="0.2">
      <c r="B97" s="109"/>
      <c r="C97" s="110" t="s">
        <v>65</v>
      </c>
      <c r="D97" s="110" t="s">
        <v>103</v>
      </c>
      <c r="E97" s="111" t="s">
        <v>120</v>
      </c>
      <c r="F97" s="112" t="s">
        <v>121</v>
      </c>
      <c r="G97" s="113" t="s">
        <v>106</v>
      </c>
      <c r="H97" s="114">
        <v>1</v>
      </c>
      <c r="I97" s="115">
        <v>0</v>
      </c>
      <c r="J97" s="115">
        <f>ROUND(I97*H97,2)</f>
        <v>0</v>
      </c>
      <c r="K97" s="112" t="s">
        <v>107</v>
      </c>
      <c r="L97" s="28"/>
      <c r="M97" s="116"/>
      <c r="N97" s="117"/>
      <c r="O97" s="118"/>
      <c r="P97" s="118"/>
      <c r="Q97" s="118"/>
      <c r="R97" s="118"/>
      <c r="S97" s="118"/>
      <c r="T97" s="119"/>
      <c r="V97" s="414"/>
      <c r="W97" s="424"/>
      <c r="AQ97" s="120" t="s">
        <v>108</v>
      </c>
      <c r="AS97" s="120" t="s">
        <v>103</v>
      </c>
      <c r="AT97" s="120" t="s">
        <v>65</v>
      </c>
      <c r="AX97" s="17" t="s">
        <v>101</v>
      </c>
      <c r="BD97" s="121">
        <f>IF(N97="základní",J97,0)</f>
        <v>0</v>
      </c>
      <c r="BE97" s="121">
        <f>IF(N97="snížená",J97,0)</f>
        <v>0</v>
      </c>
      <c r="BF97" s="121">
        <f>IF(N97="zákl. přenesená",J97,0)</f>
        <v>0</v>
      </c>
      <c r="BG97" s="121">
        <f>IF(N97="sníž. přenesená",J97,0)</f>
        <v>0</v>
      </c>
      <c r="BH97" s="121">
        <f>IF(N97="nulová",J97,0)</f>
        <v>0</v>
      </c>
      <c r="BI97" s="17" t="s">
        <v>63</v>
      </c>
      <c r="BJ97" s="121">
        <f>ROUND(I97*H97,2)</f>
        <v>0</v>
      </c>
      <c r="BK97" s="17" t="s">
        <v>108</v>
      </c>
      <c r="BL97" s="120" t="s">
        <v>655</v>
      </c>
    </row>
    <row r="98" spans="2:64" s="1" customFormat="1" x14ac:dyDescent="0.2">
      <c r="B98" s="28"/>
      <c r="D98" s="122" t="s">
        <v>110</v>
      </c>
      <c r="F98" s="123" t="s">
        <v>123</v>
      </c>
      <c r="L98" s="28"/>
      <c r="M98" s="124"/>
      <c r="T98" s="48"/>
      <c r="V98" s="414"/>
      <c r="W98" s="424"/>
      <c r="AS98" s="17" t="s">
        <v>110</v>
      </c>
      <c r="AT98" s="17" t="s">
        <v>65</v>
      </c>
    </row>
    <row r="99" spans="2:64" s="12" customFormat="1" x14ac:dyDescent="0.2">
      <c r="B99" s="125"/>
      <c r="D99" s="126" t="s">
        <v>112</v>
      </c>
      <c r="E99" s="127" t="s">
        <v>1</v>
      </c>
      <c r="F99" s="128" t="s">
        <v>113</v>
      </c>
      <c r="H99" s="127" t="s">
        <v>1</v>
      </c>
      <c r="L99" s="125"/>
      <c r="M99" s="129"/>
      <c r="T99" s="130"/>
      <c r="V99" s="414"/>
      <c r="W99" s="424"/>
      <c r="AS99" s="127" t="s">
        <v>112</v>
      </c>
      <c r="AT99" s="127" t="s">
        <v>65</v>
      </c>
      <c r="AU99" s="12" t="s">
        <v>63</v>
      </c>
      <c r="AV99" s="12" t="s">
        <v>30</v>
      </c>
      <c r="AW99" s="12" t="s">
        <v>55</v>
      </c>
      <c r="AX99" s="127" t="s">
        <v>101</v>
      </c>
    </row>
    <row r="100" spans="2:64" s="13" customFormat="1" x14ac:dyDescent="0.2">
      <c r="B100" s="131"/>
      <c r="D100" s="126" t="s">
        <v>112</v>
      </c>
      <c r="E100" s="132" t="s">
        <v>1</v>
      </c>
      <c r="F100" s="133" t="s">
        <v>656</v>
      </c>
      <c r="H100" s="134">
        <v>1</v>
      </c>
      <c r="L100" s="131"/>
      <c r="M100" s="135"/>
      <c r="T100" s="136"/>
      <c r="V100" s="414"/>
      <c r="W100" s="424"/>
      <c r="AS100" s="132" t="s">
        <v>112</v>
      </c>
      <c r="AT100" s="132" t="s">
        <v>65</v>
      </c>
      <c r="AU100" s="13" t="s">
        <v>65</v>
      </c>
      <c r="AV100" s="13" t="s">
        <v>30</v>
      </c>
      <c r="AW100" s="13" t="s">
        <v>63</v>
      </c>
      <c r="AX100" s="132" t="s">
        <v>101</v>
      </c>
    </row>
    <row r="101" spans="2:64" s="1" customFormat="1" ht="55.5" customHeight="1" x14ac:dyDescent="0.2">
      <c r="B101" s="109"/>
      <c r="C101" s="110" t="s">
        <v>119</v>
      </c>
      <c r="D101" s="110" t="s">
        <v>103</v>
      </c>
      <c r="E101" s="111" t="s">
        <v>128</v>
      </c>
      <c r="F101" s="112" t="s">
        <v>129</v>
      </c>
      <c r="G101" s="113" t="s">
        <v>130</v>
      </c>
      <c r="H101" s="114">
        <f>113.166*0.18</f>
        <v>20.369879999999998</v>
      </c>
      <c r="I101" s="115">
        <v>0</v>
      </c>
      <c r="J101" s="115">
        <f>ROUND(I101*H101,2)</f>
        <v>0</v>
      </c>
      <c r="K101" s="112" t="s">
        <v>107</v>
      </c>
      <c r="L101" s="28"/>
      <c r="M101" s="116"/>
      <c r="N101" s="117"/>
      <c r="O101" s="118"/>
      <c r="P101" s="118"/>
      <c r="Q101" s="118"/>
      <c r="R101" s="118"/>
      <c r="S101" s="118"/>
      <c r="T101" s="119"/>
      <c r="V101" s="414"/>
      <c r="W101" s="424"/>
      <c r="AQ101" s="120" t="s">
        <v>108</v>
      </c>
      <c r="AS101" s="120" t="s">
        <v>103</v>
      </c>
      <c r="AT101" s="120" t="s">
        <v>65</v>
      </c>
      <c r="AX101" s="17" t="s">
        <v>101</v>
      </c>
      <c r="BD101" s="121">
        <f>IF(N101="základní",J101,0)</f>
        <v>0</v>
      </c>
      <c r="BE101" s="121">
        <f>IF(N101="snížená",J101,0)</f>
        <v>0</v>
      </c>
      <c r="BF101" s="121">
        <f>IF(N101="zákl. přenesená",J101,0)</f>
        <v>0</v>
      </c>
      <c r="BG101" s="121">
        <f>IF(N101="sníž. přenesená",J101,0)</f>
        <v>0</v>
      </c>
      <c r="BH101" s="121">
        <f>IF(N101="nulová",J101,0)</f>
        <v>0</v>
      </c>
      <c r="BI101" s="17" t="s">
        <v>63</v>
      </c>
      <c r="BJ101" s="121">
        <f>ROUND(I101*H101,2)</f>
        <v>0</v>
      </c>
      <c r="BK101" s="17" t="s">
        <v>108</v>
      </c>
      <c r="BL101" s="120" t="s">
        <v>657</v>
      </c>
    </row>
    <row r="102" spans="2:64" s="1" customFormat="1" x14ac:dyDescent="0.2">
      <c r="B102" s="28"/>
      <c r="D102" s="122" t="s">
        <v>110</v>
      </c>
      <c r="F102" s="123" t="s">
        <v>132</v>
      </c>
      <c r="L102" s="28"/>
      <c r="M102" s="124"/>
      <c r="T102" s="48"/>
      <c r="V102" s="414"/>
      <c r="W102" s="424"/>
      <c r="AS102" s="17" t="s">
        <v>110</v>
      </c>
      <c r="AT102" s="17" t="s">
        <v>65</v>
      </c>
    </row>
    <row r="103" spans="2:64" s="12" customFormat="1" x14ac:dyDescent="0.2">
      <c r="B103" s="125"/>
      <c r="D103" s="126" t="s">
        <v>112</v>
      </c>
      <c r="E103" s="127" t="s">
        <v>1</v>
      </c>
      <c r="F103" s="128" t="s">
        <v>658</v>
      </c>
      <c r="H103" s="127" t="s">
        <v>1</v>
      </c>
      <c r="L103" s="125"/>
      <c r="M103" s="129"/>
      <c r="T103" s="130"/>
      <c r="V103" s="414"/>
      <c r="W103" s="424"/>
      <c r="AS103" s="127" t="s">
        <v>112</v>
      </c>
      <c r="AT103" s="127" t="s">
        <v>65</v>
      </c>
      <c r="AU103" s="12" t="s">
        <v>63</v>
      </c>
      <c r="AV103" s="12" t="s">
        <v>30</v>
      </c>
      <c r="AW103" s="12" t="s">
        <v>55</v>
      </c>
      <c r="AX103" s="127" t="s">
        <v>101</v>
      </c>
    </row>
    <row r="104" spans="2:64" s="12" customFormat="1" ht="22.5" x14ac:dyDescent="0.2">
      <c r="B104" s="125"/>
      <c r="D104" s="126" t="s">
        <v>112</v>
      </c>
      <c r="E104" s="127" t="s">
        <v>1</v>
      </c>
      <c r="F104" s="128" t="s">
        <v>659</v>
      </c>
      <c r="H104" s="127" t="s">
        <v>1</v>
      </c>
      <c r="L104" s="125"/>
      <c r="M104" s="129"/>
      <c r="T104" s="130"/>
      <c r="V104" s="414"/>
      <c r="W104" s="424"/>
      <c r="AS104" s="127" t="s">
        <v>112</v>
      </c>
      <c r="AT104" s="127" t="s">
        <v>65</v>
      </c>
      <c r="AU104" s="12" t="s">
        <v>63</v>
      </c>
      <c r="AV104" s="12" t="s">
        <v>30</v>
      </c>
      <c r="AW104" s="12" t="s">
        <v>55</v>
      </c>
      <c r="AX104" s="127" t="s">
        <v>101</v>
      </c>
    </row>
    <row r="105" spans="2:64" s="13" customFormat="1" x14ac:dyDescent="0.2">
      <c r="B105" s="131"/>
      <c r="D105" s="126" t="s">
        <v>112</v>
      </c>
      <c r="E105" s="132" t="s">
        <v>1</v>
      </c>
      <c r="F105" s="133" t="s">
        <v>660</v>
      </c>
      <c r="H105" s="134">
        <v>94.510999999999996</v>
      </c>
      <c r="L105" s="131"/>
      <c r="M105" s="135"/>
      <c r="T105" s="136"/>
      <c r="V105" s="414"/>
      <c r="W105" s="424"/>
      <c r="AS105" s="132" t="s">
        <v>112</v>
      </c>
      <c r="AT105" s="132" t="s">
        <v>65</v>
      </c>
      <c r="AU105" s="13" t="s">
        <v>65</v>
      </c>
      <c r="AV105" s="13" t="s">
        <v>30</v>
      </c>
      <c r="AW105" s="13" t="s">
        <v>55</v>
      </c>
      <c r="AX105" s="132" t="s">
        <v>101</v>
      </c>
    </row>
    <row r="106" spans="2:64" s="13" customFormat="1" x14ac:dyDescent="0.2">
      <c r="B106" s="131"/>
      <c r="D106" s="126" t="s">
        <v>112</v>
      </c>
      <c r="E106" s="132" t="s">
        <v>1</v>
      </c>
      <c r="F106" s="133" t="s">
        <v>661</v>
      </c>
      <c r="H106" s="134">
        <v>1.141</v>
      </c>
      <c r="L106" s="131"/>
      <c r="M106" s="135"/>
      <c r="T106" s="136"/>
      <c r="V106" s="414"/>
      <c r="W106" s="424"/>
      <c r="AS106" s="132" t="s">
        <v>112</v>
      </c>
      <c r="AT106" s="132" t="s">
        <v>65</v>
      </c>
      <c r="AU106" s="13" t="s">
        <v>65</v>
      </c>
      <c r="AV106" s="13" t="s">
        <v>30</v>
      </c>
      <c r="AW106" s="13" t="s">
        <v>55</v>
      </c>
      <c r="AX106" s="132" t="s">
        <v>101</v>
      </c>
    </row>
    <row r="107" spans="2:64" s="13" customFormat="1" x14ac:dyDescent="0.2">
      <c r="B107" s="131"/>
      <c r="D107" s="126" t="s">
        <v>112</v>
      </c>
      <c r="E107" s="132" t="s">
        <v>1</v>
      </c>
      <c r="F107" s="133" t="s">
        <v>662</v>
      </c>
      <c r="H107" s="134">
        <v>3.2509999999999999</v>
      </c>
      <c r="L107" s="131"/>
      <c r="M107" s="135"/>
      <c r="T107" s="136"/>
      <c r="V107" s="414"/>
      <c r="W107" s="424"/>
      <c r="AS107" s="132" t="s">
        <v>112</v>
      </c>
      <c r="AT107" s="132" t="s">
        <v>65</v>
      </c>
      <c r="AU107" s="13" t="s">
        <v>65</v>
      </c>
      <c r="AV107" s="13" t="s">
        <v>30</v>
      </c>
      <c r="AW107" s="13" t="s">
        <v>55</v>
      </c>
      <c r="AX107" s="132" t="s">
        <v>101</v>
      </c>
    </row>
    <row r="108" spans="2:64" s="13" customFormat="1" x14ac:dyDescent="0.2">
      <c r="B108" s="131"/>
      <c r="D108" s="126" t="s">
        <v>112</v>
      </c>
      <c r="E108" s="132" t="s">
        <v>1</v>
      </c>
      <c r="F108" s="133" t="s">
        <v>663</v>
      </c>
      <c r="H108" s="134">
        <v>4.5090000000000003</v>
      </c>
      <c r="L108" s="131"/>
      <c r="M108" s="135"/>
      <c r="T108" s="136"/>
      <c r="V108" s="414"/>
      <c r="W108" s="424"/>
      <c r="AS108" s="132" t="s">
        <v>112</v>
      </c>
      <c r="AT108" s="132" t="s">
        <v>65</v>
      </c>
      <c r="AU108" s="13" t="s">
        <v>65</v>
      </c>
      <c r="AV108" s="13" t="s">
        <v>30</v>
      </c>
      <c r="AW108" s="13" t="s">
        <v>55</v>
      </c>
      <c r="AX108" s="132" t="s">
        <v>101</v>
      </c>
    </row>
    <row r="109" spans="2:64" s="13" customFormat="1" x14ac:dyDescent="0.2">
      <c r="B109" s="131"/>
      <c r="D109" s="126" t="s">
        <v>112</v>
      </c>
      <c r="E109" s="132" t="s">
        <v>1</v>
      </c>
      <c r="F109" s="133" t="s">
        <v>664</v>
      </c>
      <c r="H109" s="134">
        <v>3.7789999999999999</v>
      </c>
      <c r="L109" s="131"/>
      <c r="M109" s="135"/>
      <c r="T109" s="136"/>
      <c r="V109" s="414"/>
      <c r="W109" s="424"/>
      <c r="AS109" s="132" t="s">
        <v>112</v>
      </c>
      <c r="AT109" s="132" t="s">
        <v>65</v>
      </c>
      <c r="AU109" s="13" t="s">
        <v>65</v>
      </c>
      <c r="AV109" s="13" t="s">
        <v>30</v>
      </c>
      <c r="AW109" s="13" t="s">
        <v>55</v>
      </c>
      <c r="AX109" s="132" t="s">
        <v>101</v>
      </c>
    </row>
    <row r="110" spans="2:64" s="12" customFormat="1" x14ac:dyDescent="0.2">
      <c r="B110" s="125"/>
      <c r="D110" s="126" t="s">
        <v>112</v>
      </c>
      <c r="E110" s="127" t="s">
        <v>1</v>
      </c>
      <c r="F110" s="128" t="s">
        <v>665</v>
      </c>
      <c r="H110" s="127" t="s">
        <v>1</v>
      </c>
      <c r="L110" s="125"/>
      <c r="M110" s="129"/>
      <c r="T110" s="130"/>
      <c r="V110" s="414"/>
      <c r="W110" s="424"/>
      <c r="AS110" s="127" t="s">
        <v>112</v>
      </c>
      <c r="AT110" s="127" t="s">
        <v>65</v>
      </c>
      <c r="AU110" s="12" t="s">
        <v>63</v>
      </c>
      <c r="AV110" s="12" t="s">
        <v>30</v>
      </c>
      <c r="AW110" s="12" t="s">
        <v>55</v>
      </c>
      <c r="AX110" s="127" t="s">
        <v>101</v>
      </c>
    </row>
    <row r="111" spans="2:64" s="12" customFormat="1" ht="33.75" x14ac:dyDescent="0.2">
      <c r="B111" s="125"/>
      <c r="D111" s="126" t="s">
        <v>112</v>
      </c>
      <c r="E111" s="127" t="s">
        <v>1</v>
      </c>
      <c r="F111" s="128" t="s">
        <v>666</v>
      </c>
      <c r="H111" s="127" t="s">
        <v>1</v>
      </c>
      <c r="L111" s="125"/>
      <c r="M111" s="129"/>
      <c r="T111" s="130"/>
      <c r="V111" s="414"/>
      <c r="W111" s="424"/>
      <c r="AS111" s="127" t="s">
        <v>112</v>
      </c>
      <c r="AT111" s="127" t="s">
        <v>65</v>
      </c>
      <c r="AU111" s="12" t="s">
        <v>63</v>
      </c>
      <c r="AV111" s="12" t="s">
        <v>30</v>
      </c>
      <c r="AW111" s="12" t="s">
        <v>55</v>
      </c>
      <c r="AX111" s="127" t="s">
        <v>101</v>
      </c>
    </row>
    <row r="112" spans="2:64" s="13" customFormat="1" x14ac:dyDescent="0.2">
      <c r="B112" s="131"/>
      <c r="D112" s="126" t="s">
        <v>112</v>
      </c>
      <c r="E112" s="132" t="s">
        <v>1</v>
      </c>
      <c r="F112" s="133" t="s">
        <v>667</v>
      </c>
      <c r="H112" s="134">
        <v>1.8480000000000001</v>
      </c>
      <c r="L112" s="131"/>
      <c r="M112" s="135"/>
      <c r="T112" s="136"/>
      <c r="V112" s="414"/>
      <c r="W112" s="424"/>
      <c r="AS112" s="132" t="s">
        <v>112</v>
      </c>
      <c r="AT112" s="132" t="s">
        <v>65</v>
      </c>
      <c r="AU112" s="13" t="s">
        <v>65</v>
      </c>
      <c r="AV112" s="13" t="s">
        <v>30</v>
      </c>
      <c r="AW112" s="13" t="s">
        <v>55</v>
      </c>
      <c r="AX112" s="132" t="s">
        <v>101</v>
      </c>
    </row>
    <row r="113" spans="2:64" s="12" customFormat="1" x14ac:dyDescent="0.2">
      <c r="B113" s="125"/>
      <c r="D113" s="126" t="s">
        <v>112</v>
      </c>
      <c r="E113" s="127" t="s">
        <v>1</v>
      </c>
      <c r="F113" s="128" t="s">
        <v>668</v>
      </c>
      <c r="H113" s="127" t="s">
        <v>1</v>
      </c>
      <c r="L113" s="125"/>
      <c r="M113" s="129"/>
      <c r="T113" s="130"/>
      <c r="V113" s="414"/>
      <c r="W113" s="424"/>
      <c r="AS113" s="127" t="s">
        <v>112</v>
      </c>
      <c r="AT113" s="127" t="s">
        <v>65</v>
      </c>
      <c r="AU113" s="12" t="s">
        <v>63</v>
      </c>
      <c r="AV113" s="12" t="s">
        <v>30</v>
      </c>
      <c r="AW113" s="12" t="s">
        <v>55</v>
      </c>
      <c r="AX113" s="127" t="s">
        <v>101</v>
      </c>
    </row>
    <row r="114" spans="2:64" s="12" customFormat="1" ht="22.5" x14ac:dyDescent="0.2">
      <c r="B114" s="125"/>
      <c r="D114" s="126" t="s">
        <v>112</v>
      </c>
      <c r="E114" s="127" t="s">
        <v>1</v>
      </c>
      <c r="F114" s="128" t="s">
        <v>669</v>
      </c>
      <c r="H114" s="127" t="s">
        <v>1</v>
      </c>
      <c r="L114" s="125"/>
      <c r="M114" s="129"/>
      <c r="T114" s="130"/>
      <c r="V114" s="414"/>
      <c r="W114" s="424"/>
      <c r="AS114" s="127" t="s">
        <v>112</v>
      </c>
      <c r="AT114" s="127" t="s">
        <v>65</v>
      </c>
      <c r="AU114" s="12" t="s">
        <v>63</v>
      </c>
      <c r="AV114" s="12" t="s">
        <v>30</v>
      </c>
      <c r="AW114" s="12" t="s">
        <v>55</v>
      </c>
      <c r="AX114" s="127" t="s">
        <v>101</v>
      </c>
    </row>
    <row r="115" spans="2:64" s="13" customFormat="1" x14ac:dyDescent="0.2">
      <c r="B115" s="131"/>
      <c r="D115" s="126" t="s">
        <v>112</v>
      </c>
      <c r="E115" s="132" t="s">
        <v>1</v>
      </c>
      <c r="F115" s="133" t="s">
        <v>670</v>
      </c>
      <c r="H115" s="134">
        <v>2.3660000000000001</v>
      </c>
      <c r="L115" s="131"/>
      <c r="M115" s="135"/>
      <c r="T115" s="136"/>
      <c r="V115" s="414"/>
      <c r="W115" s="424"/>
      <c r="AS115" s="132" t="s">
        <v>112</v>
      </c>
      <c r="AT115" s="132" t="s">
        <v>65</v>
      </c>
      <c r="AU115" s="13" t="s">
        <v>65</v>
      </c>
      <c r="AV115" s="13" t="s">
        <v>30</v>
      </c>
      <c r="AW115" s="13" t="s">
        <v>55</v>
      </c>
      <c r="AX115" s="132" t="s">
        <v>101</v>
      </c>
    </row>
    <row r="116" spans="2:64" s="13" customFormat="1" x14ac:dyDescent="0.2">
      <c r="B116" s="131"/>
      <c r="D116" s="126" t="s">
        <v>112</v>
      </c>
      <c r="E116" s="132" t="s">
        <v>1</v>
      </c>
      <c r="F116" s="133" t="s">
        <v>671</v>
      </c>
      <c r="H116" s="134">
        <v>0.42299999999999999</v>
      </c>
      <c r="L116" s="131"/>
      <c r="M116" s="135"/>
      <c r="T116" s="136"/>
      <c r="V116" s="414"/>
      <c r="W116" s="424"/>
      <c r="AS116" s="132" t="s">
        <v>112</v>
      </c>
      <c r="AT116" s="132" t="s">
        <v>65</v>
      </c>
      <c r="AU116" s="13" t="s">
        <v>65</v>
      </c>
      <c r="AV116" s="13" t="s">
        <v>30</v>
      </c>
      <c r="AW116" s="13" t="s">
        <v>55</v>
      </c>
      <c r="AX116" s="132" t="s">
        <v>101</v>
      </c>
    </row>
    <row r="117" spans="2:64" s="12" customFormat="1" x14ac:dyDescent="0.2">
      <c r="B117" s="125"/>
      <c r="D117" s="126" t="s">
        <v>112</v>
      </c>
      <c r="E117" s="127" t="s">
        <v>1</v>
      </c>
      <c r="F117" s="128" t="s">
        <v>672</v>
      </c>
      <c r="H117" s="127" t="s">
        <v>1</v>
      </c>
      <c r="L117" s="125"/>
      <c r="M117" s="129"/>
      <c r="T117" s="130"/>
      <c r="V117" s="414"/>
      <c r="W117" s="424"/>
      <c r="AS117" s="127" t="s">
        <v>112</v>
      </c>
      <c r="AT117" s="127" t="s">
        <v>65</v>
      </c>
      <c r="AU117" s="12" t="s">
        <v>63</v>
      </c>
      <c r="AV117" s="12" t="s">
        <v>30</v>
      </c>
      <c r="AW117" s="12" t="s">
        <v>55</v>
      </c>
      <c r="AX117" s="127" t="s">
        <v>101</v>
      </c>
    </row>
    <row r="118" spans="2:64" s="12" customFormat="1" ht="33.75" x14ac:dyDescent="0.2">
      <c r="B118" s="125"/>
      <c r="D118" s="126" t="s">
        <v>112</v>
      </c>
      <c r="E118" s="127" t="s">
        <v>1</v>
      </c>
      <c r="F118" s="128" t="s">
        <v>666</v>
      </c>
      <c r="H118" s="127" t="s">
        <v>1</v>
      </c>
      <c r="L118" s="125"/>
      <c r="M118" s="129"/>
      <c r="T118" s="130"/>
      <c r="V118" s="414"/>
      <c r="W118" s="424"/>
      <c r="AS118" s="127" t="s">
        <v>112</v>
      </c>
      <c r="AT118" s="127" t="s">
        <v>65</v>
      </c>
      <c r="AU118" s="12" t="s">
        <v>63</v>
      </c>
      <c r="AV118" s="12" t="s">
        <v>30</v>
      </c>
      <c r="AW118" s="12" t="s">
        <v>55</v>
      </c>
      <c r="AX118" s="127" t="s">
        <v>101</v>
      </c>
    </row>
    <row r="119" spans="2:64" s="13" customFormat="1" x14ac:dyDescent="0.2">
      <c r="B119" s="131"/>
      <c r="D119" s="126" t="s">
        <v>112</v>
      </c>
      <c r="E119" s="132" t="s">
        <v>1</v>
      </c>
      <c r="F119" s="133" t="s">
        <v>673</v>
      </c>
      <c r="H119" s="134">
        <v>1.3380000000000001</v>
      </c>
      <c r="L119" s="131"/>
      <c r="M119" s="135"/>
      <c r="T119" s="136"/>
      <c r="V119" s="414"/>
      <c r="W119" s="424"/>
      <c r="AS119" s="132" t="s">
        <v>112</v>
      </c>
      <c r="AT119" s="132" t="s">
        <v>65</v>
      </c>
      <c r="AU119" s="13" t="s">
        <v>65</v>
      </c>
      <c r="AV119" s="13" t="s">
        <v>30</v>
      </c>
      <c r="AW119" s="13" t="s">
        <v>55</v>
      </c>
      <c r="AX119" s="132" t="s">
        <v>101</v>
      </c>
    </row>
    <row r="120" spans="2:64" s="14" customFormat="1" x14ac:dyDescent="0.2">
      <c r="B120" s="137"/>
      <c r="D120" s="126" t="s">
        <v>112</v>
      </c>
      <c r="E120" s="138" t="s">
        <v>1</v>
      </c>
      <c r="F120" s="139" t="s">
        <v>127</v>
      </c>
      <c r="H120" s="140">
        <v>113.166</v>
      </c>
      <c r="L120" s="137"/>
      <c r="M120" s="141"/>
      <c r="T120" s="142"/>
      <c r="V120" s="414"/>
      <c r="W120" s="424"/>
      <c r="AS120" s="138" t="s">
        <v>112</v>
      </c>
      <c r="AT120" s="138" t="s">
        <v>65</v>
      </c>
      <c r="AU120" s="14" t="s">
        <v>108</v>
      </c>
      <c r="AV120" s="14" t="s">
        <v>30</v>
      </c>
      <c r="AW120" s="14" t="s">
        <v>63</v>
      </c>
      <c r="AX120" s="138" t="s">
        <v>101</v>
      </c>
    </row>
    <row r="121" spans="2:64" s="14" customFormat="1" x14ac:dyDescent="0.2">
      <c r="B121" s="137"/>
      <c r="D121" s="126"/>
      <c r="E121" s="138"/>
      <c r="F121" s="139" t="s">
        <v>1842</v>
      </c>
      <c r="H121" s="140">
        <f>H120*0.18</f>
        <v>20.369879999999998</v>
      </c>
      <c r="L121" s="137"/>
      <c r="M121" s="141"/>
      <c r="T121" s="142"/>
      <c r="V121" s="414"/>
      <c r="W121" s="424"/>
      <c r="AS121" s="138"/>
      <c r="AT121" s="138"/>
      <c r="AX121" s="138"/>
    </row>
    <row r="122" spans="2:64" s="1" customFormat="1" ht="55.5" customHeight="1" x14ac:dyDescent="0.2">
      <c r="B122" s="109"/>
      <c r="C122" s="110" t="s">
        <v>108</v>
      </c>
      <c r="D122" s="110" t="s">
        <v>103</v>
      </c>
      <c r="E122" s="111" t="s">
        <v>142</v>
      </c>
      <c r="F122" s="112" t="s">
        <v>143</v>
      </c>
      <c r="G122" s="113" t="s">
        <v>130</v>
      </c>
      <c r="H122" s="114">
        <f>250.585*0.18</f>
        <v>45.1053</v>
      </c>
      <c r="I122" s="115">
        <v>0</v>
      </c>
      <c r="J122" s="115">
        <f>ROUND(I122*H122,2)</f>
        <v>0</v>
      </c>
      <c r="K122" s="112" t="s">
        <v>107</v>
      </c>
      <c r="L122" s="28"/>
      <c r="M122" s="116"/>
      <c r="N122" s="117"/>
      <c r="O122" s="118"/>
      <c r="P122" s="118"/>
      <c r="Q122" s="118"/>
      <c r="R122" s="118"/>
      <c r="S122" s="118"/>
      <c r="T122" s="119"/>
      <c r="V122" s="414"/>
      <c r="W122" s="424"/>
      <c r="AQ122" s="120" t="s">
        <v>108</v>
      </c>
      <c r="AS122" s="120" t="s">
        <v>103</v>
      </c>
      <c r="AT122" s="120" t="s">
        <v>65</v>
      </c>
      <c r="AX122" s="17" t="s">
        <v>101</v>
      </c>
      <c r="BD122" s="121">
        <f>IF(N122="základní",J122,0)</f>
        <v>0</v>
      </c>
      <c r="BE122" s="121">
        <f>IF(N122="snížená",J122,0)</f>
        <v>0</v>
      </c>
      <c r="BF122" s="121">
        <f>IF(N122="zákl. přenesená",J122,0)</f>
        <v>0</v>
      </c>
      <c r="BG122" s="121">
        <f>IF(N122="sníž. přenesená",J122,0)</f>
        <v>0</v>
      </c>
      <c r="BH122" s="121">
        <f>IF(N122="nulová",J122,0)</f>
        <v>0</v>
      </c>
      <c r="BI122" s="17" t="s">
        <v>63</v>
      </c>
      <c r="BJ122" s="121">
        <f>ROUND(I122*H122,2)</f>
        <v>0</v>
      </c>
      <c r="BK122" s="17" t="s">
        <v>108</v>
      </c>
      <c r="BL122" s="120" t="s">
        <v>674</v>
      </c>
    </row>
    <row r="123" spans="2:64" s="1" customFormat="1" x14ac:dyDescent="0.2">
      <c r="B123" s="28"/>
      <c r="D123" s="122" t="s">
        <v>110</v>
      </c>
      <c r="F123" s="123" t="s">
        <v>145</v>
      </c>
      <c r="L123" s="28"/>
      <c r="M123" s="124"/>
      <c r="T123" s="48"/>
      <c r="V123" s="414"/>
      <c r="W123" s="424"/>
      <c r="AS123" s="17" t="s">
        <v>110</v>
      </c>
      <c r="AT123" s="17" t="s">
        <v>65</v>
      </c>
    </row>
    <row r="124" spans="2:64" s="12" customFormat="1" x14ac:dyDescent="0.2">
      <c r="B124" s="125"/>
      <c r="D124" s="126" t="s">
        <v>112</v>
      </c>
      <c r="E124" s="127" t="s">
        <v>1</v>
      </c>
      <c r="F124" s="128" t="s">
        <v>658</v>
      </c>
      <c r="H124" s="127" t="s">
        <v>1</v>
      </c>
      <c r="L124" s="125"/>
      <c r="M124" s="129"/>
      <c r="T124" s="130"/>
      <c r="V124" s="414"/>
      <c r="W124" s="424"/>
      <c r="AS124" s="127" t="s">
        <v>112</v>
      </c>
      <c r="AT124" s="127" t="s">
        <v>65</v>
      </c>
      <c r="AU124" s="12" t="s">
        <v>63</v>
      </c>
      <c r="AV124" s="12" t="s">
        <v>30</v>
      </c>
      <c r="AW124" s="12" t="s">
        <v>55</v>
      </c>
      <c r="AX124" s="127" t="s">
        <v>101</v>
      </c>
    </row>
    <row r="125" spans="2:64" s="12" customFormat="1" ht="22.5" x14ac:dyDescent="0.2">
      <c r="B125" s="125"/>
      <c r="D125" s="126" t="s">
        <v>112</v>
      </c>
      <c r="E125" s="127" t="s">
        <v>1</v>
      </c>
      <c r="F125" s="128" t="s">
        <v>659</v>
      </c>
      <c r="H125" s="127" t="s">
        <v>1</v>
      </c>
      <c r="L125" s="125"/>
      <c r="M125" s="129"/>
      <c r="T125" s="130"/>
      <c r="V125" s="414"/>
      <c r="W125" s="424"/>
      <c r="AS125" s="127" t="s">
        <v>112</v>
      </c>
      <c r="AT125" s="127" t="s">
        <v>65</v>
      </c>
      <c r="AU125" s="12" t="s">
        <v>63</v>
      </c>
      <c r="AV125" s="12" t="s">
        <v>30</v>
      </c>
      <c r="AW125" s="12" t="s">
        <v>55</v>
      </c>
      <c r="AX125" s="127" t="s">
        <v>101</v>
      </c>
    </row>
    <row r="126" spans="2:64" s="13" customFormat="1" x14ac:dyDescent="0.2">
      <c r="B126" s="131"/>
      <c r="D126" s="126" t="s">
        <v>112</v>
      </c>
      <c r="E126" s="132" t="s">
        <v>1</v>
      </c>
      <c r="F126" s="133" t="s">
        <v>675</v>
      </c>
      <c r="H126" s="134">
        <v>209.27500000000001</v>
      </c>
      <c r="L126" s="131"/>
      <c r="M126" s="135"/>
      <c r="T126" s="136"/>
      <c r="V126" s="414"/>
      <c r="W126" s="424"/>
      <c r="AS126" s="132" t="s">
        <v>112</v>
      </c>
      <c r="AT126" s="132" t="s">
        <v>65</v>
      </c>
      <c r="AU126" s="13" t="s">
        <v>65</v>
      </c>
      <c r="AV126" s="13" t="s">
        <v>30</v>
      </c>
      <c r="AW126" s="13" t="s">
        <v>55</v>
      </c>
      <c r="AX126" s="132" t="s">
        <v>101</v>
      </c>
    </row>
    <row r="127" spans="2:64" s="13" customFormat="1" x14ac:dyDescent="0.2">
      <c r="B127" s="131"/>
      <c r="D127" s="126" t="s">
        <v>112</v>
      </c>
      <c r="E127" s="132" t="s">
        <v>1</v>
      </c>
      <c r="F127" s="133" t="s">
        <v>676</v>
      </c>
      <c r="H127" s="134">
        <v>2.5270000000000001</v>
      </c>
      <c r="L127" s="131"/>
      <c r="M127" s="135"/>
      <c r="T127" s="136"/>
      <c r="V127" s="414"/>
      <c r="W127" s="424"/>
      <c r="AS127" s="132" t="s">
        <v>112</v>
      </c>
      <c r="AT127" s="132" t="s">
        <v>65</v>
      </c>
      <c r="AU127" s="13" t="s">
        <v>65</v>
      </c>
      <c r="AV127" s="13" t="s">
        <v>30</v>
      </c>
      <c r="AW127" s="13" t="s">
        <v>55</v>
      </c>
      <c r="AX127" s="132" t="s">
        <v>101</v>
      </c>
    </row>
    <row r="128" spans="2:64" s="13" customFormat="1" x14ac:dyDescent="0.2">
      <c r="B128" s="131"/>
      <c r="D128" s="126" t="s">
        <v>112</v>
      </c>
      <c r="E128" s="132" t="s">
        <v>1</v>
      </c>
      <c r="F128" s="133" t="s">
        <v>677</v>
      </c>
      <c r="H128" s="134">
        <v>7.1989999999999998</v>
      </c>
      <c r="L128" s="131"/>
      <c r="M128" s="135"/>
      <c r="T128" s="136"/>
      <c r="V128" s="414"/>
      <c r="W128" s="424"/>
      <c r="AS128" s="132" t="s">
        <v>112</v>
      </c>
      <c r="AT128" s="132" t="s">
        <v>65</v>
      </c>
      <c r="AU128" s="13" t="s">
        <v>65</v>
      </c>
      <c r="AV128" s="13" t="s">
        <v>30</v>
      </c>
      <c r="AW128" s="13" t="s">
        <v>55</v>
      </c>
      <c r="AX128" s="132" t="s">
        <v>101</v>
      </c>
    </row>
    <row r="129" spans="2:64" s="13" customFormat="1" x14ac:dyDescent="0.2">
      <c r="B129" s="131"/>
      <c r="D129" s="126" t="s">
        <v>112</v>
      </c>
      <c r="E129" s="132" t="s">
        <v>1</v>
      </c>
      <c r="F129" s="133" t="s">
        <v>678</v>
      </c>
      <c r="H129" s="134">
        <v>9.984</v>
      </c>
      <c r="L129" s="131"/>
      <c r="M129" s="135"/>
      <c r="T129" s="136"/>
      <c r="V129" s="414"/>
      <c r="W129" s="424"/>
      <c r="AS129" s="132" t="s">
        <v>112</v>
      </c>
      <c r="AT129" s="132" t="s">
        <v>65</v>
      </c>
      <c r="AU129" s="13" t="s">
        <v>65</v>
      </c>
      <c r="AV129" s="13" t="s">
        <v>30</v>
      </c>
      <c r="AW129" s="13" t="s">
        <v>55</v>
      </c>
      <c r="AX129" s="132" t="s">
        <v>101</v>
      </c>
    </row>
    <row r="130" spans="2:64" s="13" customFormat="1" x14ac:dyDescent="0.2">
      <c r="B130" s="131"/>
      <c r="D130" s="126" t="s">
        <v>112</v>
      </c>
      <c r="E130" s="132" t="s">
        <v>1</v>
      </c>
      <c r="F130" s="133" t="s">
        <v>679</v>
      </c>
      <c r="H130" s="134">
        <v>8.3680000000000003</v>
      </c>
      <c r="L130" s="131"/>
      <c r="M130" s="135"/>
      <c r="T130" s="136"/>
      <c r="V130" s="414"/>
      <c r="W130" s="424"/>
      <c r="AS130" s="132" t="s">
        <v>112</v>
      </c>
      <c r="AT130" s="132" t="s">
        <v>65</v>
      </c>
      <c r="AU130" s="13" t="s">
        <v>65</v>
      </c>
      <c r="AV130" s="13" t="s">
        <v>30</v>
      </c>
      <c r="AW130" s="13" t="s">
        <v>55</v>
      </c>
      <c r="AX130" s="132" t="s">
        <v>101</v>
      </c>
    </row>
    <row r="131" spans="2:64" s="12" customFormat="1" x14ac:dyDescent="0.2">
      <c r="B131" s="125"/>
      <c r="D131" s="126" t="s">
        <v>112</v>
      </c>
      <c r="E131" s="127" t="s">
        <v>1</v>
      </c>
      <c r="F131" s="128" t="s">
        <v>665</v>
      </c>
      <c r="H131" s="127" t="s">
        <v>1</v>
      </c>
      <c r="L131" s="125"/>
      <c r="M131" s="129"/>
      <c r="T131" s="130"/>
      <c r="V131" s="414"/>
      <c r="W131" s="424"/>
      <c r="AS131" s="127" t="s">
        <v>112</v>
      </c>
      <c r="AT131" s="127" t="s">
        <v>65</v>
      </c>
      <c r="AU131" s="12" t="s">
        <v>63</v>
      </c>
      <c r="AV131" s="12" t="s">
        <v>30</v>
      </c>
      <c r="AW131" s="12" t="s">
        <v>55</v>
      </c>
      <c r="AX131" s="127" t="s">
        <v>101</v>
      </c>
    </row>
    <row r="132" spans="2:64" s="12" customFormat="1" ht="33.75" x14ac:dyDescent="0.2">
      <c r="B132" s="125"/>
      <c r="D132" s="126" t="s">
        <v>112</v>
      </c>
      <c r="E132" s="127" t="s">
        <v>1</v>
      </c>
      <c r="F132" s="128" t="s">
        <v>666</v>
      </c>
      <c r="H132" s="127" t="s">
        <v>1</v>
      </c>
      <c r="L132" s="125"/>
      <c r="M132" s="129"/>
      <c r="T132" s="130"/>
      <c r="V132" s="414"/>
      <c r="W132" s="424"/>
      <c r="AS132" s="127" t="s">
        <v>112</v>
      </c>
      <c r="AT132" s="127" t="s">
        <v>65</v>
      </c>
      <c r="AU132" s="12" t="s">
        <v>63</v>
      </c>
      <c r="AV132" s="12" t="s">
        <v>30</v>
      </c>
      <c r="AW132" s="12" t="s">
        <v>55</v>
      </c>
      <c r="AX132" s="127" t="s">
        <v>101</v>
      </c>
    </row>
    <row r="133" spans="2:64" s="13" customFormat="1" x14ac:dyDescent="0.2">
      <c r="B133" s="131"/>
      <c r="D133" s="126" t="s">
        <v>112</v>
      </c>
      <c r="E133" s="132" t="s">
        <v>1</v>
      </c>
      <c r="F133" s="133" t="s">
        <v>680</v>
      </c>
      <c r="H133" s="134">
        <v>4.0919999999999996</v>
      </c>
      <c r="L133" s="131"/>
      <c r="M133" s="135"/>
      <c r="T133" s="136"/>
      <c r="V133" s="414"/>
      <c r="W133" s="424"/>
      <c r="AS133" s="132" t="s">
        <v>112</v>
      </c>
      <c r="AT133" s="132" t="s">
        <v>65</v>
      </c>
      <c r="AU133" s="13" t="s">
        <v>65</v>
      </c>
      <c r="AV133" s="13" t="s">
        <v>30</v>
      </c>
      <c r="AW133" s="13" t="s">
        <v>55</v>
      </c>
      <c r="AX133" s="132" t="s">
        <v>101</v>
      </c>
    </row>
    <row r="134" spans="2:64" s="12" customFormat="1" x14ac:dyDescent="0.2">
      <c r="B134" s="125"/>
      <c r="D134" s="126" t="s">
        <v>112</v>
      </c>
      <c r="E134" s="127" t="s">
        <v>1</v>
      </c>
      <c r="F134" s="128" t="s">
        <v>668</v>
      </c>
      <c r="H134" s="127" t="s">
        <v>1</v>
      </c>
      <c r="L134" s="125"/>
      <c r="M134" s="129"/>
      <c r="T134" s="130"/>
      <c r="V134" s="414"/>
      <c r="W134" s="424"/>
      <c r="AS134" s="127" t="s">
        <v>112</v>
      </c>
      <c r="AT134" s="127" t="s">
        <v>65</v>
      </c>
      <c r="AU134" s="12" t="s">
        <v>63</v>
      </c>
      <c r="AV134" s="12" t="s">
        <v>30</v>
      </c>
      <c r="AW134" s="12" t="s">
        <v>55</v>
      </c>
      <c r="AX134" s="127" t="s">
        <v>101</v>
      </c>
    </row>
    <row r="135" spans="2:64" s="12" customFormat="1" ht="22.5" x14ac:dyDescent="0.2">
      <c r="B135" s="125"/>
      <c r="D135" s="126" t="s">
        <v>112</v>
      </c>
      <c r="E135" s="127" t="s">
        <v>1</v>
      </c>
      <c r="F135" s="128" t="s">
        <v>669</v>
      </c>
      <c r="H135" s="127" t="s">
        <v>1</v>
      </c>
      <c r="L135" s="125"/>
      <c r="M135" s="129"/>
      <c r="T135" s="130"/>
      <c r="V135" s="414"/>
      <c r="W135" s="424"/>
      <c r="AS135" s="127" t="s">
        <v>112</v>
      </c>
      <c r="AT135" s="127" t="s">
        <v>65</v>
      </c>
      <c r="AU135" s="12" t="s">
        <v>63</v>
      </c>
      <c r="AV135" s="12" t="s">
        <v>30</v>
      </c>
      <c r="AW135" s="12" t="s">
        <v>55</v>
      </c>
      <c r="AX135" s="127" t="s">
        <v>101</v>
      </c>
    </row>
    <row r="136" spans="2:64" s="13" customFormat="1" x14ac:dyDescent="0.2">
      <c r="B136" s="131"/>
      <c r="D136" s="126" t="s">
        <v>112</v>
      </c>
      <c r="E136" s="132" t="s">
        <v>1</v>
      </c>
      <c r="F136" s="133" t="s">
        <v>681</v>
      </c>
      <c r="H136" s="134">
        <v>5.2389999999999999</v>
      </c>
      <c r="L136" s="131"/>
      <c r="M136" s="135"/>
      <c r="T136" s="136"/>
      <c r="V136" s="414"/>
      <c r="W136" s="424"/>
      <c r="AS136" s="132" t="s">
        <v>112</v>
      </c>
      <c r="AT136" s="132" t="s">
        <v>65</v>
      </c>
      <c r="AU136" s="13" t="s">
        <v>65</v>
      </c>
      <c r="AV136" s="13" t="s">
        <v>30</v>
      </c>
      <c r="AW136" s="13" t="s">
        <v>55</v>
      </c>
      <c r="AX136" s="132" t="s">
        <v>101</v>
      </c>
    </row>
    <row r="137" spans="2:64" s="13" customFormat="1" x14ac:dyDescent="0.2">
      <c r="B137" s="131"/>
      <c r="D137" s="126" t="s">
        <v>112</v>
      </c>
      <c r="E137" s="132" t="s">
        <v>1</v>
      </c>
      <c r="F137" s="133" t="s">
        <v>682</v>
      </c>
      <c r="H137" s="134">
        <v>0.93700000000000006</v>
      </c>
      <c r="L137" s="131"/>
      <c r="M137" s="135"/>
      <c r="T137" s="136"/>
      <c r="V137" s="414"/>
      <c r="W137" s="424"/>
      <c r="AS137" s="132" t="s">
        <v>112</v>
      </c>
      <c r="AT137" s="132" t="s">
        <v>65</v>
      </c>
      <c r="AU137" s="13" t="s">
        <v>65</v>
      </c>
      <c r="AV137" s="13" t="s">
        <v>30</v>
      </c>
      <c r="AW137" s="13" t="s">
        <v>55</v>
      </c>
      <c r="AX137" s="132" t="s">
        <v>101</v>
      </c>
    </row>
    <row r="138" spans="2:64" s="12" customFormat="1" x14ac:dyDescent="0.2">
      <c r="B138" s="125"/>
      <c r="D138" s="126" t="s">
        <v>112</v>
      </c>
      <c r="E138" s="127" t="s">
        <v>1</v>
      </c>
      <c r="F138" s="128" t="s">
        <v>672</v>
      </c>
      <c r="H138" s="127" t="s">
        <v>1</v>
      </c>
      <c r="L138" s="125"/>
      <c r="M138" s="129"/>
      <c r="T138" s="130"/>
      <c r="V138" s="414"/>
      <c r="W138" s="424"/>
      <c r="AS138" s="127" t="s">
        <v>112</v>
      </c>
      <c r="AT138" s="127" t="s">
        <v>65</v>
      </c>
      <c r="AU138" s="12" t="s">
        <v>63</v>
      </c>
      <c r="AV138" s="12" t="s">
        <v>30</v>
      </c>
      <c r="AW138" s="12" t="s">
        <v>55</v>
      </c>
      <c r="AX138" s="127" t="s">
        <v>101</v>
      </c>
    </row>
    <row r="139" spans="2:64" s="12" customFormat="1" ht="33.75" x14ac:dyDescent="0.2">
      <c r="B139" s="125"/>
      <c r="D139" s="126" t="s">
        <v>112</v>
      </c>
      <c r="E139" s="127" t="s">
        <v>1</v>
      </c>
      <c r="F139" s="128" t="s">
        <v>666</v>
      </c>
      <c r="H139" s="127" t="s">
        <v>1</v>
      </c>
      <c r="L139" s="125"/>
      <c r="M139" s="129"/>
      <c r="T139" s="130"/>
      <c r="V139" s="414"/>
      <c r="W139" s="424"/>
      <c r="AS139" s="127" t="s">
        <v>112</v>
      </c>
      <c r="AT139" s="127" t="s">
        <v>65</v>
      </c>
      <c r="AU139" s="12" t="s">
        <v>63</v>
      </c>
      <c r="AV139" s="12" t="s">
        <v>30</v>
      </c>
      <c r="AW139" s="12" t="s">
        <v>55</v>
      </c>
      <c r="AX139" s="127" t="s">
        <v>101</v>
      </c>
    </row>
    <row r="140" spans="2:64" s="13" customFormat="1" x14ac:dyDescent="0.2">
      <c r="B140" s="131"/>
      <c r="D140" s="126" t="s">
        <v>112</v>
      </c>
      <c r="E140" s="132" t="s">
        <v>1</v>
      </c>
      <c r="F140" s="133" t="s">
        <v>683</v>
      </c>
      <c r="H140" s="134">
        <v>2.964</v>
      </c>
      <c r="L140" s="131"/>
      <c r="M140" s="135"/>
      <c r="T140" s="136"/>
      <c r="V140" s="414"/>
      <c r="W140" s="424"/>
      <c r="AS140" s="132" t="s">
        <v>112</v>
      </c>
      <c r="AT140" s="132" t="s">
        <v>65</v>
      </c>
      <c r="AU140" s="13" t="s">
        <v>65</v>
      </c>
      <c r="AV140" s="13" t="s">
        <v>30</v>
      </c>
      <c r="AW140" s="13" t="s">
        <v>55</v>
      </c>
      <c r="AX140" s="132" t="s">
        <v>101</v>
      </c>
    </row>
    <row r="141" spans="2:64" s="14" customFormat="1" x14ac:dyDescent="0.2">
      <c r="B141" s="137"/>
      <c r="D141" s="126" t="s">
        <v>112</v>
      </c>
      <c r="E141" s="138" t="s">
        <v>1</v>
      </c>
      <c r="F141" s="139" t="s">
        <v>127</v>
      </c>
      <c r="H141" s="140">
        <v>250.58500000000001</v>
      </c>
      <c r="L141" s="137"/>
      <c r="M141" s="141"/>
      <c r="T141" s="142"/>
      <c r="V141" s="414"/>
      <c r="W141" s="424"/>
      <c r="AS141" s="138" t="s">
        <v>112</v>
      </c>
      <c r="AT141" s="138" t="s">
        <v>65</v>
      </c>
      <c r="AU141" s="14" t="s">
        <v>108</v>
      </c>
      <c r="AV141" s="14" t="s">
        <v>30</v>
      </c>
      <c r="AW141" s="14" t="s">
        <v>63</v>
      </c>
      <c r="AX141" s="138" t="s">
        <v>101</v>
      </c>
    </row>
    <row r="142" spans="2:64" s="14" customFormat="1" x14ac:dyDescent="0.2">
      <c r="B142" s="137"/>
      <c r="D142" s="126"/>
      <c r="E142" s="138"/>
      <c r="F142" s="139" t="s">
        <v>1842</v>
      </c>
      <c r="H142" s="140">
        <f>H141*0.18</f>
        <v>45.1053</v>
      </c>
      <c r="L142" s="137"/>
      <c r="M142" s="141"/>
      <c r="T142" s="142"/>
      <c r="V142" s="414"/>
      <c r="W142" s="424"/>
      <c r="AS142" s="138"/>
      <c r="AT142" s="138"/>
      <c r="AX142" s="138"/>
    </row>
    <row r="143" spans="2:64" s="1" customFormat="1" ht="55.5" customHeight="1" x14ac:dyDescent="0.2">
      <c r="B143" s="109"/>
      <c r="C143" s="110" t="s">
        <v>141</v>
      </c>
      <c r="D143" s="110" t="s">
        <v>103</v>
      </c>
      <c r="E143" s="111" t="s">
        <v>154</v>
      </c>
      <c r="F143" s="112" t="s">
        <v>155</v>
      </c>
      <c r="G143" s="113" t="s">
        <v>130</v>
      </c>
      <c r="H143" s="114">
        <f>444.584*0.18</f>
        <v>80.025120000000001</v>
      </c>
      <c r="I143" s="115">
        <v>0</v>
      </c>
      <c r="J143" s="115">
        <f>ROUND(I143*H143,2)</f>
        <v>0</v>
      </c>
      <c r="K143" s="112" t="s">
        <v>107</v>
      </c>
      <c r="L143" s="28"/>
      <c r="M143" s="116"/>
      <c r="N143" s="117"/>
      <c r="O143" s="118"/>
      <c r="P143" s="118"/>
      <c r="Q143" s="118"/>
      <c r="R143" s="118"/>
      <c r="S143" s="118"/>
      <c r="T143" s="119"/>
      <c r="V143" s="414"/>
      <c r="W143" s="424"/>
      <c r="AQ143" s="120" t="s">
        <v>108</v>
      </c>
      <c r="AS143" s="120" t="s">
        <v>103</v>
      </c>
      <c r="AT143" s="120" t="s">
        <v>65</v>
      </c>
      <c r="AX143" s="17" t="s">
        <v>101</v>
      </c>
      <c r="BD143" s="121">
        <f>IF(N143="základní",J143,0)</f>
        <v>0</v>
      </c>
      <c r="BE143" s="121">
        <f>IF(N143="snížená",J143,0)</f>
        <v>0</v>
      </c>
      <c r="BF143" s="121">
        <f>IF(N143="zákl. přenesená",J143,0)</f>
        <v>0</v>
      </c>
      <c r="BG143" s="121">
        <f>IF(N143="sníž. přenesená",J143,0)</f>
        <v>0</v>
      </c>
      <c r="BH143" s="121">
        <f>IF(N143="nulová",J143,0)</f>
        <v>0</v>
      </c>
      <c r="BI143" s="17" t="s">
        <v>63</v>
      </c>
      <c r="BJ143" s="121">
        <f>ROUND(I143*H143,2)</f>
        <v>0</v>
      </c>
      <c r="BK143" s="17" t="s">
        <v>108</v>
      </c>
      <c r="BL143" s="120" t="s">
        <v>684</v>
      </c>
    </row>
    <row r="144" spans="2:64" s="1" customFormat="1" x14ac:dyDescent="0.2">
      <c r="B144" s="28"/>
      <c r="D144" s="122" t="s">
        <v>110</v>
      </c>
      <c r="F144" s="123" t="s">
        <v>157</v>
      </c>
      <c r="L144" s="28"/>
      <c r="M144" s="124"/>
      <c r="T144" s="48"/>
      <c r="V144" s="414"/>
      <c r="W144" s="424"/>
      <c r="AS144" s="17" t="s">
        <v>110</v>
      </c>
      <c r="AT144" s="17" t="s">
        <v>65</v>
      </c>
    </row>
    <row r="145" spans="2:50" s="12" customFormat="1" x14ac:dyDescent="0.2">
      <c r="B145" s="125"/>
      <c r="D145" s="126" t="s">
        <v>112</v>
      </c>
      <c r="E145" s="127" t="s">
        <v>1</v>
      </c>
      <c r="F145" s="128" t="s">
        <v>658</v>
      </c>
      <c r="H145" s="127" t="s">
        <v>1</v>
      </c>
      <c r="L145" s="125"/>
      <c r="M145" s="129"/>
      <c r="T145" s="130"/>
      <c r="V145" s="414"/>
      <c r="W145" s="424"/>
      <c r="AS145" s="127" t="s">
        <v>112</v>
      </c>
      <c r="AT145" s="127" t="s">
        <v>65</v>
      </c>
      <c r="AU145" s="12" t="s">
        <v>63</v>
      </c>
      <c r="AV145" s="12" t="s">
        <v>30</v>
      </c>
      <c r="AW145" s="12" t="s">
        <v>55</v>
      </c>
      <c r="AX145" s="127" t="s">
        <v>101</v>
      </c>
    </row>
    <row r="146" spans="2:50" s="12" customFormat="1" ht="22.5" x14ac:dyDescent="0.2">
      <c r="B146" s="125"/>
      <c r="D146" s="126" t="s">
        <v>112</v>
      </c>
      <c r="E146" s="127" t="s">
        <v>1</v>
      </c>
      <c r="F146" s="128" t="s">
        <v>659</v>
      </c>
      <c r="H146" s="127" t="s">
        <v>1</v>
      </c>
      <c r="L146" s="125"/>
      <c r="M146" s="129"/>
      <c r="T146" s="130"/>
      <c r="V146" s="414"/>
      <c r="W146" s="424"/>
      <c r="AS146" s="127" t="s">
        <v>112</v>
      </c>
      <c r="AT146" s="127" t="s">
        <v>65</v>
      </c>
      <c r="AU146" s="12" t="s">
        <v>63</v>
      </c>
      <c r="AV146" s="12" t="s">
        <v>30</v>
      </c>
      <c r="AW146" s="12" t="s">
        <v>55</v>
      </c>
      <c r="AX146" s="127" t="s">
        <v>101</v>
      </c>
    </row>
    <row r="147" spans="2:50" s="13" customFormat="1" x14ac:dyDescent="0.2">
      <c r="B147" s="131"/>
      <c r="D147" s="126" t="s">
        <v>112</v>
      </c>
      <c r="E147" s="132" t="s">
        <v>1</v>
      </c>
      <c r="F147" s="133" t="s">
        <v>685</v>
      </c>
      <c r="H147" s="134">
        <v>371.29399999999998</v>
      </c>
      <c r="L147" s="131"/>
      <c r="M147" s="135"/>
      <c r="T147" s="136"/>
      <c r="V147" s="414"/>
      <c r="W147" s="424"/>
      <c r="AS147" s="132" t="s">
        <v>112</v>
      </c>
      <c r="AT147" s="132" t="s">
        <v>65</v>
      </c>
      <c r="AU147" s="13" t="s">
        <v>65</v>
      </c>
      <c r="AV147" s="13" t="s">
        <v>30</v>
      </c>
      <c r="AW147" s="13" t="s">
        <v>55</v>
      </c>
      <c r="AX147" s="132" t="s">
        <v>101</v>
      </c>
    </row>
    <row r="148" spans="2:50" s="13" customFormat="1" x14ac:dyDescent="0.2">
      <c r="B148" s="131"/>
      <c r="D148" s="126" t="s">
        <v>112</v>
      </c>
      <c r="E148" s="132" t="s">
        <v>1</v>
      </c>
      <c r="F148" s="133" t="s">
        <v>686</v>
      </c>
      <c r="H148" s="134">
        <v>4.4829999999999997</v>
      </c>
      <c r="L148" s="131"/>
      <c r="M148" s="135"/>
      <c r="T148" s="136"/>
      <c r="V148" s="414"/>
      <c r="W148" s="424"/>
      <c r="AS148" s="132" t="s">
        <v>112</v>
      </c>
      <c r="AT148" s="132" t="s">
        <v>65</v>
      </c>
      <c r="AU148" s="13" t="s">
        <v>65</v>
      </c>
      <c r="AV148" s="13" t="s">
        <v>30</v>
      </c>
      <c r="AW148" s="13" t="s">
        <v>55</v>
      </c>
      <c r="AX148" s="132" t="s">
        <v>101</v>
      </c>
    </row>
    <row r="149" spans="2:50" s="13" customFormat="1" x14ac:dyDescent="0.2">
      <c r="B149" s="131"/>
      <c r="D149" s="126" t="s">
        <v>112</v>
      </c>
      <c r="E149" s="132" t="s">
        <v>1</v>
      </c>
      <c r="F149" s="133" t="s">
        <v>687</v>
      </c>
      <c r="H149" s="134">
        <v>12.772</v>
      </c>
      <c r="L149" s="131"/>
      <c r="M149" s="135"/>
      <c r="T149" s="136"/>
      <c r="V149" s="414"/>
      <c r="W149" s="424"/>
      <c r="AS149" s="132" t="s">
        <v>112</v>
      </c>
      <c r="AT149" s="132" t="s">
        <v>65</v>
      </c>
      <c r="AU149" s="13" t="s">
        <v>65</v>
      </c>
      <c r="AV149" s="13" t="s">
        <v>30</v>
      </c>
      <c r="AW149" s="13" t="s">
        <v>55</v>
      </c>
      <c r="AX149" s="132" t="s">
        <v>101</v>
      </c>
    </row>
    <row r="150" spans="2:50" s="13" customFormat="1" x14ac:dyDescent="0.2">
      <c r="B150" s="131"/>
      <c r="D150" s="126" t="s">
        <v>112</v>
      </c>
      <c r="E150" s="132" t="s">
        <v>1</v>
      </c>
      <c r="F150" s="133" t="s">
        <v>688</v>
      </c>
      <c r="H150" s="134">
        <v>17.713000000000001</v>
      </c>
      <c r="L150" s="131"/>
      <c r="M150" s="135"/>
      <c r="T150" s="136"/>
      <c r="V150" s="414"/>
      <c r="W150" s="424"/>
      <c r="AS150" s="132" t="s">
        <v>112</v>
      </c>
      <c r="AT150" s="132" t="s">
        <v>65</v>
      </c>
      <c r="AU150" s="13" t="s">
        <v>65</v>
      </c>
      <c r="AV150" s="13" t="s">
        <v>30</v>
      </c>
      <c r="AW150" s="13" t="s">
        <v>55</v>
      </c>
      <c r="AX150" s="132" t="s">
        <v>101</v>
      </c>
    </row>
    <row r="151" spans="2:50" s="13" customFormat="1" x14ac:dyDescent="0.2">
      <c r="B151" s="131"/>
      <c r="D151" s="126" t="s">
        <v>112</v>
      </c>
      <c r="E151" s="132" t="s">
        <v>1</v>
      </c>
      <c r="F151" s="133" t="s">
        <v>689</v>
      </c>
      <c r="H151" s="134">
        <v>14.846</v>
      </c>
      <c r="L151" s="131"/>
      <c r="M151" s="135"/>
      <c r="T151" s="136"/>
      <c r="V151" s="414"/>
      <c r="W151" s="424"/>
      <c r="AS151" s="132" t="s">
        <v>112</v>
      </c>
      <c r="AT151" s="132" t="s">
        <v>65</v>
      </c>
      <c r="AU151" s="13" t="s">
        <v>65</v>
      </c>
      <c r="AV151" s="13" t="s">
        <v>30</v>
      </c>
      <c r="AW151" s="13" t="s">
        <v>55</v>
      </c>
      <c r="AX151" s="132" t="s">
        <v>101</v>
      </c>
    </row>
    <row r="152" spans="2:50" s="12" customFormat="1" x14ac:dyDescent="0.2">
      <c r="B152" s="125"/>
      <c r="D152" s="126" t="s">
        <v>112</v>
      </c>
      <c r="E152" s="127" t="s">
        <v>1</v>
      </c>
      <c r="F152" s="128" t="s">
        <v>665</v>
      </c>
      <c r="H152" s="127" t="s">
        <v>1</v>
      </c>
      <c r="L152" s="125"/>
      <c r="M152" s="129"/>
      <c r="T152" s="130"/>
      <c r="V152" s="414"/>
      <c r="W152" s="424"/>
      <c r="AS152" s="127" t="s">
        <v>112</v>
      </c>
      <c r="AT152" s="127" t="s">
        <v>65</v>
      </c>
      <c r="AU152" s="12" t="s">
        <v>63</v>
      </c>
      <c r="AV152" s="12" t="s">
        <v>30</v>
      </c>
      <c r="AW152" s="12" t="s">
        <v>55</v>
      </c>
      <c r="AX152" s="127" t="s">
        <v>101</v>
      </c>
    </row>
    <row r="153" spans="2:50" s="12" customFormat="1" ht="33.75" x14ac:dyDescent="0.2">
      <c r="B153" s="125"/>
      <c r="D153" s="126" t="s">
        <v>112</v>
      </c>
      <c r="E153" s="127" t="s">
        <v>1</v>
      </c>
      <c r="F153" s="128" t="s">
        <v>666</v>
      </c>
      <c r="H153" s="127" t="s">
        <v>1</v>
      </c>
      <c r="L153" s="125"/>
      <c r="M153" s="129"/>
      <c r="T153" s="130"/>
      <c r="V153" s="414"/>
      <c r="W153" s="424"/>
      <c r="AS153" s="127" t="s">
        <v>112</v>
      </c>
      <c r="AT153" s="127" t="s">
        <v>65</v>
      </c>
      <c r="AU153" s="12" t="s">
        <v>63</v>
      </c>
      <c r="AV153" s="12" t="s">
        <v>30</v>
      </c>
      <c r="AW153" s="12" t="s">
        <v>55</v>
      </c>
      <c r="AX153" s="127" t="s">
        <v>101</v>
      </c>
    </row>
    <row r="154" spans="2:50" s="13" customFormat="1" x14ac:dyDescent="0.2">
      <c r="B154" s="131"/>
      <c r="D154" s="126" t="s">
        <v>112</v>
      </c>
      <c r="E154" s="132" t="s">
        <v>1</v>
      </c>
      <c r="F154" s="133" t="s">
        <v>690</v>
      </c>
      <c r="H154" s="134">
        <v>7.26</v>
      </c>
      <c r="L154" s="131"/>
      <c r="M154" s="135"/>
      <c r="T154" s="136"/>
      <c r="V154" s="414"/>
      <c r="W154" s="424"/>
      <c r="AS154" s="132" t="s">
        <v>112</v>
      </c>
      <c r="AT154" s="132" t="s">
        <v>65</v>
      </c>
      <c r="AU154" s="13" t="s">
        <v>65</v>
      </c>
      <c r="AV154" s="13" t="s">
        <v>30</v>
      </c>
      <c r="AW154" s="13" t="s">
        <v>55</v>
      </c>
      <c r="AX154" s="132" t="s">
        <v>101</v>
      </c>
    </row>
    <row r="155" spans="2:50" s="12" customFormat="1" x14ac:dyDescent="0.2">
      <c r="B155" s="125"/>
      <c r="D155" s="126" t="s">
        <v>112</v>
      </c>
      <c r="E155" s="127" t="s">
        <v>1</v>
      </c>
      <c r="F155" s="128" t="s">
        <v>668</v>
      </c>
      <c r="H155" s="127" t="s">
        <v>1</v>
      </c>
      <c r="L155" s="125"/>
      <c r="M155" s="129"/>
      <c r="T155" s="130"/>
      <c r="V155" s="414"/>
      <c r="W155" s="424"/>
      <c r="AS155" s="127" t="s">
        <v>112</v>
      </c>
      <c r="AT155" s="127" t="s">
        <v>65</v>
      </c>
      <c r="AU155" s="12" t="s">
        <v>63</v>
      </c>
      <c r="AV155" s="12" t="s">
        <v>30</v>
      </c>
      <c r="AW155" s="12" t="s">
        <v>55</v>
      </c>
      <c r="AX155" s="127" t="s">
        <v>101</v>
      </c>
    </row>
    <row r="156" spans="2:50" s="12" customFormat="1" ht="22.5" x14ac:dyDescent="0.2">
      <c r="B156" s="125"/>
      <c r="D156" s="126" t="s">
        <v>112</v>
      </c>
      <c r="E156" s="127" t="s">
        <v>1</v>
      </c>
      <c r="F156" s="128" t="s">
        <v>669</v>
      </c>
      <c r="H156" s="127" t="s">
        <v>1</v>
      </c>
      <c r="L156" s="125"/>
      <c r="M156" s="129"/>
      <c r="T156" s="130"/>
      <c r="V156" s="414"/>
      <c r="W156" s="424"/>
      <c r="AS156" s="127" t="s">
        <v>112</v>
      </c>
      <c r="AT156" s="127" t="s">
        <v>65</v>
      </c>
      <c r="AU156" s="12" t="s">
        <v>63</v>
      </c>
      <c r="AV156" s="12" t="s">
        <v>30</v>
      </c>
      <c r="AW156" s="12" t="s">
        <v>55</v>
      </c>
      <c r="AX156" s="127" t="s">
        <v>101</v>
      </c>
    </row>
    <row r="157" spans="2:50" s="13" customFormat="1" x14ac:dyDescent="0.2">
      <c r="B157" s="131"/>
      <c r="D157" s="126" t="s">
        <v>112</v>
      </c>
      <c r="E157" s="132" t="s">
        <v>1</v>
      </c>
      <c r="F157" s="133" t="s">
        <v>691</v>
      </c>
      <c r="H157" s="134">
        <v>9.2949999999999999</v>
      </c>
      <c r="L157" s="131"/>
      <c r="M157" s="135"/>
      <c r="T157" s="136"/>
      <c r="V157" s="414"/>
      <c r="W157" s="424"/>
      <c r="AS157" s="132" t="s">
        <v>112</v>
      </c>
      <c r="AT157" s="132" t="s">
        <v>65</v>
      </c>
      <c r="AU157" s="13" t="s">
        <v>65</v>
      </c>
      <c r="AV157" s="13" t="s">
        <v>30</v>
      </c>
      <c r="AW157" s="13" t="s">
        <v>55</v>
      </c>
      <c r="AX157" s="132" t="s">
        <v>101</v>
      </c>
    </row>
    <row r="158" spans="2:50" s="13" customFormat="1" x14ac:dyDescent="0.2">
      <c r="B158" s="131"/>
      <c r="D158" s="126" t="s">
        <v>112</v>
      </c>
      <c r="E158" s="132" t="s">
        <v>1</v>
      </c>
      <c r="F158" s="133" t="s">
        <v>692</v>
      </c>
      <c r="H158" s="134">
        <v>1.663</v>
      </c>
      <c r="L158" s="131"/>
      <c r="M158" s="135"/>
      <c r="T158" s="136"/>
      <c r="V158" s="414"/>
      <c r="W158" s="424"/>
      <c r="AS158" s="132" t="s">
        <v>112</v>
      </c>
      <c r="AT158" s="132" t="s">
        <v>65</v>
      </c>
      <c r="AU158" s="13" t="s">
        <v>65</v>
      </c>
      <c r="AV158" s="13" t="s">
        <v>30</v>
      </c>
      <c r="AW158" s="13" t="s">
        <v>55</v>
      </c>
      <c r="AX158" s="132" t="s">
        <v>101</v>
      </c>
    </row>
    <row r="159" spans="2:50" s="12" customFormat="1" x14ac:dyDescent="0.2">
      <c r="B159" s="125"/>
      <c r="D159" s="126" t="s">
        <v>112</v>
      </c>
      <c r="E159" s="127" t="s">
        <v>1</v>
      </c>
      <c r="F159" s="128" t="s">
        <v>672</v>
      </c>
      <c r="H159" s="127" t="s">
        <v>1</v>
      </c>
      <c r="L159" s="125"/>
      <c r="M159" s="129"/>
      <c r="T159" s="130"/>
      <c r="V159" s="414"/>
      <c r="W159" s="424"/>
      <c r="AS159" s="127" t="s">
        <v>112</v>
      </c>
      <c r="AT159" s="127" t="s">
        <v>65</v>
      </c>
      <c r="AU159" s="12" t="s">
        <v>63</v>
      </c>
      <c r="AV159" s="12" t="s">
        <v>30</v>
      </c>
      <c r="AW159" s="12" t="s">
        <v>55</v>
      </c>
      <c r="AX159" s="127" t="s">
        <v>101</v>
      </c>
    </row>
    <row r="160" spans="2:50" s="12" customFormat="1" ht="33.75" x14ac:dyDescent="0.2">
      <c r="B160" s="125"/>
      <c r="D160" s="126" t="s">
        <v>112</v>
      </c>
      <c r="E160" s="127" t="s">
        <v>1</v>
      </c>
      <c r="F160" s="128" t="s">
        <v>666</v>
      </c>
      <c r="H160" s="127" t="s">
        <v>1</v>
      </c>
      <c r="L160" s="125"/>
      <c r="M160" s="129"/>
      <c r="T160" s="130"/>
      <c r="V160" s="414"/>
      <c r="W160" s="424"/>
      <c r="AS160" s="127" t="s">
        <v>112</v>
      </c>
      <c r="AT160" s="127" t="s">
        <v>65</v>
      </c>
      <c r="AU160" s="12" t="s">
        <v>63</v>
      </c>
      <c r="AV160" s="12" t="s">
        <v>30</v>
      </c>
      <c r="AW160" s="12" t="s">
        <v>55</v>
      </c>
      <c r="AX160" s="127" t="s">
        <v>101</v>
      </c>
    </row>
    <row r="161" spans="2:64" s="13" customFormat="1" x14ac:dyDescent="0.2">
      <c r="B161" s="131"/>
      <c r="D161" s="126" t="s">
        <v>112</v>
      </c>
      <c r="E161" s="132" t="s">
        <v>1</v>
      </c>
      <c r="F161" s="133" t="s">
        <v>693</v>
      </c>
      <c r="H161" s="134">
        <v>5.258</v>
      </c>
      <c r="L161" s="131"/>
      <c r="M161" s="135"/>
      <c r="T161" s="136"/>
      <c r="V161" s="414"/>
      <c r="W161" s="424"/>
      <c r="AS161" s="132" t="s">
        <v>112</v>
      </c>
      <c r="AT161" s="132" t="s">
        <v>65</v>
      </c>
      <c r="AU161" s="13" t="s">
        <v>65</v>
      </c>
      <c r="AV161" s="13" t="s">
        <v>30</v>
      </c>
      <c r="AW161" s="13" t="s">
        <v>55</v>
      </c>
      <c r="AX161" s="132" t="s">
        <v>101</v>
      </c>
    </row>
    <row r="162" spans="2:64" s="14" customFormat="1" x14ac:dyDescent="0.2">
      <c r="B162" s="137"/>
      <c r="D162" s="126" t="s">
        <v>112</v>
      </c>
      <c r="E162" s="138" t="s">
        <v>1</v>
      </c>
      <c r="F162" s="139" t="s">
        <v>127</v>
      </c>
      <c r="H162" s="140">
        <v>444.584</v>
      </c>
      <c r="L162" s="137"/>
      <c r="M162" s="141"/>
      <c r="T162" s="142"/>
      <c r="V162" s="414"/>
      <c r="W162" s="424"/>
      <c r="AS162" s="138" t="s">
        <v>112</v>
      </c>
      <c r="AT162" s="138" t="s">
        <v>65</v>
      </c>
      <c r="AU162" s="14" t="s">
        <v>108</v>
      </c>
      <c r="AV162" s="14" t="s">
        <v>30</v>
      </c>
      <c r="AW162" s="14" t="s">
        <v>63</v>
      </c>
      <c r="AX162" s="138" t="s">
        <v>101</v>
      </c>
    </row>
    <row r="163" spans="2:64" s="14" customFormat="1" x14ac:dyDescent="0.2">
      <c r="B163" s="137"/>
      <c r="D163" s="126"/>
      <c r="E163" s="138"/>
      <c r="F163" s="139" t="s">
        <v>1842</v>
      </c>
      <c r="H163" s="140">
        <f>H162*0.18</f>
        <v>80.025120000000001</v>
      </c>
      <c r="L163" s="137"/>
      <c r="M163" s="141"/>
      <c r="T163" s="142"/>
      <c r="V163" s="414"/>
      <c r="W163" s="424"/>
      <c r="AS163" s="138"/>
      <c r="AT163" s="138"/>
      <c r="AX163" s="138"/>
    </row>
    <row r="164" spans="2:64" s="1" customFormat="1" ht="37.9" customHeight="1" x14ac:dyDescent="0.2">
      <c r="B164" s="109"/>
      <c r="C164" s="110" t="s">
        <v>153</v>
      </c>
      <c r="D164" s="110" t="s">
        <v>103</v>
      </c>
      <c r="E164" s="111" t="s">
        <v>166</v>
      </c>
      <c r="F164" s="112" t="s">
        <v>167</v>
      </c>
      <c r="G164" s="113" t="s">
        <v>130</v>
      </c>
      <c r="H164" s="114">
        <v>2.4</v>
      </c>
      <c r="I164" s="115">
        <v>0</v>
      </c>
      <c r="J164" s="115">
        <f>ROUND(I164*H164,2)</f>
        <v>0</v>
      </c>
      <c r="K164" s="112" t="s">
        <v>107</v>
      </c>
      <c r="L164" s="28"/>
      <c r="M164" s="116"/>
      <c r="N164" s="117"/>
      <c r="O164" s="118"/>
      <c r="P164" s="118"/>
      <c r="Q164" s="118"/>
      <c r="R164" s="118"/>
      <c r="S164" s="118"/>
      <c r="T164" s="119"/>
      <c r="V164" s="414"/>
      <c r="W164" s="424"/>
      <c r="AQ164" s="120" t="s">
        <v>108</v>
      </c>
      <c r="AS164" s="120" t="s">
        <v>103</v>
      </c>
      <c r="AT164" s="120" t="s">
        <v>65</v>
      </c>
      <c r="AX164" s="17" t="s">
        <v>101</v>
      </c>
      <c r="BD164" s="121">
        <f>IF(N164="základní",J164,0)</f>
        <v>0</v>
      </c>
      <c r="BE164" s="121">
        <f>IF(N164="snížená",J164,0)</f>
        <v>0</v>
      </c>
      <c r="BF164" s="121">
        <f>IF(N164="zákl. přenesená",J164,0)</f>
        <v>0</v>
      </c>
      <c r="BG164" s="121">
        <f>IF(N164="sníž. přenesená",J164,0)</f>
        <v>0</v>
      </c>
      <c r="BH164" s="121">
        <f>IF(N164="nulová",J164,0)</f>
        <v>0</v>
      </c>
      <c r="BI164" s="17" t="s">
        <v>63</v>
      </c>
      <c r="BJ164" s="121">
        <f>ROUND(I164*H164,2)</f>
        <v>0</v>
      </c>
      <c r="BK164" s="17" t="s">
        <v>108</v>
      </c>
      <c r="BL164" s="120" t="s">
        <v>694</v>
      </c>
    </row>
    <row r="165" spans="2:64" s="1" customFormat="1" x14ac:dyDescent="0.2">
      <c r="B165" s="28"/>
      <c r="D165" s="122" t="s">
        <v>110</v>
      </c>
      <c r="F165" s="123" t="s">
        <v>169</v>
      </c>
      <c r="L165" s="28"/>
      <c r="M165" s="124"/>
      <c r="T165" s="48"/>
      <c r="V165" s="414"/>
      <c r="W165" s="424"/>
      <c r="AS165" s="17" t="s">
        <v>110</v>
      </c>
      <c r="AT165" s="17" t="s">
        <v>65</v>
      </c>
    </row>
    <row r="166" spans="2:64" s="12" customFormat="1" ht="22.5" x14ac:dyDescent="0.2">
      <c r="B166" s="125"/>
      <c r="D166" s="126" t="s">
        <v>112</v>
      </c>
      <c r="E166" s="127" t="s">
        <v>1</v>
      </c>
      <c r="F166" s="128" t="s">
        <v>170</v>
      </c>
      <c r="H166" s="127" t="s">
        <v>1</v>
      </c>
      <c r="L166" s="125"/>
      <c r="M166" s="129"/>
      <c r="T166" s="130"/>
      <c r="V166" s="414"/>
      <c r="W166" s="424"/>
      <c r="AS166" s="127" t="s">
        <v>112</v>
      </c>
      <c r="AT166" s="127" t="s">
        <v>65</v>
      </c>
      <c r="AU166" s="12" t="s">
        <v>63</v>
      </c>
      <c r="AV166" s="12" t="s">
        <v>30</v>
      </c>
      <c r="AW166" s="12" t="s">
        <v>55</v>
      </c>
      <c r="AX166" s="127" t="s">
        <v>101</v>
      </c>
    </row>
    <row r="167" spans="2:64" s="13" customFormat="1" x14ac:dyDescent="0.2">
      <c r="B167" s="131"/>
      <c r="D167" s="126" t="s">
        <v>112</v>
      </c>
      <c r="E167" s="132" t="s">
        <v>1</v>
      </c>
      <c r="F167" s="133" t="s">
        <v>695</v>
      </c>
      <c r="H167" s="134">
        <v>2.4</v>
      </c>
      <c r="L167" s="131"/>
      <c r="M167" s="135"/>
      <c r="T167" s="136"/>
      <c r="V167" s="414"/>
      <c r="W167" s="424"/>
      <c r="AS167" s="132" t="s">
        <v>112</v>
      </c>
      <c r="AT167" s="132" t="s">
        <v>65</v>
      </c>
      <c r="AU167" s="13" t="s">
        <v>65</v>
      </c>
      <c r="AV167" s="13" t="s">
        <v>30</v>
      </c>
      <c r="AW167" s="13" t="s">
        <v>63</v>
      </c>
      <c r="AX167" s="132" t="s">
        <v>101</v>
      </c>
    </row>
    <row r="168" spans="2:64" s="1" customFormat="1" ht="37.9" customHeight="1" x14ac:dyDescent="0.2">
      <c r="B168" s="109"/>
      <c r="C168" s="110" t="s">
        <v>165</v>
      </c>
      <c r="D168" s="110" t="s">
        <v>103</v>
      </c>
      <c r="E168" s="111" t="s">
        <v>172</v>
      </c>
      <c r="F168" s="112" t="s">
        <v>173</v>
      </c>
      <c r="G168" s="113" t="s">
        <v>174</v>
      </c>
      <c r="H168" s="114">
        <f>1583.421*0.18</f>
        <v>285.01578000000001</v>
      </c>
      <c r="I168" s="115">
        <v>0</v>
      </c>
      <c r="J168" s="115">
        <f>ROUND(I168*H168,2)</f>
        <v>0</v>
      </c>
      <c r="K168" s="112" t="s">
        <v>107</v>
      </c>
      <c r="L168" s="28"/>
      <c r="M168" s="116"/>
      <c r="N168" s="117"/>
      <c r="O168" s="118"/>
      <c r="P168" s="118"/>
      <c r="Q168" s="118"/>
      <c r="R168" s="118"/>
      <c r="S168" s="118"/>
      <c r="T168" s="119"/>
      <c r="V168" s="414"/>
      <c r="W168" s="424"/>
      <c r="AQ168" s="120" t="s">
        <v>108</v>
      </c>
      <c r="AS168" s="120" t="s">
        <v>103</v>
      </c>
      <c r="AT168" s="120" t="s">
        <v>65</v>
      </c>
      <c r="AX168" s="17" t="s">
        <v>101</v>
      </c>
      <c r="BD168" s="121">
        <f>IF(N168="základní",J168,0)</f>
        <v>0</v>
      </c>
      <c r="BE168" s="121">
        <f>IF(N168="snížená",J168,0)</f>
        <v>0</v>
      </c>
      <c r="BF168" s="121">
        <f>IF(N168="zákl. přenesená",J168,0)</f>
        <v>0</v>
      </c>
      <c r="BG168" s="121">
        <f>IF(N168="sníž. přenesená",J168,0)</f>
        <v>0</v>
      </c>
      <c r="BH168" s="121">
        <f>IF(N168="nulová",J168,0)</f>
        <v>0</v>
      </c>
      <c r="BI168" s="17" t="s">
        <v>63</v>
      </c>
      <c r="BJ168" s="121">
        <f>ROUND(I168*H168,2)</f>
        <v>0</v>
      </c>
      <c r="BK168" s="17" t="s">
        <v>108</v>
      </c>
      <c r="BL168" s="120" t="s">
        <v>696</v>
      </c>
    </row>
    <row r="169" spans="2:64" s="1" customFormat="1" x14ac:dyDescent="0.2">
      <c r="B169" s="28"/>
      <c r="D169" s="122" t="s">
        <v>110</v>
      </c>
      <c r="F169" s="123" t="s">
        <v>176</v>
      </c>
      <c r="L169" s="28"/>
      <c r="M169" s="124"/>
      <c r="T169" s="48"/>
      <c r="V169" s="414"/>
      <c r="W169" s="424"/>
      <c r="AS169" s="17" t="s">
        <v>110</v>
      </c>
      <c r="AT169" s="17" t="s">
        <v>65</v>
      </c>
    </row>
    <row r="170" spans="2:64" s="12" customFormat="1" x14ac:dyDescent="0.2">
      <c r="B170" s="125"/>
      <c r="D170" s="126" t="s">
        <v>112</v>
      </c>
      <c r="E170" s="127" t="s">
        <v>1</v>
      </c>
      <c r="F170" s="128" t="s">
        <v>177</v>
      </c>
      <c r="H170" s="127" t="s">
        <v>1</v>
      </c>
      <c r="L170" s="125"/>
      <c r="M170" s="129"/>
      <c r="T170" s="130"/>
      <c r="V170" s="414"/>
      <c r="W170" s="424"/>
      <c r="AS170" s="127" t="s">
        <v>112</v>
      </c>
      <c r="AT170" s="127" t="s">
        <v>65</v>
      </c>
      <c r="AU170" s="12" t="s">
        <v>63</v>
      </c>
      <c r="AV170" s="12" t="s">
        <v>30</v>
      </c>
      <c r="AW170" s="12" t="s">
        <v>55</v>
      </c>
      <c r="AX170" s="127" t="s">
        <v>101</v>
      </c>
    </row>
    <row r="171" spans="2:64" s="13" customFormat="1" x14ac:dyDescent="0.2">
      <c r="B171" s="131"/>
      <c r="D171" s="126" t="s">
        <v>112</v>
      </c>
      <c r="E171" s="132" t="s">
        <v>1</v>
      </c>
      <c r="F171" s="133" t="s">
        <v>697</v>
      </c>
      <c r="H171" s="134">
        <v>1350.1610000000001</v>
      </c>
      <c r="L171" s="131"/>
      <c r="M171" s="135"/>
      <c r="T171" s="136"/>
      <c r="V171" s="414"/>
      <c r="W171" s="424"/>
      <c r="AS171" s="132" t="s">
        <v>112</v>
      </c>
      <c r="AT171" s="132" t="s">
        <v>65</v>
      </c>
      <c r="AU171" s="13" t="s">
        <v>65</v>
      </c>
      <c r="AV171" s="13" t="s">
        <v>30</v>
      </c>
      <c r="AW171" s="13" t="s">
        <v>55</v>
      </c>
      <c r="AX171" s="132" t="s">
        <v>101</v>
      </c>
    </row>
    <row r="172" spans="2:64" s="13" customFormat="1" x14ac:dyDescent="0.2">
      <c r="B172" s="131"/>
      <c r="D172" s="126" t="s">
        <v>112</v>
      </c>
      <c r="E172" s="132" t="s">
        <v>1</v>
      </c>
      <c r="F172" s="133" t="s">
        <v>698</v>
      </c>
      <c r="H172" s="134">
        <v>16.302</v>
      </c>
      <c r="L172" s="131"/>
      <c r="M172" s="135"/>
      <c r="T172" s="136"/>
      <c r="V172" s="414"/>
      <c r="W172" s="424"/>
      <c r="AS172" s="132" t="s">
        <v>112</v>
      </c>
      <c r="AT172" s="132" t="s">
        <v>65</v>
      </c>
      <c r="AU172" s="13" t="s">
        <v>65</v>
      </c>
      <c r="AV172" s="13" t="s">
        <v>30</v>
      </c>
      <c r="AW172" s="13" t="s">
        <v>55</v>
      </c>
      <c r="AX172" s="132" t="s">
        <v>101</v>
      </c>
    </row>
    <row r="173" spans="2:64" s="13" customFormat="1" x14ac:dyDescent="0.2">
      <c r="B173" s="131"/>
      <c r="D173" s="126" t="s">
        <v>112</v>
      </c>
      <c r="E173" s="132" t="s">
        <v>1</v>
      </c>
      <c r="F173" s="133" t="s">
        <v>699</v>
      </c>
      <c r="H173" s="134">
        <v>51.606000000000002</v>
      </c>
      <c r="L173" s="131"/>
      <c r="M173" s="135"/>
      <c r="T173" s="136"/>
      <c r="V173" s="414"/>
      <c r="W173" s="424"/>
      <c r="AS173" s="132" t="s">
        <v>112</v>
      </c>
      <c r="AT173" s="132" t="s">
        <v>65</v>
      </c>
      <c r="AU173" s="13" t="s">
        <v>65</v>
      </c>
      <c r="AV173" s="13" t="s">
        <v>30</v>
      </c>
      <c r="AW173" s="13" t="s">
        <v>55</v>
      </c>
      <c r="AX173" s="132" t="s">
        <v>101</v>
      </c>
    </row>
    <row r="174" spans="2:64" s="13" customFormat="1" x14ac:dyDescent="0.2">
      <c r="B174" s="131"/>
      <c r="D174" s="126" t="s">
        <v>112</v>
      </c>
      <c r="E174" s="132" t="s">
        <v>1</v>
      </c>
      <c r="F174" s="133" t="s">
        <v>700</v>
      </c>
      <c r="H174" s="134">
        <v>71.567999999999998</v>
      </c>
      <c r="L174" s="131"/>
      <c r="M174" s="135"/>
      <c r="T174" s="136"/>
      <c r="V174" s="414"/>
      <c r="W174" s="424"/>
      <c r="AS174" s="132" t="s">
        <v>112</v>
      </c>
      <c r="AT174" s="132" t="s">
        <v>65</v>
      </c>
      <c r="AU174" s="13" t="s">
        <v>65</v>
      </c>
      <c r="AV174" s="13" t="s">
        <v>30</v>
      </c>
      <c r="AW174" s="13" t="s">
        <v>55</v>
      </c>
      <c r="AX174" s="132" t="s">
        <v>101</v>
      </c>
    </row>
    <row r="175" spans="2:64" s="13" customFormat="1" x14ac:dyDescent="0.2">
      <c r="B175" s="131"/>
      <c r="D175" s="126" t="s">
        <v>112</v>
      </c>
      <c r="E175" s="132" t="s">
        <v>1</v>
      </c>
      <c r="F175" s="133" t="s">
        <v>701</v>
      </c>
      <c r="H175" s="134">
        <v>59.984000000000002</v>
      </c>
      <c r="L175" s="131"/>
      <c r="M175" s="135"/>
      <c r="T175" s="136"/>
      <c r="V175" s="414"/>
      <c r="W175" s="424"/>
      <c r="AS175" s="132" t="s">
        <v>112</v>
      </c>
      <c r="AT175" s="132" t="s">
        <v>65</v>
      </c>
      <c r="AU175" s="13" t="s">
        <v>65</v>
      </c>
      <c r="AV175" s="13" t="s">
        <v>30</v>
      </c>
      <c r="AW175" s="13" t="s">
        <v>55</v>
      </c>
      <c r="AX175" s="132" t="s">
        <v>101</v>
      </c>
    </row>
    <row r="176" spans="2:64" s="13" customFormat="1" x14ac:dyDescent="0.2">
      <c r="B176" s="131"/>
      <c r="D176" s="126" t="s">
        <v>112</v>
      </c>
      <c r="E176" s="132" t="s">
        <v>1</v>
      </c>
      <c r="F176" s="133" t="s">
        <v>702</v>
      </c>
      <c r="H176" s="134">
        <v>33.799999999999997</v>
      </c>
      <c r="L176" s="131"/>
      <c r="M176" s="135"/>
      <c r="T176" s="136"/>
      <c r="V176" s="414"/>
      <c r="W176" s="424"/>
      <c r="AS176" s="132" t="s">
        <v>112</v>
      </c>
      <c r="AT176" s="132" t="s">
        <v>65</v>
      </c>
      <c r="AU176" s="13" t="s">
        <v>65</v>
      </c>
      <c r="AV176" s="13" t="s">
        <v>30</v>
      </c>
      <c r="AW176" s="13" t="s">
        <v>55</v>
      </c>
      <c r="AX176" s="132" t="s">
        <v>101</v>
      </c>
    </row>
    <row r="177" spans="2:64" s="14" customFormat="1" x14ac:dyDescent="0.2">
      <c r="B177" s="137"/>
      <c r="D177" s="126" t="s">
        <v>112</v>
      </c>
      <c r="E177" s="138" t="s">
        <v>1</v>
      </c>
      <c r="F177" s="139" t="s">
        <v>127</v>
      </c>
      <c r="H177" s="140">
        <v>1583.421</v>
      </c>
      <c r="L177" s="137"/>
      <c r="M177" s="141"/>
      <c r="T177" s="142"/>
      <c r="V177" s="414"/>
      <c r="W177" s="424"/>
      <c r="AS177" s="138" t="s">
        <v>112</v>
      </c>
      <c r="AT177" s="138" t="s">
        <v>65</v>
      </c>
      <c r="AU177" s="14" t="s">
        <v>108</v>
      </c>
      <c r="AV177" s="14" t="s">
        <v>30</v>
      </c>
      <c r="AW177" s="14" t="s">
        <v>63</v>
      </c>
      <c r="AX177" s="138" t="s">
        <v>101</v>
      </c>
    </row>
    <row r="178" spans="2:64" s="14" customFormat="1" x14ac:dyDescent="0.2">
      <c r="B178" s="137"/>
      <c r="D178" s="126"/>
      <c r="E178" s="138"/>
      <c r="F178" s="139" t="s">
        <v>1842</v>
      </c>
      <c r="H178" s="140">
        <f>H177*0.18</f>
        <v>285.01578000000001</v>
      </c>
      <c r="L178" s="137"/>
      <c r="M178" s="141"/>
      <c r="T178" s="142"/>
      <c r="V178" s="414"/>
      <c r="W178" s="424"/>
      <c r="AS178" s="138"/>
      <c r="AT178" s="138"/>
      <c r="AX178" s="138"/>
    </row>
    <row r="179" spans="2:64" s="1" customFormat="1" ht="44.25" customHeight="1" x14ac:dyDescent="0.2">
      <c r="B179" s="109"/>
      <c r="C179" s="110" t="s">
        <v>171</v>
      </c>
      <c r="D179" s="110" t="s">
        <v>103</v>
      </c>
      <c r="E179" s="111" t="s">
        <v>181</v>
      </c>
      <c r="F179" s="112" t="s">
        <v>182</v>
      </c>
      <c r="G179" s="113" t="s">
        <v>174</v>
      </c>
      <c r="H179" s="114">
        <f>1583.421*0.18</f>
        <v>285.01578000000001</v>
      </c>
      <c r="I179" s="115">
        <v>0</v>
      </c>
      <c r="J179" s="115">
        <f>ROUND(I179*H179,2)</f>
        <v>0</v>
      </c>
      <c r="K179" s="112" t="s">
        <v>107</v>
      </c>
      <c r="L179" s="28"/>
      <c r="M179" s="116"/>
      <c r="N179" s="117"/>
      <c r="O179" s="118"/>
      <c r="P179" s="118"/>
      <c r="Q179" s="118"/>
      <c r="R179" s="118"/>
      <c r="S179" s="118"/>
      <c r="T179" s="119"/>
      <c r="V179" s="414"/>
      <c r="W179" s="424"/>
      <c r="AQ179" s="120" t="s">
        <v>108</v>
      </c>
      <c r="AS179" s="120" t="s">
        <v>103</v>
      </c>
      <c r="AT179" s="120" t="s">
        <v>65</v>
      </c>
      <c r="AX179" s="17" t="s">
        <v>101</v>
      </c>
      <c r="BD179" s="121">
        <f>IF(N179="základní",J179,0)</f>
        <v>0</v>
      </c>
      <c r="BE179" s="121">
        <f>IF(N179="snížená",J179,0)</f>
        <v>0</v>
      </c>
      <c r="BF179" s="121">
        <f>IF(N179="zákl. přenesená",J179,0)</f>
        <v>0</v>
      </c>
      <c r="BG179" s="121">
        <f>IF(N179="sníž. přenesená",J179,0)</f>
        <v>0</v>
      </c>
      <c r="BH179" s="121">
        <f>IF(N179="nulová",J179,0)</f>
        <v>0</v>
      </c>
      <c r="BI179" s="17" t="s">
        <v>63</v>
      </c>
      <c r="BJ179" s="121">
        <f>ROUND(I179*H179,2)</f>
        <v>0</v>
      </c>
      <c r="BK179" s="17" t="s">
        <v>108</v>
      </c>
      <c r="BL179" s="120" t="s">
        <v>703</v>
      </c>
    </row>
    <row r="180" spans="2:64" s="1" customFormat="1" x14ac:dyDescent="0.2">
      <c r="B180" s="28"/>
      <c r="D180" s="122" t="s">
        <v>110</v>
      </c>
      <c r="F180" s="123" t="s">
        <v>184</v>
      </c>
      <c r="L180" s="28"/>
      <c r="M180" s="124"/>
      <c r="T180" s="48"/>
      <c r="V180" s="414"/>
      <c r="W180" s="424"/>
      <c r="AS180" s="17" t="s">
        <v>110</v>
      </c>
      <c r="AT180" s="17" t="s">
        <v>65</v>
      </c>
    </row>
    <row r="181" spans="2:64" s="1" customFormat="1" ht="62.65" customHeight="1" x14ac:dyDescent="0.2">
      <c r="B181" s="109"/>
      <c r="C181" s="110" t="s">
        <v>180</v>
      </c>
      <c r="D181" s="110" t="s">
        <v>103</v>
      </c>
      <c r="E181" s="111" t="s">
        <v>186</v>
      </c>
      <c r="F181" s="112" t="s">
        <v>187</v>
      </c>
      <c r="G181" s="113" t="s">
        <v>130</v>
      </c>
      <c r="H181" s="114">
        <f>1105.588*0.18</f>
        <v>199.00583999999998</v>
      </c>
      <c r="I181" s="115">
        <v>0</v>
      </c>
      <c r="J181" s="115">
        <f>ROUND(I181*H181,2)</f>
        <v>0</v>
      </c>
      <c r="K181" s="112" t="s">
        <v>107</v>
      </c>
      <c r="L181" s="28"/>
      <c r="M181" s="116"/>
      <c r="N181" s="117"/>
      <c r="O181" s="118"/>
      <c r="P181" s="118"/>
      <c r="Q181" s="118"/>
      <c r="R181" s="118"/>
      <c r="S181" s="118"/>
      <c r="T181" s="119"/>
      <c r="V181" s="414"/>
      <c r="W181" s="424"/>
      <c r="AQ181" s="120" t="s">
        <v>108</v>
      </c>
      <c r="AS181" s="120" t="s">
        <v>103</v>
      </c>
      <c r="AT181" s="120" t="s">
        <v>65</v>
      </c>
      <c r="AX181" s="17" t="s">
        <v>101</v>
      </c>
      <c r="BD181" s="121">
        <f>IF(N181="základní",J181,0)</f>
        <v>0</v>
      </c>
      <c r="BE181" s="121">
        <f>IF(N181="snížená",J181,0)</f>
        <v>0</v>
      </c>
      <c r="BF181" s="121">
        <f>IF(N181="zákl. přenesená",J181,0)</f>
        <v>0</v>
      </c>
      <c r="BG181" s="121">
        <f>IF(N181="sníž. přenesená",J181,0)</f>
        <v>0</v>
      </c>
      <c r="BH181" s="121">
        <f>IF(N181="nulová",J181,0)</f>
        <v>0</v>
      </c>
      <c r="BI181" s="17" t="s">
        <v>63</v>
      </c>
      <c r="BJ181" s="121">
        <f>ROUND(I181*H181,2)</f>
        <v>0</v>
      </c>
      <c r="BK181" s="17" t="s">
        <v>108</v>
      </c>
      <c r="BL181" s="120" t="s">
        <v>704</v>
      </c>
    </row>
    <row r="182" spans="2:64" s="1" customFormat="1" x14ac:dyDescent="0.2">
      <c r="B182" s="28"/>
      <c r="D182" s="122" t="s">
        <v>110</v>
      </c>
      <c r="F182" s="123" t="s">
        <v>189</v>
      </c>
      <c r="L182" s="28"/>
      <c r="M182" s="124"/>
      <c r="T182" s="48"/>
      <c r="V182" s="414"/>
      <c r="W182" s="424"/>
      <c r="AS182" s="17" t="s">
        <v>110</v>
      </c>
      <c r="AT182" s="17" t="s">
        <v>65</v>
      </c>
    </row>
    <row r="183" spans="2:64" s="13" customFormat="1" x14ac:dyDescent="0.2">
      <c r="B183" s="131"/>
      <c r="D183" s="126" t="s">
        <v>112</v>
      </c>
      <c r="E183" s="132" t="s">
        <v>1</v>
      </c>
      <c r="F183" s="133" t="s">
        <v>705</v>
      </c>
      <c r="H183" s="134">
        <v>363.75099999999998</v>
      </c>
      <c r="L183" s="131"/>
      <c r="M183" s="135"/>
      <c r="T183" s="136"/>
      <c r="V183" s="414"/>
      <c r="W183" s="424"/>
      <c r="AS183" s="132" t="s">
        <v>112</v>
      </c>
      <c r="AT183" s="132" t="s">
        <v>65</v>
      </c>
      <c r="AU183" s="13" t="s">
        <v>65</v>
      </c>
      <c r="AV183" s="13" t="s">
        <v>30</v>
      </c>
      <c r="AW183" s="13" t="s">
        <v>55</v>
      </c>
      <c r="AX183" s="132" t="s">
        <v>101</v>
      </c>
    </row>
    <row r="184" spans="2:64" s="13" customFormat="1" x14ac:dyDescent="0.2">
      <c r="B184" s="131"/>
      <c r="D184" s="126" t="s">
        <v>112</v>
      </c>
      <c r="E184" s="132" t="s">
        <v>1</v>
      </c>
      <c r="F184" s="133" t="s">
        <v>706</v>
      </c>
      <c r="H184" s="134">
        <v>549.27300000000002</v>
      </c>
      <c r="L184" s="131"/>
      <c r="M184" s="135"/>
      <c r="T184" s="136"/>
      <c r="V184" s="414"/>
      <c r="W184" s="424"/>
      <c r="AS184" s="132" t="s">
        <v>112</v>
      </c>
      <c r="AT184" s="132" t="s">
        <v>65</v>
      </c>
      <c r="AU184" s="13" t="s">
        <v>65</v>
      </c>
      <c r="AV184" s="13" t="s">
        <v>30</v>
      </c>
      <c r="AW184" s="13" t="s">
        <v>55</v>
      </c>
      <c r="AX184" s="132" t="s">
        <v>101</v>
      </c>
    </row>
    <row r="185" spans="2:64" s="13" customFormat="1" x14ac:dyDescent="0.2">
      <c r="B185" s="131"/>
      <c r="D185" s="126" t="s">
        <v>112</v>
      </c>
      <c r="E185" s="132" t="s">
        <v>1</v>
      </c>
      <c r="F185" s="133" t="s">
        <v>707</v>
      </c>
      <c r="H185" s="134">
        <v>192.56399999999999</v>
      </c>
      <c r="L185" s="131"/>
      <c r="M185" s="135"/>
      <c r="T185" s="136"/>
      <c r="V185" s="414"/>
      <c r="W185" s="424"/>
      <c r="AS185" s="132" t="s">
        <v>112</v>
      </c>
      <c r="AT185" s="132" t="s">
        <v>65</v>
      </c>
      <c r="AU185" s="13" t="s">
        <v>65</v>
      </c>
      <c r="AV185" s="13" t="s">
        <v>30</v>
      </c>
      <c r="AW185" s="13" t="s">
        <v>55</v>
      </c>
      <c r="AX185" s="132" t="s">
        <v>101</v>
      </c>
    </row>
    <row r="186" spans="2:64" s="14" customFormat="1" x14ac:dyDescent="0.2">
      <c r="B186" s="137"/>
      <c r="D186" s="126" t="s">
        <v>112</v>
      </c>
      <c r="E186" s="138" t="s">
        <v>1</v>
      </c>
      <c r="F186" s="139" t="s">
        <v>127</v>
      </c>
      <c r="H186" s="140">
        <v>1105.588</v>
      </c>
      <c r="L186" s="137"/>
      <c r="M186" s="141"/>
      <c r="T186" s="142"/>
      <c r="V186" s="414"/>
      <c r="W186" s="424"/>
      <c r="AS186" s="138" t="s">
        <v>112</v>
      </c>
      <c r="AT186" s="138" t="s">
        <v>65</v>
      </c>
      <c r="AU186" s="14" t="s">
        <v>108</v>
      </c>
      <c r="AV186" s="14" t="s">
        <v>30</v>
      </c>
      <c r="AW186" s="14" t="s">
        <v>63</v>
      </c>
      <c r="AX186" s="138" t="s">
        <v>101</v>
      </c>
    </row>
    <row r="187" spans="2:64" s="14" customFormat="1" x14ac:dyDescent="0.2">
      <c r="B187" s="137"/>
      <c r="D187" s="126"/>
      <c r="E187" s="138"/>
      <c r="F187" s="139" t="s">
        <v>1842</v>
      </c>
      <c r="H187" s="140">
        <f>H186*0.18</f>
        <v>199.00583999999998</v>
      </c>
      <c r="L187" s="137"/>
      <c r="M187" s="141"/>
      <c r="T187" s="142"/>
      <c r="V187" s="414"/>
      <c r="W187" s="424"/>
      <c r="AS187" s="138"/>
      <c r="AT187" s="138"/>
      <c r="AX187" s="138"/>
    </row>
    <row r="188" spans="2:64" s="1" customFormat="1" ht="62.65" customHeight="1" x14ac:dyDescent="0.2">
      <c r="B188" s="109"/>
      <c r="C188" s="110" t="s">
        <v>185</v>
      </c>
      <c r="D188" s="110" t="s">
        <v>103</v>
      </c>
      <c r="E188" s="111" t="s">
        <v>194</v>
      </c>
      <c r="F188" s="112" t="s">
        <v>195</v>
      </c>
      <c r="G188" s="113" t="s">
        <v>130</v>
      </c>
      <c r="H188" s="114">
        <f>444.584*0.18</f>
        <v>80.025120000000001</v>
      </c>
      <c r="I188" s="115">
        <v>0</v>
      </c>
      <c r="J188" s="115">
        <f>ROUND(I188*H188,2)</f>
        <v>0</v>
      </c>
      <c r="K188" s="112" t="s">
        <v>107</v>
      </c>
      <c r="L188" s="28"/>
      <c r="M188" s="116"/>
      <c r="N188" s="117"/>
      <c r="O188" s="118"/>
      <c r="P188" s="118"/>
      <c r="Q188" s="118"/>
      <c r="R188" s="118"/>
      <c r="S188" s="118"/>
      <c r="T188" s="119"/>
      <c r="V188" s="414"/>
      <c r="W188" s="424"/>
      <c r="AQ188" s="120" t="s">
        <v>108</v>
      </c>
      <c r="AS188" s="120" t="s">
        <v>103</v>
      </c>
      <c r="AT188" s="120" t="s">
        <v>65</v>
      </c>
      <c r="AX188" s="17" t="s">
        <v>101</v>
      </c>
      <c r="BD188" s="121">
        <f>IF(N188="základní",J188,0)</f>
        <v>0</v>
      </c>
      <c r="BE188" s="121">
        <f>IF(N188="snížená",J188,0)</f>
        <v>0</v>
      </c>
      <c r="BF188" s="121">
        <f>IF(N188="zákl. přenesená",J188,0)</f>
        <v>0</v>
      </c>
      <c r="BG188" s="121">
        <f>IF(N188="sníž. přenesená",J188,0)</f>
        <v>0</v>
      </c>
      <c r="BH188" s="121">
        <f>IF(N188="nulová",J188,0)</f>
        <v>0</v>
      </c>
      <c r="BI188" s="17" t="s">
        <v>63</v>
      </c>
      <c r="BJ188" s="121">
        <f>ROUND(I188*H188,2)</f>
        <v>0</v>
      </c>
      <c r="BK188" s="17" t="s">
        <v>108</v>
      </c>
      <c r="BL188" s="120" t="s">
        <v>708</v>
      </c>
    </row>
    <row r="189" spans="2:64" s="1" customFormat="1" x14ac:dyDescent="0.2">
      <c r="B189" s="28"/>
      <c r="D189" s="122" t="s">
        <v>110</v>
      </c>
      <c r="F189" s="123" t="s">
        <v>197</v>
      </c>
      <c r="L189" s="28"/>
      <c r="M189" s="124"/>
      <c r="T189" s="48"/>
      <c r="V189" s="414"/>
      <c r="W189" s="424"/>
      <c r="AS189" s="17" t="s">
        <v>110</v>
      </c>
      <c r="AT189" s="17" t="s">
        <v>65</v>
      </c>
    </row>
    <row r="190" spans="2:64" s="1" customFormat="1" ht="62.65" customHeight="1" x14ac:dyDescent="0.2">
      <c r="B190" s="109"/>
      <c r="C190" s="110" t="s">
        <v>193</v>
      </c>
      <c r="D190" s="110" t="s">
        <v>103</v>
      </c>
      <c r="E190" s="111" t="s">
        <v>199</v>
      </c>
      <c r="F190" s="112" t="s">
        <v>200</v>
      </c>
      <c r="G190" s="113" t="s">
        <v>130</v>
      </c>
      <c r="H190" s="114">
        <f>363.751*0.18</f>
        <v>65.475179999999995</v>
      </c>
      <c r="I190" s="115">
        <v>0</v>
      </c>
      <c r="J190" s="115">
        <f>ROUND(I190*H190,2)</f>
        <v>0</v>
      </c>
      <c r="K190" s="112" t="s">
        <v>107</v>
      </c>
      <c r="L190" s="28"/>
      <c r="M190" s="116"/>
      <c r="N190" s="117"/>
      <c r="O190" s="118"/>
      <c r="P190" s="118"/>
      <c r="Q190" s="118"/>
      <c r="R190" s="118"/>
      <c r="S190" s="118"/>
      <c r="T190" s="119"/>
      <c r="V190" s="414"/>
      <c r="W190" s="424"/>
      <c r="AQ190" s="120" t="s">
        <v>108</v>
      </c>
      <c r="AS190" s="120" t="s">
        <v>103</v>
      </c>
      <c r="AT190" s="120" t="s">
        <v>65</v>
      </c>
      <c r="AX190" s="17" t="s">
        <v>101</v>
      </c>
      <c r="BD190" s="121">
        <f>IF(N190="základní",J190,0)</f>
        <v>0</v>
      </c>
      <c r="BE190" s="121">
        <f>IF(N190="snížená",J190,0)</f>
        <v>0</v>
      </c>
      <c r="BF190" s="121">
        <f>IF(N190="zákl. přenesená",J190,0)</f>
        <v>0</v>
      </c>
      <c r="BG190" s="121">
        <f>IF(N190="sníž. přenesená",J190,0)</f>
        <v>0</v>
      </c>
      <c r="BH190" s="121">
        <f>IF(N190="nulová",J190,0)</f>
        <v>0</v>
      </c>
      <c r="BI190" s="17" t="s">
        <v>63</v>
      </c>
      <c r="BJ190" s="121">
        <f>ROUND(I190*H190,2)</f>
        <v>0</v>
      </c>
      <c r="BK190" s="17" t="s">
        <v>108</v>
      </c>
      <c r="BL190" s="120" t="s">
        <v>709</v>
      </c>
    </row>
    <row r="191" spans="2:64" s="1" customFormat="1" x14ac:dyDescent="0.2">
      <c r="B191" s="28"/>
      <c r="D191" s="122" t="s">
        <v>110</v>
      </c>
      <c r="F191" s="123" t="s">
        <v>202</v>
      </c>
      <c r="L191" s="28"/>
      <c r="M191" s="124"/>
      <c r="T191" s="48"/>
      <c r="V191" s="414"/>
      <c r="W191" s="424"/>
      <c r="AS191" s="17" t="s">
        <v>110</v>
      </c>
      <c r="AT191" s="17" t="s">
        <v>65</v>
      </c>
    </row>
    <row r="192" spans="2:64" s="1" customFormat="1" ht="66.75" customHeight="1" x14ac:dyDescent="0.2">
      <c r="B192" s="109"/>
      <c r="C192" s="110" t="s">
        <v>198</v>
      </c>
      <c r="D192" s="110" t="s">
        <v>103</v>
      </c>
      <c r="E192" s="111" t="s">
        <v>204</v>
      </c>
      <c r="F192" s="112" t="s">
        <v>205</v>
      </c>
      <c r="G192" s="113" t="s">
        <v>130</v>
      </c>
      <c r="H192" s="114">
        <f>1091.253*0.18</f>
        <v>196.42553999999998</v>
      </c>
      <c r="I192" s="115">
        <v>0</v>
      </c>
      <c r="J192" s="115">
        <f>ROUND(I192*H192,2)</f>
        <v>0</v>
      </c>
      <c r="K192" s="112" t="s">
        <v>107</v>
      </c>
      <c r="L192" s="28"/>
      <c r="M192" s="116"/>
      <c r="N192" s="117"/>
      <c r="O192" s="118"/>
      <c r="P192" s="118"/>
      <c r="Q192" s="118"/>
      <c r="R192" s="118"/>
      <c r="S192" s="118"/>
      <c r="T192" s="119"/>
      <c r="V192" s="414"/>
      <c r="W192" s="424"/>
      <c r="AQ192" s="120" t="s">
        <v>108</v>
      </c>
      <c r="AS192" s="120" t="s">
        <v>103</v>
      </c>
      <c r="AT192" s="120" t="s">
        <v>65</v>
      </c>
      <c r="AX192" s="17" t="s">
        <v>101</v>
      </c>
      <c r="BD192" s="121">
        <f>IF(N192="základní",J192,0)</f>
        <v>0</v>
      </c>
      <c r="BE192" s="121">
        <f>IF(N192="snížená",J192,0)</f>
        <v>0</v>
      </c>
      <c r="BF192" s="121">
        <f>IF(N192="zákl. přenesená",J192,0)</f>
        <v>0</v>
      </c>
      <c r="BG192" s="121">
        <f>IF(N192="sníž. přenesená",J192,0)</f>
        <v>0</v>
      </c>
      <c r="BH192" s="121">
        <f>IF(N192="nulová",J192,0)</f>
        <v>0</v>
      </c>
      <c r="BI192" s="17" t="s">
        <v>63</v>
      </c>
      <c r="BJ192" s="121">
        <f>ROUND(I192*H192,2)</f>
        <v>0</v>
      </c>
      <c r="BK192" s="17" t="s">
        <v>108</v>
      </c>
      <c r="BL192" s="120" t="s">
        <v>710</v>
      </c>
    </row>
    <row r="193" spans="2:64" s="1" customFormat="1" x14ac:dyDescent="0.2">
      <c r="B193" s="28"/>
      <c r="D193" s="122" t="s">
        <v>110</v>
      </c>
      <c r="F193" s="123" t="s">
        <v>207</v>
      </c>
      <c r="L193" s="28"/>
      <c r="M193" s="124"/>
      <c r="T193" s="48"/>
      <c r="V193" s="414"/>
      <c r="W193" s="424"/>
      <c r="AS193" s="17" t="s">
        <v>110</v>
      </c>
      <c r="AT193" s="17" t="s">
        <v>65</v>
      </c>
    </row>
    <row r="194" spans="2:64" s="13" customFormat="1" x14ac:dyDescent="0.2">
      <c r="B194" s="131"/>
      <c r="D194" s="126" t="s">
        <v>112</v>
      </c>
      <c r="F194" s="133" t="s">
        <v>1843</v>
      </c>
      <c r="H194" s="134">
        <f>1091.253*0.18</f>
        <v>196.42553999999998</v>
      </c>
      <c r="L194" s="131"/>
      <c r="M194" s="135"/>
      <c r="T194" s="136"/>
      <c r="V194" s="414"/>
      <c r="W194" s="424"/>
      <c r="AS194" s="132" t="s">
        <v>112</v>
      </c>
      <c r="AT194" s="132" t="s">
        <v>65</v>
      </c>
      <c r="AU194" s="13" t="s">
        <v>65</v>
      </c>
      <c r="AV194" s="13" t="s">
        <v>2</v>
      </c>
      <c r="AW194" s="13" t="s">
        <v>63</v>
      </c>
      <c r="AX194" s="132" t="s">
        <v>101</v>
      </c>
    </row>
    <row r="195" spans="2:64" s="1" customFormat="1" ht="62.65" customHeight="1" x14ac:dyDescent="0.2">
      <c r="B195" s="109"/>
      <c r="C195" s="110" t="s">
        <v>203</v>
      </c>
      <c r="D195" s="110" t="s">
        <v>103</v>
      </c>
      <c r="E195" s="111" t="s">
        <v>209</v>
      </c>
      <c r="F195" s="112" t="s">
        <v>210</v>
      </c>
      <c r="G195" s="113" t="s">
        <v>130</v>
      </c>
      <c r="H195" s="114">
        <f>444.584*0.18</f>
        <v>80.025120000000001</v>
      </c>
      <c r="I195" s="115">
        <v>0</v>
      </c>
      <c r="J195" s="115">
        <f>ROUND(I195*H195,2)</f>
        <v>0</v>
      </c>
      <c r="K195" s="112" t="s">
        <v>107</v>
      </c>
      <c r="L195" s="28"/>
      <c r="M195" s="116"/>
      <c r="N195" s="117"/>
      <c r="O195" s="118"/>
      <c r="P195" s="118"/>
      <c r="Q195" s="118"/>
      <c r="R195" s="118"/>
      <c r="S195" s="118"/>
      <c r="T195" s="119"/>
      <c r="V195" s="414"/>
      <c r="W195" s="424"/>
      <c r="AQ195" s="120" t="s">
        <v>108</v>
      </c>
      <c r="AS195" s="120" t="s">
        <v>103</v>
      </c>
      <c r="AT195" s="120" t="s">
        <v>65</v>
      </c>
      <c r="AX195" s="17" t="s">
        <v>101</v>
      </c>
      <c r="BD195" s="121">
        <f>IF(N195="základní",J195,0)</f>
        <v>0</v>
      </c>
      <c r="BE195" s="121">
        <f>IF(N195="snížená",J195,0)</f>
        <v>0</v>
      </c>
      <c r="BF195" s="121">
        <f>IF(N195="zákl. přenesená",J195,0)</f>
        <v>0</v>
      </c>
      <c r="BG195" s="121">
        <f>IF(N195="sníž. přenesená",J195,0)</f>
        <v>0</v>
      </c>
      <c r="BH195" s="121">
        <f>IF(N195="nulová",J195,0)</f>
        <v>0</v>
      </c>
      <c r="BI195" s="17" t="s">
        <v>63</v>
      </c>
      <c r="BJ195" s="121">
        <f>ROUND(I195*H195,2)</f>
        <v>0</v>
      </c>
      <c r="BK195" s="17" t="s">
        <v>108</v>
      </c>
      <c r="BL195" s="120" t="s">
        <v>711</v>
      </c>
    </row>
    <row r="196" spans="2:64" s="1" customFormat="1" x14ac:dyDescent="0.2">
      <c r="B196" s="28"/>
      <c r="D196" s="122" t="s">
        <v>110</v>
      </c>
      <c r="F196" s="123" t="s">
        <v>212</v>
      </c>
      <c r="L196" s="28"/>
      <c r="M196" s="124"/>
      <c r="T196" s="48"/>
      <c r="V196" s="414"/>
      <c r="W196" s="424"/>
      <c r="AS196" s="17" t="s">
        <v>110</v>
      </c>
      <c r="AT196" s="17" t="s">
        <v>65</v>
      </c>
    </row>
    <row r="197" spans="2:64" s="1" customFormat="1" ht="66.75" customHeight="1" x14ac:dyDescent="0.2">
      <c r="B197" s="109"/>
      <c r="C197" s="110" t="s">
        <v>208</v>
      </c>
      <c r="D197" s="110" t="s">
        <v>103</v>
      </c>
      <c r="E197" s="111" t="s">
        <v>213</v>
      </c>
      <c r="F197" s="112" t="s">
        <v>214</v>
      </c>
      <c r="G197" s="113" t="s">
        <v>130</v>
      </c>
      <c r="H197" s="114">
        <f>1333.752*0.18</f>
        <v>240.07535999999999</v>
      </c>
      <c r="I197" s="115">
        <v>0</v>
      </c>
      <c r="J197" s="115">
        <f>ROUND(I197*H197,2)</f>
        <v>0</v>
      </c>
      <c r="K197" s="112" t="s">
        <v>107</v>
      </c>
      <c r="L197" s="28"/>
      <c r="M197" s="116"/>
      <c r="N197" s="117"/>
      <c r="O197" s="118"/>
      <c r="P197" s="118"/>
      <c r="Q197" s="118"/>
      <c r="R197" s="118"/>
      <c r="S197" s="118"/>
      <c r="T197" s="119"/>
      <c r="V197" s="414"/>
      <c r="W197" s="424"/>
      <c r="AQ197" s="120" t="s">
        <v>108</v>
      </c>
      <c r="AS197" s="120" t="s">
        <v>103</v>
      </c>
      <c r="AT197" s="120" t="s">
        <v>65</v>
      </c>
      <c r="AX197" s="17" t="s">
        <v>101</v>
      </c>
      <c r="BD197" s="121">
        <f>IF(N197="základní",J197,0)</f>
        <v>0</v>
      </c>
      <c r="BE197" s="121">
        <f>IF(N197="snížená",J197,0)</f>
        <v>0</v>
      </c>
      <c r="BF197" s="121">
        <f>IF(N197="zákl. přenesená",J197,0)</f>
        <v>0</v>
      </c>
      <c r="BG197" s="121">
        <f>IF(N197="sníž. přenesená",J197,0)</f>
        <v>0</v>
      </c>
      <c r="BH197" s="121">
        <f>IF(N197="nulová",J197,0)</f>
        <v>0</v>
      </c>
      <c r="BI197" s="17" t="s">
        <v>63</v>
      </c>
      <c r="BJ197" s="121">
        <f>ROUND(I197*H197,2)</f>
        <v>0</v>
      </c>
      <c r="BK197" s="17" t="s">
        <v>108</v>
      </c>
      <c r="BL197" s="120" t="s">
        <v>712</v>
      </c>
    </row>
    <row r="198" spans="2:64" s="1" customFormat="1" x14ac:dyDescent="0.2">
      <c r="B198" s="28"/>
      <c r="D198" s="122" t="s">
        <v>110</v>
      </c>
      <c r="F198" s="123" t="s">
        <v>216</v>
      </c>
      <c r="L198" s="28"/>
      <c r="M198" s="124"/>
      <c r="T198" s="48"/>
      <c r="V198" s="414"/>
      <c r="W198" s="424"/>
      <c r="AS198" s="17" t="s">
        <v>110</v>
      </c>
      <c r="AT198" s="17" t="s">
        <v>65</v>
      </c>
    </row>
    <row r="199" spans="2:64" s="13" customFormat="1" x14ac:dyDescent="0.2">
      <c r="B199" s="131"/>
      <c r="D199" s="126" t="s">
        <v>112</v>
      </c>
      <c r="E199" s="132" t="s">
        <v>1</v>
      </c>
      <c r="F199" s="133" t="s">
        <v>1844</v>
      </c>
      <c r="H199" s="134">
        <f>1333.752*0.18</f>
        <v>240.07535999999999</v>
      </c>
      <c r="L199" s="131"/>
      <c r="M199" s="135"/>
      <c r="T199" s="136"/>
      <c r="V199" s="414"/>
      <c r="W199" s="424"/>
      <c r="AS199" s="132" t="s">
        <v>112</v>
      </c>
      <c r="AT199" s="132" t="s">
        <v>65</v>
      </c>
      <c r="AU199" s="13" t="s">
        <v>65</v>
      </c>
      <c r="AV199" s="13" t="s">
        <v>30</v>
      </c>
      <c r="AW199" s="13" t="s">
        <v>63</v>
      </c>
      <c r="AX199" s="132" t="s">
        <v>101</v>
      </c>
    </row>
    <row r="200" spans="2:64" s="1" customFormat="1" ht="44.25" customHeight="1" x14ac:dyDescent="0.2">
      <c r="B200" s="109"/>
      <c r="C200" s="110" t="s">
        <v>7</v>
      </c>
      <c r="D200" s="110" t="s">
        <v>103</v>
      </c>
      <c r="E200" s="111" t="s">
        <v>219</v>
      </c>
      <c r="F200" s="112" t="s">
        <v>220</v>
      </c>
      <c r="G200" s="113" t="s">
        <v>130</v>
      </c>
      <c r="H200" s="114">
        <f>1105.588*0.18</f>
        <v>199.00583999999998</v>
      </c>
      <c r="I200" s="115">
        <v>0</v>
      </c>
      <c r="J200" s="115">
        <f>ROUND(I200*H200,2)</f>
        <v>0</v>
      </c>
      <c r="K200" s="112" t="s">
        <v>107</v>
      </c>
      <c r="L200" s="28"/>
      <c r="M200" s="116"/>
      <c r="N200" s="117"/>
      <c r="O200" s="118"/>
      <c r="P200" s="118"/>
      <c r="Q200" s="118"/>
      <c r="R200" s="118"/>
      <c r="S200" s="118"/>
      <c r="T200" s="119"/>
      <c r="V200" s="414"/>
      <c r="W200" s="424"/>
      <c r="AQ200" s="120" t="s">
        <v>108</v>
      </c>
      <c r="AS200" s="120" t="s">
        <v>103</v>
      </c>
      <c r="AT200" s="120" t="s">
        <v>65</v>
      </c>
      <c r="AX200" s="17" t="s">
        <v>101</v>
      </c>
      <c r="BD200" s="121">
        <f>IF(N200="základní",J200,0)</f>
        <v>0</v>
      </c>
      <c r="BE200" s="121">
        <f>IF(N200="snížená",J200,0)</f>
        <v>0</v>
      </c>
      <c r="BF200" s="121">
        <f>IF(N200="zákl. přenesená",J200,0)</f>
        <v>0</v>
      </c>
      <c r="BG200" s="121">
        <f>IF(N200="sníž. přenesená",J200,0)</f>
        <v>0</v>
      </c>
      <c r="BH200" s="121">
        <f>IF(N200="nulová",J200,0)</f>
        <v>0</v>
      </c>
      <c r="BI200" s="17" t="s">
        <v>63</v>
      </c>
      <c r="BJ200" s="121">
        <f>ROUND(I200*H200,2)</f>
        <v>0</v>
      </c>
      <c r="BK200" s="17" t="s">
        <v>108</v>
      </c>
      <c r="BL200" s="120" t="s">
        <v>713</v>
      </c>
    </row>
    <row r="201" spans="2:64" s="1" customFormat="1" x14ac:dyDescent="0.2">
      <c r="B201" s="28"/>
      <c r="D201" s="122" t="s">
        <v>110</v>
      </c>
      <c r="F201" s="123" t="s">
        <v>222</v>
      </c>
      <c r="L201" s="28"/>
      <c r="M201" s="124"/>
      <c r="T201" s="48"/>
      <c r="V201" s="414"/>
      <c r="W201" s="424"/>
      <c r="AS201" s="17" t="s">
        <v>110</v>
      </c>
      <c r="AT201" s="17" t="s">
        <v>65</v>
      </c>
    </row>
    <row r="202" spans="2:64" s="13" customFormat="1" x14ac:dyDescent="0.2">
      <c r="B202" s="131"/>
      <c r="D202" s="126" t="s">
        <v>112</v>
      </c>
      <c r="E202" s="132" t="s">
        <v>1</v>
      </c>
      <c r="F202" s="133" t="s">
        <v>714</v>
      </c>
      <c r="H202" s="134">
        <v>363.75099999999998</v>
      </c>
      <c r="L202" s="131"/>
      <c r="M202" s="135"/>
      <c r="T202" s="136"/>
      <c r="V202" s="414"/>
      <c r="W202" s="424"/>
      <c r="AS202" s="132" t="s">
        <v>112</v>
      </c>
      <c r="AT202" s="132" t="s">
        <v>65</v>
      </c>
      <c r="AU202" s="13" t="s">
        <v>65</v>
      </c>
      <c r="AV202" s="13" t="s">
        <v>30</v>
      </c>
      <c r="AW202" s="13" t="s">
        <v>55</v>
      </c>
      <c r="AX202" s="132" t="s">
        <v>101</v>
      </c>
    </row>
    <row r="203" spans="2:64" s="13" customFormat="1" x14ac:dyDescent="0.2">
      <c r="B203" s="131"/>
      <c r="D203" s="126" t="s">
        <v>112</v>
      </c>
      <c r="E203" s="132" t="s">
        <v>1</v>
      </c>
      <c r="F203" s="133" t="s">
        <v>706</v>
      </c>
      <c r="H203" s="134">
        <v>549.27300000000002</v>
      </c>
      <c r="L203" s="131"/>
      <c r="M203" s="135"/>
      <c r="T203" s="136"/>
      <c r="V203" s="414"/>
      <c r="W203" s="424"/>
      <c r="AS203" s="132" t="s">
        <v>112</v>
      </c>
      <c r="AT203" s="132" t="s">
        <v>65</v>
      </c>
      <c r="AU203" s="13" t="s">
        <v>65</v>
      </c>
      <c r="AV203" s="13" t="s">
        <v>30</v>
      </c>
      <c r="AW203" s="13" t="s">
        <v>55</v>
      </c>
      <c r="AX203" s="132" t="s">
        <v>101</v>
      </c>
    </row>
    <row r="204" spans="2:64" s="13" customFormat="1" x14ac:dyDescent="0.2">
      <c r="B204" s="131"/>
      <c r="D204" s="126" t="s">
        <v>112</v>
      </c>
      <c r="E204" s="132" t="s">
        <v>1</v>
      </c>
      <c r="F204" s="133" t="s">
        <v>707</v>
      </c>
      <c r="H204" s="134">
        <v>192.56399999999999</v>
      </c>
      <c r="L204" s="131"/>
      <c r="M204" s="135"/>
      <c r="T204" s="136"/>
      <c r="V204" s="414"/>
      <c r="W204" s="424"/>
      <c r="AS204" s="132" t="s">
        <v>112</v>
      </c>
      <c r="AT204" s="132" t="s">
        <v>65</v>
      </c>
      <c r="AU204" s="13" t="s">
        <v>65</v>
      </c>
      <c r="AV204" s="13" t="s">
        <v>30</v>
      </c>
      <c r="AW204" s="13" t="s">
        <v>55</v>
      </c>
      <c r="AX204" s="132" t="s">
        <v>101</v>
      </c>
    </row>
    <row r="205" spans="2:64" s="14" customFormat="1" x14ac:dyDescent="0.2">
      <c r="B205" s="137"/>
      <c r="D205" s="126" t="s">
        <v>112</v>
      </c>
      <c r="E205" s="138" t="s">
        <v>1</v>
      </c>
      <c r="F205" s="139" t="s">
        <v>127</v>
      </c>
      <c r="H205" s="140">
        <v>1105.588</v>
      </c>
      <c r="L205" s="137"/>
      <c r="M205" s="141"/>
      <c r="T205" s="142"/>
      <c r="V205" s="414"/>
      <c r="W205" s="424"/>
      <c r="AS205" s="138" t="s">
        <v>112</v>
      </c>
      <c r="AT205" s="138" t="s">
        <v>65</v>
      </c>
      <c r="AU205" s="14" t="s">
        <v>108</v>
      </c>
      <c r="AV205" s="14" t="s">
        <v>30</v>
      </c>
      <c r="AW205" s="14" t="s">
        <v>63</v>
      </c>
      <c r="AX205" s="138" t="s">
        <v>101</v>
      </c>
    </row>
    <row r="206" spans="2:64" s="14" customFormat="1" x14ac:dyDescent="0.2">
      <c r="B206" s="137"/>
      <c r="D206" s="126"/>
      <c r="E206" s="138"/>
      <c r="F206" s="139" t="s">
        <v>1842</v>
      </c>
      <c r="H206" s="140">
        <f>H205*0.18</f>
        <v>199.00583999999998</v>
      </c>
      <c r="L206" s="137"/>
      <c r="M206" s="141"/>
      <c r="T206" s="142"/>
      <c r="V206" s="414"/>
      <c r="W206" s="424"/>
      <c r="AS206" s="138"/>
      <c r="AT206" s="138"/>
      <c r="AX206" s="138"/>
    </row>
    <row r="207" spans="2:64" s="1" customFormat="1" ht="44.25" customHeight="1" x14ac:dyDescent="0.2">
      <c r="B207" s="109"/>
      <c r="C207" s="110" t="s">
        <v>218</v>
      </c>
      <c r="D207" s="110" t="s">
        <v>103</v>
      </c>
      <c r="E207" s="111" t="s">
        <v>224</v>
      </c>
      <c r="F207" s="112" t="s">
        <v>225</v>
      </c>
      <c r="G207" s="113" t="s">
        <v>130</v>
      </c>
      <c r="H207" s="114">
        <f>444.584*0.18</f>
        <v>80.025120000000001</v>
      </c>
      <c r="I207" s="115">
        <v>0</v>
      </c>
      <c r="J207" s="115">
        <f>ROUND(I207*H207,2)</f>
        <v>0</v>
      </c>
      <c r="K207" s="112" t="s">
        <v>107</v>
      </c>
      <c r="L207" s="28"/>
      <c r="M207" s="116"/>
      <c r="N207" s="117"/>
      <c r="O207" s="118"/>
      <c r="P207" s="118"/>
      <c r="Q207" s="118"/>
      <c r="R207" s="118"/>
      <c r="S207" s="118"/>
      <c r="T207" s="119"/>
      <c r="V207" s="414"/>
      <c r="W207" s="424"/>
      <c r="AQ207" s="120" t="s">
        <v>108</v>
      </c>
      <c r="AS207" s="120" t="s">
        <v>103</v>
      </c>
      <c r="AT207" s="120" t="s">
        <v>65</v>
      </c>
      <c r="AX207" s="17" t="s">
        <v>101</v>
      </c>
      <c r="BD207" s="121">
        <f>IF(N207="základní",J207,0)</f>
        <v>0</v>
      </c>
      <c r="BE207" s="121">
        <f>IF(N207="snížená",J207,0)</f>
        <v>0</v>
      </c>
      <c r="BF207" s="121">
        <f>IF(N207="zákl. přenesená",J207,0)</f>
        <v>0</v>
      </c>
      <c r="BG207" s="121">
        <f>IF(N207="sníž. přenesená",J207,0)</f>
        <v>0</v>
      </c>
      <c r="BH207" s="121">
        <f>IF(N207="nulová",J207,0)</f>
        <v>0</v>
      </c>
      <c r="BI207" s="17" t="s">
        <v>63</v>
      </c>
      <c r="BJ207" s="121">
        <f>ROUND(I207*H207,2)</f>
        <v>0</v>
      </c>
      <c r="BK207" s="17" t="s">
        <v>108</v>
      </c>
      <c r="BL207" s="120" t="s">
        <v>715</v>
      </c>
    </row>
    <row r="208" spans="2:64" s="1" customFormat="1" x14ac:dyDescent="0.2">
      <c r="B208" s="28"/>
      <c r="D208" s="122" t="s">
        <v>110</v>
      </c>
      <c r="F208" s="123" t="s">
        <v>227</v>
      </c>
      <c r="L208" s="28"/>
      <c r="M208" s="124"/>
      <c r="T208" s="48"/>
      <c r="V208" s="414"/>
      <c r="W208" s="424"/>
      <c r="AS208" s="17" t="s">
        <v>110</v>
      </c>
      <c r="AT208" s="17" t="s">
        <v>65</v>
      </c>
    </row>
    <row r="209" spans="2:64" s="1" customFormat="1" ht="44.25" customHeight="1" x14ac:dyDescent="0.2">
      <c r="B209" s="109"/>
      <c r="C209" s="110" t="s">
        <v>223</v>
      </c>
      <c r="D209" s="110" t="s">
        <v>103</v>
      </c>
      <c r="E209" s="111" t="s">
        <v>229</v>
      </c>
      <c r="F209" s="112" t="s">
        <v>230</v>
      </c>
      <c r="G209" s="113" t="s">
        <v>231</v>
      </c>
      <c r="H209" s="114">
        <f>1445.765*0.18</f>
        <v>260.23770000000002</v>
      </c>
      <c r="I209" s="115">
        <v>0</v>
      </c>
      <c r="J209" s="115">
        <f>ROUND(I209*H209,2)</f>
        <v>0</v>
      </c>
      <c r="K209" s="112" t="s">
        <v>107</v>
      </c>
      <c r="L209" s="28"/>
      <c r="M209" s="116"/>
      <c r="N209" s="117"/>
      <c r="O209" s="118"/>
      <c r="P209" s="118"/>
      <c r="Q209" s="118"/>
      <c r="R209" s="118"/>
      <c r="S209" s="118"/>
      <c r="T209" s="119"/>
      <c r="V209" s="414"/>
      <c r="W209" s="424"/>
      <c r="AQ209" s="120" t="s">
        <v>108</v>
      </c>
      <c r="AS209" s="120" t="s">
        <v>103</v>
      </c>
      <c r="AT209" s="120" t="s">
        <v>65</v>
      </c>
      <c r="AX209" s="17" t="s">
        <v>101</v>
      </c>
      <c r="BD209" s="121">
        <f>IF(N209="základní",J209,0)</f>
        <v>0</v>
      </c>
      <c r="BE209" s="121">
        <f>IF(N209="snížená",J209,0)</f>
        <v>0</v>
      </c>
      <c r="BF209" s="121">
        <f>IF(N209="zákl. přenesená",J209,0)</f>
        <v>0</v>
      </c>
      <c r="BG209" s="121">
        <f>IF(N209="sníž. přenesená",J209,0)</f>
        <v>0</v>
      </c>
      <c r="BH209" s="121">
        <f>IF(N209="nulová",J209,0)</f>
        <v>0</v>
      </c>
      <c r="BI209" s="17" t="s">
        <v>63</v>
      </c>
      <c r="BJ209" s="121">
        <f>ROUND(I209*H209,2)</f>
        <v>0</v>
      </c>
      <c r="BK209" s="17" t="s">
        <v>108</v>
      </c>
      <c r="BL209" s="120" t="s">
        <v>716</v>
      </c>
    </row>
    <row r="210" spans="2:64" s="1" customFormat="1" x14ac:dyDescent="0.2">
      <c r="B210" s="28"/>
      <c r="D210" s="122" t="s">
        <v>110</v>
      </c>
      <c r="F210" s="123" t="s">
        <v>233</v>
      </c>
      <c r="L210" s="28"/>
      <c r="M210" s="124"/>
      <c r="T210" s="48"/>
      <c r="V210" s="414"/>
      <c r="W210" s="424"/>
      <c r="AS210" s="17" t="s">
        <v>110</v>
      </c>
      <c r="AT210" s="17" t="s">
        <v>65</v>
      </c>
    </row>
    <row r="211" spans="2:64" s="13" customFormat="1" x14ac:dyDescent="0.2">
      <c r="B211" s="131"/>
      <c r="D211" s="126" t="s">
        <v>112</v>
      </c>
      <c r="F211" s="133" t="s">
        <v>1845</v>
      </c>
      <c r="H211" s="134">
        <f>1455.003*0.18</f>
        <v>261.90053999999998</v>
      </c>
      <c r="L211" s="131"/>
      <c r="M211" s="135"/>
      <c r="T211" s="136"/>
      <c r="V211" s="414"/>
      <c r="W211" s="424"/>
      <c r="AS211" s="132" t="s">
        <v>112</v>
      </c>
      <c r="AT211" s="132" t="s">
        <v>65</v>
      </c>
      <c r="AU211" s="13" t="s">
        <v>65</v>
      </c>
      <c r="AV211" s="13" t="s">
        <v>2</v>
      </c>
      <c r="AW211" s="13" t="s">
        <v>63</v>
      </c>
      <c r="AX211" s="132" t="s">
        <v>101</v>
      </c>
    </row>
    <row r="212" spans="2:64" s="1" customFormat="1" ht="37.9" customHeight="1" x14ac:dyDescent="0.2">
      <c r="B212" s="109"/>
      <c r="C212" s="110" t="s">
        <v>228</v>
      </c>
      <c r="D212" s="110" t="s">
        <v>103</v>
      </c>
      <c r="E212" s="111" t="s">
        <v>235</v>
      </c>
      <c r="F212" s="112" t="s">
        <v>236</v>
      </c>
      <c r="G212" s="113" t="s">
        <v>130</v>
      </c>
      <c r="H212" s="114">
        <f>808.335*0.18</f>
        <v>145.50030000000001</v>
      </c>
      <c r="I212" s="115">
        <v>0</v>
      </c>
      <c r="J212" s="115">
        <f>ROUND(I212*H212,2)</f>
        <v>0</v>
      </c>
      <c r="K212" s="112" t="s">
        <v>107</v>
      </c>
      <c r="L212" s="28"/>
      <c r="M212" s="116"/>
      <c r="N212" s="117"/>
      <c r="O212" s="118"/>
      <c r="P212" s="118"/>
      <c r="Q212" s="118"/>
      <c r="R212" s="118"/>
      <c r="S212" s="118"/>
      <c r="T212" s="119"/>
      <c r="V212" s="414"/>
      <c r="W212" s="424"/>
      <c r="AQ212" s="120" t="s">
        <v>108</v>
      </c>
      <c r="AS212" s="120" t="s">
        <v>103</v>
      </c>
      <c r="AT212" s="120" t="s">
        <v>65</v>
      </c>
      <c r="AX212" s="17" t="s">
        <v>101</v>
      </c>
      <c r="BD212" s="121">
        <f>IF(N212="základní",J212,0)</f>
        <v>0</v>
      </c>
      <c r="BE212" s="121">
        <f>IF(N212="snížená",J212,0)</f>
        <v>0</v>
      </c>
      <c r="BF212" s="121">
        <f>IF(N212="zákl. přenesená",J212,0)</f>
        <v>0</v>
      </c>
      <c r="BG212" s="121">
        <f>IF(N212="sníž. přenesená",J212,0)</f>
        <v>0</v>
      </c>
      <c r="BH212" s="121">
        <f>IF(N212="nulová",J212,0)</f>
        <v>0</v>
      </c>
      <c r="BI212" s="17" t="s">
        <v>63</v>
      </c>
      <c r="BJ212" s="121">
        <f>ROUND(I212*H212,2)</f>
        <v>0</v>
      </c>
      <c r="BK212" s="17" t="s">
        <v>108</v>
      </c>
      <c r="BL212" s="120" t="s">
        <v>718</v>
      </c>
    </row>
    <row r="213" spans="2:64" s="1" customFormat="1" x14ac:dyDescent="0.2">
      <c r="B213" s="28"/>
      <c r="D213" s="122" t="s">
        <v>110</v>
      </c>
      <c r="F213" s="123" t="s">
        <v>238</v>
      </c>
      <c r="L213" s="28"/>
      <c r="M213" s="124"/>
      <c r="T213" s="48"/>
      <c r="V213" s="414"/>
      <c r="W213" s="424"/>
      <c r="AS213" s="17" t="s">
        <v>110</v>
      </c>
      <c r="AT213" s="17" t="s">
        <v>65</v>
      </c>
    </row>
    <row r="214" spans="2:64" s="1" customFormat="1" ht="44.25" customHeight="1" x14ac:dyDescent="0.2">
      <c r="B214" s="109"/>
      <c r="C214" s="110" t="s">
        <v>234</v>
      </c>
      <c r="D214" s="110" t="s">
        <v>103</v>
      </c>
      <c r="E214" s="111" t="s">
        <v>240</v>
      </c>
      <c r="F214" s="112" t="s">
        <v>241</v>
      </c>
      <c r="G214" s="113" t="s">
        <v>130</v>
      </c>
      <c r="H214" s="114">
        <f>549.273*0.18</f>
        <v>98.869140000000002</v>
      </c>
      <c r="I214" s="115">
        <v>0</v>
      </c>
      <c r="J214" s="115">
        <f>ROUND(I214*H214,2)</f>
        <v>0</v>
      </c>
      <c r="K214" s="112" t="s">
        <v>107</v>
      </c>
      <c r="L214" s="28"/>
      <c r="M214" s="116"/>
      <c r="N214" s="117"/>
      <c r="O214" s="118"/>
      <c r="P214" s="118"/>
      <c r="Q214" s="118"/>
      <c r="R214" s="118"/>
      <c r="S214" s="118"/>
      <c r="T214" s="119"/>
      <c r="V214" s="414"/>
      <c r="W214" s="424"/>
      <c r="AQ214" s="120" t="s">
        <v>108</v>
      </c>
      <c r="AS214" s="120" t="s">
        <v>103</v>
      </c>
      <c r="AT214" s="120" t="s">
        <v>65</v>
      </c>
      <c r="AX214" s="17" t="s">
        <v>101</v>
      </c>
      <c r="BD214" s="121">
        <f>IF(N214="základní",J214,0)</f>
        <v>0</v>
      </c>
      <c r="BE214" s="121">
        <f>IF(N214="snížená",J214,0)</f>
        <v>0</v>
      </c>
      <c r="BF214" s="121">
        <f>IF(N214="zákl. přenesená",J214,0)</f>
        <v>0</v>
      </c>
      <c r="BG214" s="121">
        <f>IF(N214="sníž. přenesená",J214,0)</f>
        <v>0</v>
      </c>
      <c r="BH214" s="121">
        <f>IF(N214="nulová",J214,0)</f>
        <v>0</v>
      </c>
      <c r="BI214" s="17" t="s">
        <v>63</v>
      </c>
      <c r="BJ214" s="121">
        <f>ROUND(I214*H214,2)</f>
        <v>0</v>
      </c>
      <c r="BK214" s="17" t="s">
        <v>108</v>
      </c>
      <c r="BL214" s="120" t="s">
        <v>719</v>
      </c>
    </row>
    <row r="215" spans="2:64" s="1" customFormat="1" x14ac:dyDescent="0.2">
      <c r="B215" s="28"/>
      <c r="D215" s="122" t="s">
        <v>110</v>
      </c>
      <c r="F215" s="123" t="s">
        <v>243</v>
      </c>
      <c r="L215" s="28"/>
      <c r="M215" s="124"/>
      <c r="T215" s="48"/>
      <c r="V215" s="414"/>
      <c r="W215" s="424"/>
      <c r="AS215" s="17" t="s">
        <v>110</v>
      </c>
      <c r="AT215" s="17" t="s">
        <v>65</v>
      </c>
    </row>
    <row r="216" spans="2:64" s="1" customFormat="1" ht="16.5" customHeight="1" x14ac:dyDescent="0.2">
      <c r="B216" s="109"/>
      <c r="C216" s="143" t="s">
        <v>239</v>
      </c>
      <c r="D216" s="143" t="s">
        <v>252</v>
      </c>
      <c r="E216" s="144" t="s">
        <v>253</v>
      </c>
      <c r="F216" s="145" t="s">
        <v>254</v>
      </c>
      <c r="G216" s="146" t="s">
        <v>231</v>
      </c>
      <c r="H216" s="147">
        <f>988.691*0.18</f>
        <v>177.96438000000001</v>
      </c>
      <c r="I216" s="148">
        <v>0</v>
      </c>
      <c r="J216" s="148">
        <f>ROUND(I216*H216,2)</f>
        <v>0</v>
      </c>
      <c r="K216" s="145" t="s">
        <v>107</v>
      </c>
      <c r="L216" s="149"/>
      <c r="M216" s="150"/>
      <c r="N216" s="151"/>
      <c r="O216" s="118"/>
      <c r="P216" s="118"/>
      <c r="Q216" s="118"/>
      <c r="R216" s="118"/>
      <c r="S216" s="118"/>
      <c r="T216" s="119"/>
      <c r="V216" s="414"/>
      <c r="W216" s="424"/>
      <c r="AQ216" s="120" t="s">
        <v>171</v>
      </c>
      <c r="AS216" s="120" t="s">
        <v>252</v>
      </c>
      <c r="AT216" s="120" t="s">
        <v>65</v>
      </c>
      <c r="AX216" s="17" t="s">
        <v>101</v>
      </c>
      <c r="BD216" s="121">
        <f>IF(N216="základní",J216,0)</f>
        <v>0</v>
      </c>
      <c r="BE216" s="121">
        <f>IF(N216="snížená",J216,0)</f>
        <v>0</v>
      </c>
      <c r="BF216" s="121">
        <f>IF(N216="zákl. přenesená",J216,0)</f>
        <v>0</v>
      </c>
      <c r="BG216" s="121">
        <f>IF(N216="sníž. přenesená",J216,0)</f>
        <v>0</v>
      </c>
      <c r="BH216" s="121">
        <f>IF(N216="nulová",J216,0)</f>
        <v>0</v>
      </c>
      <c r="BI216" s="17" t="s">
        <v>63</v>
      </c>
      <c r="BJ216" s="121">
        <f>ROUND(I216*H216,2)</f>
        <v>0</v>
      </c>
      <c r="BK216" s="17" t="s">
        <v>108</v>
      </c>
      <c r="BL216" s="120" t="s">
        <v>720</v>
      </c>
    </row>
    <row r="217" spans="2:64" s="12" customFormat="1" ht="33.75" x14ac:dyDescent="0.2">
      <c r="B217" s="125"/>
      <c r="D217" s="126" t="s">
        <v>112</v>
      </c>
      <c r="E217" s="127" t="s">
        <v>1</v>
      </c>
      <c r="F217" s="128" t="s">
        <v>721</v>
      </c>
      <c r="H217" s="127" t="s">
        <v>1</v>
      </c>
      <c r="L217" s="125"/>
      <c r="M217" s="129"/>
      <c r="T217" s="130"/>
      <c r="V217" s="414"/>
      <c r="W217" s="424"/>
      <c r="AS217" s="127" t="s">
        <v>112</v>
      </c>
      <c r="AT217" s="127" t="s">
        <v>65</v>
      </c>
      <c r="AU217" s="12" t="s">
        <v>63</v>
      </c>
      <c r="AV217" s="12" t="s">
        <v>30</v>
      </c>
      <c r="AW217" s="12" t="s">
        <v>55</v>
      </c>
      <c r="AX217" s="127" t="s">
        <v>101</v>
      </c>
    </row>
    <row r="218" spans="2:64" s="13" customFormat="1" ht="22.5" x14ac:dyDescent="0.2">
      <c r="B218" s="131"/>
      <c r="D218" s="126" t="s">
        <v>112</v>
      </c>
      <c r="E218" s="132" t="s">
        <v>1</v>
      </c>
      <c r="F218" s="133" t="s">
        <v>722</v>
      </c>
      <c r="H218" s="134">
        <v>469.315</v>
      </c>
      <c r="L218" s="131"/>
      <c r="M218" s="135"/>
      <c r="T218" s="136"/>
      <c r="V218" s="414"/>
      <c r="W218" s="424"/>
      <c r="AS218" s="132" t="s">
        <v>112</v>
      </c>
      <c r="AT218" s="132" t="s">
        <v>65</v>
      </c>
      <c r="AU218" s="13" t="s">
        <v>65</v>
      </c>
      <c r="AV218" s="13" t="s">
        <v>30</v>
      </c>
      <c r="AW218" s="13" t="s">
        <v>55</v>
      </c>
      <c r="AX218" s="132" t="s">
        <v>101</v>
      </c>
    </row>
    <row r="219" spans="2:64" s="13" customFormat="1" x14ac:dyDescent="0.2">
      <c r="B219" s="131"/>
      <c r="D219" s="126" t="s">
        <v>112</v>
      </c>
      <c r="E219" s="132" t="s">
        <v>1</v>
      </c>
      <c r="F219" s="133" t="s">
        <v>723</v>
      </c>
      <c r="H219" s="134">
        <v>7.2389999999999999</v>
      </c>
      <c r="L219" s="131"/>
      <c r="M219" s="135"/>
      <c r="T219" s="136"/>
      <c r="V219" s="414"/>
      <c r="W219" s="424"/>
      <c r="AS219" s="132" t="s">
        <v>112</v>
      </c>
      <c r="AT219" s="132" t="s">
        <v>65</v>
      </c>
      <c r="AU219" s="13" t="s">
        <v>65</v>
      </c>
      <c r="AV219" s="13" t="s">
        <v>30</v>
      </c>
      <c r="AW219" s="13" t="s">
        <v>55</v>
      </c>
      <c r="AX219" s="132" t="s">
        <v>101</v>
      </c>
    </row>
    <row r="220" spans="2:64" s="13" customFormat="1" x14ac:dyDescent="0.2">
      <c r="B220" s="131"/>
      <c r="D220" s="126" t="s">
        <v>112</v>
      </c>
      <c r="E220" s="132" t="s">
        <v>1</v>
      </c>
      <c r="F220" s="133" t="s">
        <v>724</v>
      </c>
      <c r="H220" s="134">
        <v>15.15</v>
      </c>
      <c r="L220" s="131"/>
      <c r="M220" s="135"/>
      <c r="T220" s="136"/>
      <c r="V220" s="414"/>
      <c r="W220" s="424"/>
      <c r="AS220" s="132" t="s">
        <v>112</v>
      </c>
      <c r="AT220" s="132" t="s">
        <v>65</v>
      </c>
      <c r="AU220" s="13" t="s">
        <v>65</v>
      </c>
      <c r="AV220" s="13" t="s">
        <v>30</v>
      </c>
      <c r="AW220" s="13" t="s">
        <v>55</v>
      </c>
      <c r="AX220" s="132" t="s">
        <v>101</v>
      </c>
    </row>
    <row r="221" spans="2:64" s="13" customFormat="1" x14ac:dyDescent="0.2">
      <c r="B221" s="131"/>
      <c r="D221" s="126" t="s">
        <v>112</v>
      </c>
      <c r="E221" s="132" t="s">
        <v>1</v>
      </c>
      <c r="F221" s="133" t="s">
        <v>725</v>
      </c>
      <c r="H221" s="134">
        <v>22.817</v>
      </c>
      <c r="L221" s="131"/>
      <c r="M221" s="135"/>
      <c r="T221" s="136"/>
      <c r="V221" s="414"/>
      <c r="W221" s="424"/>
      <c r="AS221" s="132" t="s">
        <v>112</v>
      </c>
      <c r="AT221" s="132" t="s">
        <v>65</v>
      </c>
      <c r="AU221" s="13" t="s">
        <v>65</v>
      </c>
      <c r="AV221" s="13" t="s">
        <v>30</v>
      </c>
      <c r="AW221" s="13" t="s">
        <v>55</v>
      </c>
      <c r="AX221" s="132" t="s">
        <v>101</v>
      </c>
    </row>
    <row r="222" spans="2:64" s="13" customFormat="1" x14ac:dyDescent="0.2">
      <c r="B222" s="131"/>
      <c r="D222" s="126" t="s">
        <v>112</v>
      </c>
      <c r="E222" s="132" t="s">
        <v>1</v>
      </c>
      <c r="F222" s="133" t="s">
        <v>726</v>
      </c>
      <c r="H222" s="134">
        <v>19.323</v>
      </c>
      <c r="L222" s="131"/>
      <c r="M222" s="135"/>
      <c r="T222" s="136"/>
      <c r="V222" s="414"/>
      <c r="W222" s="424"/>
      <c r="AS222" s="132" t="s">
        <v>112</v>
      </c>
      <c r="AT222" s="132" t="s">
        <v>65</v>
      </c>
      <c r="AU222" s="13" t="s">
        <v>65</v>
      </c>
      <c r="AV222" s="13" t="s">
        <v>30</v>
      </c>
      <c r="AW222" s="13" t="s">
        <v>55</v>
      </c>
      <c r="AX222" s="132" t="s">
        <v>101</v>
      </c>
    </row>
    <row r="223" spans="2:64" s="13" customFormat="1" x14ac:dyDescent="0.2">
      <c r="B223" s="131"/>
      <c r="D223" s="126" t="s">
        <v>112</v>
      </c>
      <c r="E223" s="132" t="s">
        <v>1</v>
      </c>
      <c r="F223" s="133" t="s">
        <v>727</v>
      </c>
      <c r="H223" s="134">
        <v>13.449</v>
      </c>
      <c r="L223" s="131"/>
      <c r="M223" s="135"/>
      <c r="T223" s="136"/>
      <c r="V223" s="414"/>
      <c r="W223" s="424"/>
      <c r="AS223" s="132" t="s">
        <v>112</v>
      </c>
      <c r="AT223" s="132" t="s">
        <v>65</v>
      </c>
      <c r="AU223" s="13" t="s">
        <v>65</v>
      </c>
      <c r="AV223" s="13" t="s">
        <v>30</v>
      </c>
      <c r="AW223" s="13" t="s">
        <v>55</v>
      </c>
      <c r="AX223" s="132" t="s">
        <v>101</v>
      </c>
    </row>
    <row r="224" spans="2:64" s="13" customFormat="1" x14ac:dyDescent="0.2">
      <c r="B224" s="131"/>
      <c r="D224" s="126" t="s">
        <v>112</v>
      </c>
      <c r="E224" s="132" t="s">
        <v>1</v>
      </c>
      <c r="F224" s="133" t="s">
        <v>728</v>
      </c>
      <c r="H224" s="134">
        <v>1.98</v>
      </c>
      <c r="L224" s="131"/>
      <c r="M224" s="135"/>
      <c r="T224" s="136"/>
      <c r="V224" s="414"/>
      <c r="W224" s="424"/>
      <c r="AS224" s="132" t="s">
        <v>112</v>
      </c>
      <c r="AT224" s="132" t="s">
        <v>65</v>
      </c>
      <c r="AU224" s="13" t="s">
        <v>65</v>
      </c>
      <c r="AV224" s="13" t="s">
        <v>30</v>
      </c>
      <c r="AW224" s="13" t="s">
        <v>55</v>
      </c>
      <c r="AX224" s="132" t="s">
        <v>101</v>
      </c>
    </row>
    <row r="225" spans="2:64" s="14" customFormat="1" x14ac:dyDescent="0.2">
      <c r="B225" s="137"/>
      <c r="D225" s="126" t="s">
        <v>112</v>
      </c>
      <c r="E225" s="138" t="s">
        <v>1</v>
      </c>
      <c r="F225" s="139" t="s">
        <v>127</v>
      </c>
      <c r="H225" s="140">
        <v>549.27300000000002</v>
      </c>
      <c r="L225" s="137"/>
      <c r="M225" s="141"/>
      <c r="T225" s="142"/>
      <c r="V225" s="414"/>
      <c r="W225" s="424"/>
      <c r="AS225" s="138" t="s">
        <v>112</v>
      </c>
      <c r="AT225" s="138" t="s">
        <v>65</v>
      </c>
      <c r="AU225" s="14" t="s">
        <v>108</v>
      </c>
      <c r="AV225" s="14" t="s">
        <v>30</v>
      </c>
      <c r="AW225" s="14" t="s">
        <v>63</v>
      </c>
      <c r="AX225" s="138" t="s">
        <v>101</v>
      </c>
    </row>
    <row r="226" spans="2:64" s="13" customFormat="1" x14ac:dyDescent="0.2">
      <c r="B226" s="131"/>
      <c r="D226" s="126" t="s">
        <v>112</v>
      </c>
      <c r="F226" s="133" t="s">
        <v>729</v>
      </c>
      <c r="H226" s="134">
        <v>988.69100000000003</v>
      </c>
      <c r="L226" s="131"/>
      <c r="M226" s="135"/>
      <c r="T226" s="136"/>
      <c r="V226" s="414"/>
      <c r="W226" s="424"/>
      <c r="AS226" s="132" t="s">
        <v>112</v>
      </c>
      <c r="AT226" s="132" t="s">
        <v>65</v>
      </c>
      <c r="AU226" s="13" t="s">
        <v>65</v>
      </c>
      <c r="AV226" s="13" t="s">
        <v>2</v>
      </c>
      <c r="AW226" s="13" t="s">
        <v>63</v>
      </c>
      <c r="AX226" s="132" t="s">
        <v>101</v>
      </c>
    </row>
    <row r="227" spans="2:64" s="13" customFormat="1" x14ac:dyDescent="0.2">
      <c r="B227" s="131"/>
      <c r="D227" s="126"/>
      <c r="F227" s="139" t="s">
        <v>1834</v>
      </c>
      <c r="G227" s="14"/>
      <c r="H227" s="140">
        <f>H226*0.18</f>
        <v>177.96438000000001</v>
      </c>
      <c r="L227" s="131"/>
      <c r="M227" s="135"/>
      <c r="T227" s="136"/>
      <c r="V227" s="414"/>
      <c r="W227" s="424"/>
      <c r="AS227" s="132"/>
      <c r="AT227" s="132"/>
      <c r="AX227" s="132"/>
    </row>
    <row r="228" spans="2:64" s="1" customFormat="1" ht="66.75" customHeight="1" x14ac:dyDescent="0.2">
      <c r="B228" s="109"/>
      <c r="C228" s="110" t="s">
        <v>6</v>
      </c>
      <c r="D228" s="110" t="s">
        <v>103</v>
      </c>
      <c r="E228" s="111" t="s">
        <v>257</v>
      </c>
      <c r="F228" s="112" t="s">
        <v>258</v>
      </c>
      <c r="G228" s="113" t="s">
        <v>130</v>
      </c>
      <c r="H228" s="114">
        <f>192.564*0.18</f>
        <v>34.661519999999996</v>
      </c>
      <c r="I228" s="115">
        <v>0</v>
      </c>
      <c r="J228" s="115">
        <f>ROUND(I228*H228,2)</f>
        <v>0</v>
      </c>
      <c r="K228" s="112" t="s">
        <v>107</v>
      </c>
      <c r="L228" s="28"/>
      <c r="M228" s="116"/>
      <c r="N228" s="117"/>
      <c r="O228" s="118"/>
      <c r="P228" s="118"/>
      <c r="Q228" s="118"/>
      <c r="R228" s="118"/>
      <c r="S228" s="118"/>
      <c r="T228" s="119"/>
      <c r="V228" s="414"/>
      <c r="W228" s="424"/>
      <c r="AQ228" s="120" t="s">
        <v>108</v>
      </c>
      <c r="AS228" s="120" t="s">
        <v>103</v>
      </c>
      <c r="AT228" s="120" t="s">
        <v>65</v>
      </c>
      <c r="AX228" s="17" t="s">
        <v>101</v>
      </c>
      <c r="BD228" s="121">
        <f>IF(N228="základní",J228,0)</f>
        <v>0</v>
      </c>
      <c r="BE228" s="121">
        <f>IF(N228="snížená",J228,0)</f>
        <v>0</v>
      </c>
      <c r="BF228" s="121">
        <f>IF(N228="zákl. přenesená",J228,0)</f>
        <v>0</v>
      </c>
      <c r="BG228" s="121">
        <f>IF(N228="sníž. přenesená",J228,0)</f>
        <v>0</v>
      </c>
      <c r="BH228" s="121">
        <f>IF(N228="nulová",J228,0)</f>
        <v>0</v>
      </c>
      <c r="BI228" s="17" t="s">
        <v>63</v>
      </c>
      <c r="BJ228" s="121">
        <f>ROUND(I228*H228,2)</f>
        <v>0</v>
      </c>
      <c r="BK228" s="17" t="s">
        <v>108</v>
      </c>
      <c r="BL228" s="120" t="s">
        <v>730</v>
      </c>
    </row>
    <row r="229" spans="2:64" s="1" customFormat="1" x14ac:dyDescent="0.2">
      <c r="B229" s="28"/>
      <c r="D229" s="122" t="s">
        <v>110</v>
      </c>
      <c r="F229" s="123" t="s">
        <v>260</v>
      </c>
      <c r="L229" s="28"/>
      <c r="M229" s="124"/>
      <c r="T229" s="48"/>
      <c r="V229" s="414"/>
      <c r="W229" s="424"/>
      <c r="AS229" s="17" t="s">
        <v>110</v>
      </c>
      <c r="AT229" s="17" t="s">
        <v>65</v>
      </c>
    </row>
    <row r="230" spans="2:64" s="1" customFormat="1" ht="16.5" customHeight="1" x14ac:dyDescent="0.2">
      <c r="B230" s="109"/>
      <c r="C230" s="143" t="s">
        <v>256</v>
      </c>
      <c r="D230" s="143" t="s">
        <v>252</v>
      </c>
      <c r="E230" s="144" t="s">
        <v>262</v>
      </c>
      <c r="F230" s="145" t="s">
        <v>263</v>
      </c>
      <c r="G230" s="146" t="s">
        <v>231</v>
      </c>
      <c r="H230" s="147">
        <f>346.615*0.18</f>
        <v>62.390700000000002</v>
      </c>
      <c r="I230" s="148">
        <v>0</v>
      </c>
      <c r="J230" s="148">
        <f>ROUND(I230*H230,2)</f>
        <v>0</v>
      </c>
      <c r="K230" s="145" t="s">
        <v>107</v>
      </c>
      <c r="L230" s="149"/>
      <c r="M230" s="150"/>
      <c r="N230" s="151"/>
      <c r="O230" s="118"/>
      <c r="P230" s="118"/>
      <c r="Q230" s="118"/>
      <c r="R230" s="118"/>
      <c r="S230" s="118"/>
      <c r="T230" s="119"/>
      <c r="V230" s="414"/>
      <c r="W230" s="424"/>
      <c r="AQ230" s="120" t="s">
        <v>171</v>
      </c>
      <c r="AS230" s="120" t="s">
        <v>252</v>
      </c>
      <c r="AT230" s="120" t="s">
        <v>65</v>
      </c>
      <c r="AX230" s="17" t="s">
        <v>101</v>
      </c>
      <c r="BD230" s="121">
        <f>IF(N230="základní",J230,0)</f>
        <v>0</v>
      </c>
      <c r="BE230" s="121">
        <f>IF(N230="snížená",J230,0)</f>
        <v>0</v>
      </c>
      <c r="BF230" s="121">
        <f>IF(N230="zákl. přenesená",J230,0)</f>
        <v>0</v>
      </c>
      <c r="BG230" s="121">
        <f>IF(N230="sníž. přenesená",J230,0)</f>
        <v>0</v>
      </c>
      <c r="BH230" s="121">
        <f>IF(N230="nulová",J230,0)</f>
        <v>0</v>
      </c>
      <c r="BI230" s="17" t="s">
        <v>63</v>
      </c>
      <c r="BJ230" s="121">
        <f>ROUND(I230*H230,2)</f>
        <v>0</v>
      </c>
      <c r="BK230" s="17" t="s">
        <v>108</v>
      </c>
      <c r="BL230" s="120" t="s">
        <v>731</v>
      </c>
    </row>
    <row r="231" spans="2:64" s="12" customFormat="1" ht="22.5" x14ac:dyDescent="0.2">
      <c r="B231" s="125"/>
      <c r="D231" s="126" t="s">
        <v>112</v>
      </c>
      <c r="E231" s="127" t="s">
        <v>1</v>
      </c>
      <c r="F231" s="128" t="s">
        <v>265</v>
      </c>
      <c r="H231" s="127" t="s">
        <v>1</v>
      </c>
      <c r="L231" s="125"/>
      <c r="M231" s="129"/>
      <c r="T231" s="130"/>
      <c r="V231" s="414"/>
      <c r="W231" s="424"/>
      <c r="AS231" s="127" t="s">
        <v>112</v>
      </c>
      <c r="AT231" s="127" t="s">
        <v>65</v>
      </c>
      <c r="AU231" s="12" t="s">
        <v>63</v>
      </c>
      <c r="AV231" s="12" t="s">
        <v>30</v>
      </c>
      <c r="AW231" s="12" t="s">
        <v>55</v>
      </c>
      <c r="AX231" s="127" t="s">
        <v>101</v>
      </c>
    </row>
    <row r="232" spans="2:64" s="13" customFormat="1" x14ac:dyDescent="0.2">
      <c r="B232" s="131"/>
      <c r="D232" s="126" t="s">
        <v>112</v>
      </c>
      <c r="E232" s="132" t="s">
        <v>1</v>
      </c>
      <c r="F232" s="133" t="s">
        <v>732</v>
      </c>
      <c r="H232" s="134">
        <v>165.905</v>
      </c>
      <c r="L232" s="131"/>
      <c r="M232" s="135"/>
      <c r="T232" s="136"/>
      <c r="V232" s="414"/>
      <c r="W232" s="424"/>
      <c r="AS232" s="132" t="s">
        <v>112</v>
      </c>
      <c r="AT232" s="132" t="s">
        <v>65</v>
      </c>
      <c r="AU232" s="13" t="s">
        <v>65</v>
      </c>
      <c r="AV232" s="13" t="s">
        <v>30</v>
      </c>
      <c r="AW232" s="13" t="s">
        <v>55</v>
      </c>
      <c r="AX232" s="132" t="s">
        <v>101</v>
      </c>
    </row>
    <row r="233" spans="2:64" s="13" customFormat="1" x14ac:dyDescent="0.2">
      <c r="B233" s="131"/>
      <c r="D233" s="126" t="s">
        <v>112</v>
      </c>
      <c r="E233" s="132" t="s">
        <v>1</v>
      </c>
      <c r="F233" s="133" t="s">
        <v>733</v>
      </c>
      <c r="H233" s="134">
        <v>1.496</v>
      </c>
      <c r="L233" s="131"/>
      <c r="M233" s="135"/>
      <c r="T233" s="136"/>
      <c r="V233" s="414"/>
      <c r="W233" s="424"/>
      <c r="AS233" s="132" t="s">
        <v>112</v>
      </c>
      <c r="AT233" s="132" t="s">
        <v>65</v>
      </c>
      <c r="AU233" s="13" t="s">
        <v>65</v>
      </c>
      <c r="AV233" s="13" t="s">
        <v>30</v>
      </c>
      <c r="AW233" s="13" t="s">
        <v>55</v>
      </c>
      <c r="AX233" s="132" t="s">
        <v>101</v>
      </c>
    </row>
    <row r="234" spans="2:64" s="13" customFormat="1" x14ac:dyDescent="0.2">
      <c r="B234" s="131"/>
      <c r="D234" s="126" t="s">
        <v>112</v>
      </c>
      <c r="E234" s="132" t="s">
        <v>1</v>
      </c>
      <c r="F234" s="133" t="s">
        <v>734</v>
      </c>
      <c r="H234" s="134">
        <v>6.3070000000000004</v>
      </c>
      <c r="L234" s="131"/>
      <c r="M234" s="135"/>
      <c r="T234" s="136"/>
      <c r="V234" s="414"/>
      <c r="W234" s="424"/>
      <c r="AS234" s="132" t="s">
        <v>112</v>
      </c>
      <c r="AT234" s="132" t="s">
        <v>65</v>
      </c>
      <c r="AU234" s="13" t="s">
        <v>65</v>
      </c>
      <c r="AV234" s="13" t="s">
        <v>30</v>
      </c>
      <c r="AW234" s="13" t="s">
        <v>55</v>
      </c>
      <c r="AX234" s="132" t="s">
        <v>101</v>
      </c>
    </row>
    <row r="235" spans="2:64" s="13" customFormat="1" x14ac:dyDescent="0.2">
      <c r="B235" s="131"/>
      <c r="D235" s="126" t="s">
        <v>112</v>
      </c>
      <c r="E235" s="132" t="s">
        <v>1</v>
      </c>
      <c r="F235" s="133" t="s">
        <v>735</v>
      </c>
      <c r="H235" s="134">
        <v>7.3410000000000002</v>
      </c>
      <c r="L235" s="131"/>
      <c r="M235" s="135"/>
      <c r="T235" s="136"/>
      <c r="V235" s="414"/>
      <c r="W235" s="424"/>
      <c r="AS235" s="132" t="s">
        <v>112</v>
      </c>
      <c r="AT235" s="132" t="s">
        <v>65</v>
      </c>
      <c r="AU235" s="13" t="s">
        <v>65</v>
      </c>
      <c r="AV235" s="13" t="s">
        <v>30</v>
      </c>
      <c r="AW235" s="13" t="s">
        <v>55</v>
      </c>
      <c r="AX235" s="132" t="s">
        <v>101</v>
      </c>
    </row>
    <row r="236" spans="2:64" s="13" customFormat="1" x14ac:dyDescent="0.2">
      <c r="B236" s="131"/>
      <c r="D236" s="126" t="s">
        <v>112</v>
      </c>
      <c r="E236" s="132" t="s">
        <v>1</v>
      </c>
      <c r="F236" s="133" t="s">
        <v>736</v>
      </c>
      <c r="H236" s="134">
        <v>5.9539999999999997</v>
      </c>
      <c r="L236" s="131"/>
      <c r="M236" s="135"/>
      <c r="T236" s="136"/>
      <c r="V236" s="414"/>
      <c r="W236" s="424"/>
      <c r="AS236" s="132" t="s">
        <v>112</v>
      </c>
      <c r="AT236" s="132" t="s">
        <v>65</v>
      </c>
      <c r="AU236" s="13" t="s">
        <v>65</v>
      </c>
      <c r="AV236" s="13" t="s">
        <v>30</v>
      </c>
      <c r="AW236" s="13" t="s">
        <v>55</v>
      </c>
      <c r="AX236" s="132" t="s">
        <v>101</v>
      </c>
    </row>
    <row r="237" spans="2:64" s="13" customFormat="1" x14ac:dyDescent="0.2">
      <c r="B237" s="131"/>
      <c r="D237" s="126" t="s">
        <v>112</v>
      </c>
      <c r="E237" s="132" t="s">
        <v>1</v>
      </c>
      <c r="F237" s="133" t="s">
        <v>737</v>
      </c>
      <c r="H237" s="134">
        <v>4.7939999999999996</v>
      </c>
      <c r="L237" s="131"/>
      <c r="M237" s="135"/>
      <c r="T237" s="136"/>
      <c r="V237" s="414"/>
      <c r="W237" s="424"/>
      <c r="AS237" s="132" t="s">
        <v>112</v>
      </c>
      <c r="AT237" s="132" t="s">
        <v>65</v>
      </c>
      <c r="AU237" s="13" t="s">
        <v>65</v>
      </c>
      <c r="AV237" s="13" t="s">
        <v>30</v>
      </c>
      <c r="AW237" s="13" t="s">
        <v>55</v>
      </c>
      <c r="AX237" s="132" t="s">
        <v>101</v>
      </c>
    </row>
    <row r="238" spans="2:64" s="13" customFormat="1" ht="22.5" x14ac:dyDescent="0.2">
      <c r="B238" s="131"/>
      <c r="D238" s="126" t="s">
        <v>112</v>
      </c>
      <c r="E238" s="132" t="s">
        <v>1</v>
      </c>
      <c r="F238" s="133" t="s">
        <v>738</v>
      </c>
      <c r="H238" s="134">
        <v>0.76700000000000002</v>
      </c>
      <c r="L238" s="131"/>
      <c r="M238" s="135"/>
      <c r="T238" s="136"/>
      <c r="V238" s="414"/>
      <c r="W238" s="424"/>
      <c r="AS238" s="132" t="s">
        <v>112</v>
      </c>
      <c r="AT238" s="132" t="s">
        <v>65</v>
      </c>
      <c r="AU238" s="13" t="s">
        <v>65</v>
      </c>
      <c r="AV238" s="13" t="s">
        <v>30</v>
      </c>
      <c r="AW238" s="13" t="s">
        <v>55</v>
      </c>
      <c r="AX238" s="132" t="s">
        <v>101</v>
      </c>
    </row>
    <row r="239" spans="2:64" s="14" customFormat="1" x14ac:dyDescent="0.2">
      <c r="B239" s="137"/>
      <c r="D239" s="126" t="s">
        <v>112</v>
      </c>
      <c r="E239" s="138" t="s">
        <v>1</v>
      </c>
      <c r="F239" s="139" t="s">
        <v>127</v>
      </c>
      <c r="H239" s="140">
        <v>192.56399999999999</v>
      </c>
      <c r="L239" s="137"/>
      <c r="M239" s="141"/>
      <c r="T239" s="142"/>
      <c r="V239" s="414"/>
      <c r="W239" s="424"/>
      <c r="AS239" s="138" t="s">
        <v>112</v>
      </c>
      <c r="AT239" s="138" t="s">
        <v>65</v>
      </c>
      <c r="AU239" s="14" t="s">
        <v>108</v>
      </c>
      <c r="AV239" s="14" t="s">
        <v>30</v>
      </c>
      <c r="AW239" s="14" t="s">
        <v>63</v>
      </c>
      <c r="AX239" s="138" t="s">
        <v>101</v>
      </c>
    </row>
    <row r="240" spans="2:64" s="13" customFormat="1" x14ac:dyDescent="0.2">
      <c r="B240" s="131"/>
      <c r="D240" s="126" t="s">
        <v>112</v>
      </c>
      <c r="F240" s="133" t="s">
        <v>739</v>
      </c>
      <c r="H240" s="134">
        <v>346.61500000000001</v>
      </c>
      <c r="L240" s="131"/>
      <c r="M240" s="135"/>
      <c r="T240" s="136"/>
      <c r="V240" s="414"/>
      <c r="W240" s="424"/>
      <c r="AS240" s="132" t="s">
        <v>112</v>
      </c>
      <c r="AT240" s="132" t="s">
        <v>65</v>
      </c>
      <c r="AU240" s="13" t="s">
        <v>65</v>
      </c>
      <c r="AV240" s="13" t="s">
        <v>2</v>
      </c>
      <c r="AW240" s="13" t="s">
        <v>63</v>
      </c>
      <c r="AX240" s="132" t="s">
        <v>101</v>
      </c>
    </row>
    <row r="241" spans="2:64" s="13" customFormat="1" x14ac:dyDescent="0.2">
      <c r="B241" s="131"/>
      <c r="D241" s="126"/>
      <c r="F241" s="139" t="s">
        <v>1834</v>
      </c>
      <c r="G241" s="14"/>
      <c r="H241" s="140">
        <f>H240*0.18</f>
        <v>62.390700000000002</v>
      </c>
      <c r="L241" s="131"/>
      <c r="M241" s="135"/>
      <c r="T241" s="136"/>
      <c r="V241" s="414"/>
      <c r="W241" s="424"/>
      <c r="AS241" s="132"/>
      <c r="AT241" s="132"/>
      <c r="AX241" s="132"/>
    </row>
    <row r="242" spans="2:64" s="11" customFormat="1" ht="22.9" customHeight="1" x14ac:dyDescent="0.2">
      <c r="B242" s="98"/>
      <c r="D242" s="99" t="s">
        <v>54</v>
      </c>
      <c r="E242" s="107" t="s">
        <v>119</v>
      </c>
      <c r="F242" s="107" t="s">
        <v>740</v>
      </c>
      <c r="J242" s="108">
        <f>BJ242</f>
        <v>0</v>
      </c>
      <c r="L242" s="98"/>
      <c r="M242" s="102"/>
      <c r="P242" s="103"/>
      <c r="R242" s="103"/>
      <c r="T242" s="104"/>
      <c r="V242" s="414"/>
      <c r="W242" s="423"/>
      <c r="AQ242" s="99" t="s">
        <v>63</v>
      </c>
      <c r="AS242" s="105" t="s">
        <v>54</v>
      </c>
      <c r="AT242" s="105" t="s">
        <v>63</v>
      </c>
      <c r="AX242" s="99" t="s">
        <v>101</v>
      </c>
      <c r="BJ242" s="106">
        <f>SUM(BJ243:BJ244)</f>
        <v>0</v>
      </c>
    </row>
    <row r="243" spans="2:64" s="1" customFormat="1" ht="24.2" customHeight="1" x14ac:dyDescent="0.2">
      <c r="B243" s="109"/>
      <c r="C243" s="110" t="s">
        <v>261</v>
      </c>
      <c r="D243" s="110" t="s">
        <v>103</v>
      </c>
      <c r="E243" s="111" t="s">
        <v>741</v>
      </c>
      <c r="F243" s="112" t="s">
        <v>742</v>
      </c>
      <c r="G243" s="113" t="s">
        <v>106</v>
      </c>
      <c r="H243" s="114">
        <f>10*0.18</f>
        <v>1.7999999999999998</v>
      </c>
      <c r="I243" s="115">
        <v>0</v>
      </c>
      <c r="J243" s="115">
        <f>ROUND(I243*H243,2)</f>
        <v>0</v>
      </c>
      <c r="K243" s="112" t="s">
        <v>107</v>
      </c>
      <c r="L243" s="28"/>
      <c r="M243" s="116"/>
      <c r="N243" s="117"/>
      <c r="O243" s="118"/>
      <c r="P243" s="118"/>
      <c r="Q243" s="118"/>
      <c r="R243" s="118"/>
      <c r="S243" s="118"/>
      <c r="T243" s="119"/>
      <c r="V243" s="414"/>
      <c r="W243" s="424"/>
      <c r="AQ243" s="120" t="s">
        <v>108</v>
      </c>
      <c r="AS243" s="120" t="s">
        <v>103</v>
      </c>
      <c r="AT243" s="120" t="s">
        <v>65</v>
      </c>
      <c r="AX243" s="17" t="s">
        <v>101</v>
      </c>
      <c r="BD243" s="121">
        <f>IF(N243="základní",J243,0)</f>
        <v>0</v>
      </c>
      <c r="BE243" s="121">
        <f>IF(N243="snížená",J243,0)</f>
        <v>0</v>
      </c>
      <c r="BF243" s="121">
        <f>IF(N243="zákl. přenesená",J243,0)</f>
        <v>0</v>
      </c>
      <c r="BG243" s="121">
        <f>IF(N243="sníž. přenesená",J243,0)</f>
        <v>0</v>
      </c>
      <c r="BH243" s="121">
        <f>IF(N243="nulová",J243,0)</f>
        <v>0</v>
      </c>
      <c r="BI243" s="17" t="s">
        <v>63</v>
      </c>
      <c r="BJ243" s="121">
        <f>ROUND(I243*H243,2)</f>
        <v>0</v>
      </c>
      <c r="BK243" s="17" t="s">
        <v>108</v>
      </c>
      <c r="BL243" s="120" t="s">
        <v>743</v>
      </c>
    </row>
    <row r="244" spans="2:64" s="1" customFormat="1" x14ac:dyDescent="0.2">
      <c r="B244" s="28"/>
      <c r="D244" s="122" t="s">
        <v>110</v>
      </c>
      <c r="F244" s="123" t="s">
        <v>744</v>
      </c>
      <c r="L244" s="28"/>
      <c r="M244" s="124"/>
      <c r="T244" s="48"/>
      <c r="V244" s="414"/>
      <c r="W244" s="424"/>
      <c r="AS244" s="17" t="s">
        <v>110</v>
      </c>
      <c r="AT244" s="17" t="s">
        <v>65</v>
      </c>
    </row>
    <row r="245" spans="2:64" s="11" customFormat="1" ht="22.9" customHeight="1" x14ac:dyDescent="0.2">
      <c r="B245" s="98"/>
      <c r="D245" s="99" t="s">
        <v>54</v>
      </c>
      <c r="E245" s="107" t="s">
        <v>108</v>
      </c>
      <c r="F245" s="107" t="s">
        <v>274</v>
      </c>
      <c r="J245" s="108">
        <f>BJ245</f>
        <v>0</v>
      </c>
      <c r="L245" s="98"/>
      <c r="M245" s="102"/>
      <c r="P245" s="103"/>
      <c r="R245" s="103"/>
      <c r="T245" s="104"/>
      <c r="V245" s="414"/>
      <c r="W245" s="423"/>
      <c r="AQ245" s="99" t="s">
        <v>63</v>
      </c>
      <c r="AS245" s="105" t="s">
        <v>54</v>
      </c>
      <c r="AT245" s="105" t="s">
        <v>63</v>
      </c>
      <c r="AX245" s="99" t="s">
        <v>101</v>
      </c>
      <c r="BJ245" s="106">
        <f>SUM(BJ246:BJ303)</f>
        <v>0</v>
      </c>
    </row>
    <row r="246" spans="2:64" s="1" customFormat="1" ht="24.2" customHeight="1" x14ac:dyDescent="0.2">
      <c r="B246" s="109"/>
      <c r="C246" s="110" t="s">
        <v>275</v>
      </c>
      <c r="D246" s="110" t="s">
        <v>103</v>
      </c>
      <c r="E246" s="111" t="s">
        <v>745</v>
      </c>
      <c r="F246" s="112" t="s">
        <v>746</v>
      </c>
      <c r="G246" s="113" t="s">
        <v>130</v>
      </c>
      <c r="H246" s="114">
        <f>3.2*0.18</f>
        <v>0.57599999999999996</v>
      </c>
      <c r="I246" s="115">
        <v>0</v>
      </c>
      <c r="J246" s="115">
        <f>ROUND(I246*H246,2)</f>
        <v>0</v>
      </c>
      <c r="K246" s="112" t="s">
        <v>107</v>
      </c>
      <c r="L246" s="28"/>
      <c r="M246" s="116"/>
      <c r="N246" s="117"/>
      <c r="O246" s="118"/>
      <c r="P246" s="118"/>
      <c r="Q246" s="118"/>
      <c r="R246" s="118"/>
      <c r="S246" s="118"/>
      <c r="T246" s="119"/>
      <c r="V246" s="414"/>
      <c r="W246" s="424"/>
      <c r="AQ246" s="120" t="s">
        <v>108</v>
      </c>
      <c r="AS246" s="120" t="s">
        <v>103</v>
      </c>
      <c r="AT246" s="120" t="s">
        <v>65</v>
      </c>
      <c r="AX246" s="17" t="s">
        <v>101</v>
      </c>
      <c r="BD246" s="121">
        <f>IF(N246="základní",J246,0)</f>
        <v>0</v>
      </c>
      <c r="BE246" s="121">
        <f>IF(N246="snížená",J246,0)</f>
        <v>0</v>
      </c>
      <c r="BF246" s="121">
        <f>IF(N246="zákl. přenesená",J246,0)</f>
        <v>0</v>
      </c>
      <c r="BG246" s="121">
        <f>IF(N246="sníž. přenesená",J246,0)</f>
        <v>0</v>
      </c>
      <c r="BH246" s="121">
        <f>IF(N246="nulová",J246,0)</f>
        <v>0</v>
      </c>
      <c r="BI246" s="17" t="s">
        <v>63</v>
      </c>
      <c r="BJ246" s="121">
        <f>ROUND(I246*H246,2)</f>
        <v>0</v>
      </c>
      <c r="BK246" s="17" t="s">
        <v>108</v>
      </c>
      <c r="BL246" s="120" t="s">
        <v>747</v>
      </c>
    </row>
    <row r="247" spans="2:64" s="1" customFormat="1" x14ac:dyDescent="0.2">
      <c r="B247" s="28"/>
      <c r="D247" s="122" t="s">
        <v>110</v>
      </c>
      <c r="F247" s="123" t="s">
        <v>748</v>
      </c>
      <c r="L247" s="28"/>
      <c r="M247" s="124"/>
      <c r="T247" s="48"/>
      <c r="V247" s="414"/>
      <c r="W247" s="424"/>
      <c r="AS247" s="17" t="s">
        <v>110</v>
      </c>
      <c r="AT247" s="17" t="s">
        <v>65</v>
      </c>
    </row>
    <row r="248" spans="2:64" s="12" customFormat="1" x14ac:dyDescent="0.2">
      <c r="B248" s="125"/>
      <c r="D248" s="126" t="s">
        <v>112</v>
      </c>
      <c r="E248" s="127" t="s">
        <v>1</v>
      </c>
      <c r="F248" s="128" t="s">
        <v>749</v>
      </c>
      <c r="H248" s="127" t="s">
        <v>1</v>
      </c>
      <c r="L248" s="125"/>
      <c r="M248" s="129"/>
      <c r="T248" s="130"/>
      <c r="V248" s="414"/>
      <c r="W248" s="424"/>
      <c r="AS248" s="127" t="s">
        <v>112</v>
      </c>
      <c r="AT248" s="127" t="s">
        <v>65</v>
      </c>
      <c r="AU248" s="12" t="s">
        <v>63</v>
      </c>
      <c r="AV248" s="12" t="s">
        <v>30</v>
      </c>
      <c r="AW248" s="12" t="s">
        <v>55</v>
      </c>
      <c r="AX248" s="127" t="s">
        <v>101</v>
      </c>
    </row>
    <row r="249" spans="2:64" s="12" customFormat="1" x14ac:dyDescent="0.2">
      <c r="B249" s="125"/>
      <c r="D249" s="126" t="s">
        <v>112</v>
      </c>
      <c r="E249" s="127" t="s">
        <v>1</v>
      </c>
      <c r="F249" s="128" t="s">
        <v>750</v>
      </c>
      <c r="H249" s="127" t="s">
        <v>1</v>
      </c>
      <c r="L249" s="125"/>
      <c r="M249" s="129"/>
      <c r="T249" s="130"/>
      <c r="V249" s="414"/>
      <c r="W249" s="424"/>
      <c r="AS249" s="127" t="s">
        <v>112</v>
      </c>
      <c r="AT249" s="127" t="s">
        <v>65</v>
      </c>
      <c r="AU249" s="12" t="s">
        <v>63</v>
      </c>
      <c r="AV249" s="12" t="s">
        <v>30</v>
      </c>
      <c r="AW249" s="12" t="s">
        <v>55</v>
      </c>
      <c r="AX249" s="127" t="s">
        <v>101</v>
      </c>
    </row>
    <row r="250" spans="2:64" s="13" customFormat="1" x14ac:dyDescent="0.2">
      <c r="B250" s="131"/>
      <c r="D250" s="126" t="s">
        <v>112</v>
      </c>
      <c r="E250" s="132" t="s">
        <v>1</v>
      </c>
      <c r="F250" s="133" t="s">
        <v>751</v>
      </c>
      <c r="H250" s="134">
        <v>1.6</v>
      </c>
      <c r="L250" s="131"/>
      <c r="M250" s="135"/>
      <c r="T250" s="136"/>
      <c r="V250" s="414"/>
      <c r="W250" s="424"/>
      <c r="AS250" s="132" t="s">
        <v>112</v>
      </c>
      <c r="AT250" s="132" t="s">
        <v>65</v>
      </c>
      <c r="AU250" s="13" t="s">
        <v>65</v>
      </c>
      <c r="AV250" s="13" t="s">
        <v>30</v>
      </c>
      <c r="AW250" s="13" t="s">
        <v>55</v>
      </c>
      <c r="AX250" s="132" t="s">
        <v>101</v>
      </c>
    </row>
    <row r="251" spans="2:64" s="13" customFormat="1" x14ac:dyDescent="0.2">
      <c r="B251" s="131"/>
      <c r="D251" s="126" t="s">
        <v>112</v>
      </c>
      <c r="E251" s="132" t="s">
        <v>1</v>
      </c>
      <c r="F251" s="133" t="s">
        <v>752</v>
      </c>
      <c r="H251" s="134">
        <v>1.6</v>
      </c>
      <c r="L251" s="131"/>
      <c r="M251" s="135"/>
      <c r="T251" s="136"/>
      <c r="V251" s="414"/>
      <c r="W251" s="424"/>
      <c r="AS251" s="132" t="s">
        <v>112</v>
      </c>
      <c r="AT251" s="132" t="s">
        <v>65</v>
      </c>
      <c r="AU251" s="13" t="s">
        <v>65</v>
      </c>
      <c r="AV251" s="13" t="s">
        <v>30</v>
      </c>
      <c r="AW251" s="13" t="s">
        <v>55</v>
      </c>
      <c r="AX251" s="132" t="s">
        <v>101</v>
      </c>
    </row>
    <row r="252" spans="2:64" s="14" customFormat="1" x14ac:dyDescent="0.2">
      <c r="B252" s="137"/>
      <c r="D252" s="126" t="s">
        <v>112</v>
      </c>
      <c r="E252" s="138" t="s">
        <v>1</v>
      </c>
      <c r="F252" s="139" t="s">
        <v>127</v>
      </c>
      <c r="H252" s="140">
        <v>3.2</v>
      </c>
      <c r="L252" s="137"/>
      <c r="M252" s="141"/>
      <c r="T252" s="142"/>
      <c r="V252" s="414"/>
      <c r="W252" s="424"/>
      <c r="AS252" s="138" t="s">
        <v>112</v>
      </c>
      <c r="AT252" s="138" t="s">
        <v>65</v>
      </c>
      <c r="AU252" s="14" t="s">
        <v>108</v>
      </c>
      <c r="AV252" s="14" t="s">
        <v>30</v>
      </c>
      <c r="AW252" s="14" t="s">
        <v>63</v>
      </c>
      <c r="AX252" s="138" t="s">
        <v>101</v>
      </c>
    </row>
    <row r="253" spans="2:64" s="14" customFormat="1" x14ac:dyDescent="0.2">
      <c r="B253" s="137"/>
      <c r="D253" s="126"/>
      <c r="E253" s="138"/>
      <c r="F253" s="139" t="s">
        <v>1842</v>
      </c>
      <c r="H253" s="140">
        <f>H252*0.18</f>
        <v>0.57599999999999996</v>
      </c>
      <c r="L253" s="137"/>
      <c r="M253" s="141"/>
      <c r="T253" s="142"/>
      <c r="V253" s="414"/>
      <c r="W253" s="424"/>
      <c r="AS253" s="138"/>
      <c r="AT253" s="138"/>
      <c r="AX253" s="138"/>
    </row>
    <row r="254" spans="2:64" s="1" customFormat="1" ht="33" customHeight="1" x14ac:dyDescent="0.2">
      <c r="B254" s="109"/>
      <c r="C254" s="110" t="s">
        <v>288</v>
      </c>
      <c r="D254" s="110" t="s">
        <v>103</v>
      </c>
      <c r="E254" s="111" t="s">
        <v>276</v>
      </c>
      <c r="F254" s="112" t="s">
        <v>277</v>
      </c>
      <c r="G254" s="113" t="s">
        <v>130</v>
      </c>
      <c r="H254" s="114">
        <f>43.324*0.18</f>
        <v>7.7983199999999995</v>
      </c>
      <c r="I254" s="115">
        <v>0</v>
      </c>
      <c r="J254" s="115">
        <f>ROUND(I254*H254,2)</f>
        <v>0</v>
      </c>
      <c r="K254" s="112" t="s">
        <v>107</v>
      </c>
      <c r="L254" s="28"/>
      <c r="M254" s="116"/>
      <c r="N254" s="117"/>
      <c r="O254" s="118"/>
      <c r="P254" s="118"/>
      <c r="Q254" s="118"/>
      <c r="R254" s="118"/>
      <c r="S254" s="118"/>
      <c r="T254" s="119"/>
      <c r="V254" s="414"/>
      <c r="W254" s="424"/>
      <c r="AQ254" s="120" t="s">
        <v>108</v>
      </c>
      <c r="AS254" s="120" t="s">
        <v>103</v>
      </c>
      <c r="AT254" s="120" t="s">
        <v>65</v>
      </c>
      <c r="AX254" s="17" t="s">
        <v>101</v>
      </c>
      <c r="BD254" s="121">
        <f>IF(N254="základní",J254,0)</f>
        <v>0</v>
      </c>
      <c r="BE254" s="121">
        <f>IF(N254="snížená",J254,0)</f>
        <v>0</v>
      </c>
      <c r="BF254" s="121">
        <f>IF(N254="zákl. přenesená",J254,0)</f>
        <v>0</v>
      </c>
      <c r="BG254" s="121">
        <f>IF(N254="sníž. přenesená",J254,0)</f>
        <v>0</v>
      </c>
      <c r="BH254" s="121">
        <f>IF(N254="nulová",J254,0)</f>
        <v>0</v>
      </c>
      <c r="BI254" s="17" t="s">
        <v>63</v>
      </c>
      <c r="BJ254" s="121">
        <f>ROUND(I254*H254,2)</f>
        <v>0</v>
      </c>
      <c r="BK254" s="17" t="s">
        <v>108</v>
      </c>
      <c r="BL254" s="120" t="s">
        <v>753</v>
      </c>
    </row>
    <row r="255" spans="2:64" s="1" customFormat="1" x14ac:dyDescent="0.2">
      <c r="B255" s="28"/>
      <c r="D255" s="122" t="s">
        <v>110</v>
      </c>
      <c r="F255" s="123" t="s">
        <v>279</v>
      </c>
      <c r="L255" s="28"/>
      <c r="M255" s="124"/>
      <c r="T255" s="48"/>
      <c r="V255" s="414"/>
      <c r="W255" s="424"/>
      <c r="AS255" s="17" t="s">
        <v>110</v>
      </c>
      <c r="AT255" s="17" t="s">
        <v>65</v>
      </c>
    </row>
    <row r="256" spans="2:64" s="12" customFormat="1" x14ac:dyDescent="0.2">
      <c r="B256" s="125"/>
      <c r="D256" s="126" t="s">
        <v>112</v>
      </c>
      <c r="E256" s="127" t="s">
        <v>1</v>
      </c>
      <c r="F256" s="128" t="s">
        <v>280</v>
      </c>
      <c r="H256" s="127" t="s">
        <v>1</v>
      </c>
      <c r="L256" s="125"/>
      <c r="M256" s="129"/>
      <c r="T256" s="130"/>
      <c r="V256" s="414"/>
      <c r="W256" s="424"/>
      <c r="AS256" s="127" t="s">
        <v>112</v>
      </c>
      <c r="AT256" s="127" t="s">
        <v>65</v>
      </c>
      <c r="AU256" s="12" t="s">
        <v>63</v>
      </c>
      <c r="AV256" s="12" t="s">
        <v>30</v>
      </c>
      <c r="AW256" s="12" t="s">
        <v>55</v>
      </c>
      <c r="AX256" s="127" t="s">
        <v>101</v>
      </c>
    </row>
    <row r="257" spans="2:64" s="13" customFormat="1" x14ac:dyDescent="0.2">
      <c r="B257" s="131"/>
      <c r="D257" s="126" t="s">
        <v>112</v>
      </c>
      <c r="E257" s="132" t="s">
        <v>1</v>
      </c>
      <c r="F257" s="133" t="s">
        <v>754</v>
      </c>
      <c r="H257" s="134">
        <v>37.713999999999999</v>
      </c>
      <c r="L257" s="131"/>
      <c r="M257" s="135"/>
      <c r="T257" s="136"/>
      <c r="V257" s="414"/>
      <c r="W257" s="424"/>
      <c r="AS257" s="132" t="s">
        <v>112</v>
      </c>
      <c r="AT257" s="132" t="s">
        <v>65</v>
      </c>
      <c r="AU257" s="13" t="s">
        <v>65</v>
      </c>
      <c r="AV257" s="13" t="s">
        <v>30</v>
      </c>
      <c r="AW257" s="13" t="s">
        <v>55</v>
      </c>
      <c r="AX257" s="132" t="s">
        <v>101</v>
      </c>
    </row>
    <row r="258" spans="2:64" s="13" customFormat="1" x14ac:dyDescent="0.2">
      <c r="B258" s="131"/>
      <c r="D258" s="126" t="s">
        <v>112</v>
      </c>
      <c r="E258" s="132" t="s">
        <v>1</v>
      </c>
      <c r="F258" s="133" t="s">
        <v>755</v>
      </c>
      <c r="H258" s="134">
        <v>0.39</v>
      </c>
      <c r="L258" s="131"/>
      <c r="M258" s="135"/>
      <c r="T258" s="136"/>
      <c r="V258" s="414"/>
      <c r="W258" s="424"/>
      <c r="AS258" s="132" t="s">
        <v>112</v>
      </c>
      <c r="AT258" s="132" t="s">
        <v>65</v>
      </c>
      <c r="AU258" s="13" t="s">
        <v>65</v>
      </c>
      <c r="AV258" s="13" t="s">
        <v>30</v>
      </c>
      <c r="AW258" s="13" t="s">
        <v>55</v>
      </c>
      <c r="AX258" s="132" t="s">
        <v>101</v>
      </c>
    </row>
    <row r="259" spans="2:64" s="13" customFormat="1" x14ac:dyDescent="0.2">
      <c r="B259" s="131"/>
      <c r="D259" s="126" t="s">
        <v>112</v>
      </c>
      <c r="E259" s="132" t="s">
        <v>1</v>
      </c>
      <c r="F259" s="133" t="s">
        <v>756</v>
      </c>
      <c r="H259" s="134">
        <v>1.647</v>
      </c>
      <c r="L259" s="131"/>
      <c r="M259" s="135"/>
      <c r="T259" s="136"/>
      <c r="V259" s="414"/>
      <c r="W259" s="424"/>
      <c r="AS259" s="132" t="s">
        <v>112</v>
      </c>
      <c r="AT259" s="132" t="s">
        <v>65</v>
      </c>
      <c r="AU259" s="13" t="s">
        <v>65</v>
      </c>
      <c r="AV259" s="13" t="s">
        <v>30</v>
      </c>
      <c r="AW259" s="13" t="s">
        <v>55</v>
      </c>
      <c r="AX259" s="132" t="s">
        <v>101</v>
      </c>
    </row>
    <row r="260" spans="2:64" s="13" customFormat="1" x14ac:dyDescent="0.2">
      <c r="B260" s="131"/>
      <c r="D260" s="126" t="s">
        <v>112</v>
      </c>
      <c r="E260" s="132" t="s">
        <v>1</v>
      </c>
      <c r="F260" s="133" t="s">
        <v>757</v>
      </c>
      <c r="H260" s="134">
        <v>1.917</v>
      </c>
      <c r="L260" s="131"/>
      <c r="M260" s="135"/>
      <c r="T260" s="136"/>
      <c r="V260" s="414"/>
      <c r="W260" s="424"/>
      <c r="AS260" s="132" t="s">
        <v>112</v>
      </c>
      <c r="AT260" s="132" t="s">
        <v>65</v>
      </c>
      <c r="AU260" s="13" t="s">
        <v>65</v>
      </c>
      <c r="AV260" s="13" t="s">
        <v>30</v>
      </c>
      <c r="AW260" s="13" t="s">
        <v>55</v>
      </c>
      <c r="AX260" s="132" t="s">
        <v>101</v>
      </c>
    </row>
    <row r="261" spans="2:64" s="13" customFormat="1" x14ac:dyDescent="0.2">
      <c r="B261" s="131"/>
      <c r="D261" s="126" t="s">
        <v>112</v>
      </c>
      <c r="E261" s="132" t="s">
        <v>1</v>
      </c>
      <c r="F261" s="133" t="s">
        <v>758</v>
      </c>
      <c r="H261" s="134">
        <v>1.6559999999999999</v>
      </c>
      <c r="L261" s="131"/>
      <c r="M261" s="135"/>
      <c r="T261" s="136"/>
      <c r="V261" s="414"/>
      <c r="W261" s="424"/>
      <c r="AS261" s="132" t="s">
        <v>112</v>
      </c>
      <c r="AT261" s="132" t="s">
        <v>65</v>
      </c>
      <c r="AU261" s="13" t="s">
        <v>65</v>
      </c>
      <c r="AV261" s="13" t="s">
        <v>30</v>
      </c>
      <c r="AW261" s="13" t="s">
        <v>55</v>
      </c>
      <c r="AX261" s="132" t="s">
        <v>101</v>
      </c>
    </row>
    <row r="262" spans="2:64" s="14" customFormat="1" x14ac:dyDescent="0.2">
      <c r="B262" s="137"/>
      <c r="D262" s="126" t="s">
        <v>112</v>
      </c>
      <c r="E262" s="138" t="s">
        <v>1</v>
      </c>
      <c r="F262" s="139" t="s">
        <v>127</v>
      </c>
      <c r="H262" s="140">
        <v>43.323999999999998</v>
      </c>
      <c r="L262" s="137"/>
      <c r="M262" s="141"/>
      <c r="T262" s="142"/>
      <c r="V262" s="414"/>
      <c r="W262" s="424"/>
      <c r="AS262" s="138" t="s">
        <v>112</v>
      </c>
      <c r="AT262" s="138" t="s">
        <v>65</v>
      </c>
      <c r="AU262" s="14" t="s">
        <v>108</v>
      </c>
      <c r="AV262" s="14" t="s">
        <v>30</v>
      </c>
      <c r="AW262" s="14" t="s">
        <v>63</v>
      </c>
      <c r="AX262" s="138" t="s">
        <v>101</v>
      </c>
    </row>
    <row r="263" spans="2:64" s="14" customFormat="1" x14ac:dyDescent="0.2">
      <c r="B263" s="137"/>
      <c r="D263" s="126"/>
      <c r="E263" s="138"/>
      <c r="F263" s="139" t="s">
        <v>1842</v>
      </c>
      <c r="H263" s="140">
        <f>H262*0.18</f>
        <v>7.7983199999999995</v>
      </c>
      <c r="L263" s="137"/>
      <c r="M263" s="141"/>
      <c r="T263" s="142"/>
      <c r="V263" s="414"/>
      <c r="W263" s="424"/>
      <c r="AS263" s="138"/>
      <c r="AT263" s="138"/>
      <c r="AX263" s="138"/>
    </row>
    <row r="264" spans="2:64" s="1" customFormat="1" ht="44.25" customHeight="1" x14ac:dyDescent="0.2">
      <c r="B264" s="109"/>
      <c r="C264" s="110" t="s">
        <v>297</v>
      </c>
      <c r="D264" s="110" t="s">
        <v>103</v>
      </c>
      <c r="E264" s="111" t="s">
        <v>759</v>
      </c>
      <c r="F264" s="112" t="s">
        <v>760</v>
      </c>
      <c r="G264" s="113" t="s">
        <v>130</v>
      </c>
      <c r="H264" s="114">
        <f>2.32*0.18</f>
        <v>0.41759999999999997</v>
      </c>
      <c r="I264" s="115">
        <v>0</v>
      </c>
      <c r="J264" s="115">
        <f>ROUND(I264*H264,2)</f>
        <v>0</v>
      </c>
      <c r="K264" s="112" t="s">
        <v>107</v>
      </c>
      <c r="L264" s="28"/>
      <c r="M264" s="116"/>
      <c r="N264" s="117"/>
      <c r="O264" s="118"/>
      <c r="P264" s="118"/>
      <c r="Q264" s="118"/>
      <c r="R264" s="118"/>
      <c r="S264" s="118"/>
      <c r="T264" s="119"/>
      <c r="V264" s="414"/>
      <c r="W264" s="424"/>
      <c r="AQ264" s="120" t="s">
        <v>108</v>
      </c>
      <c r="AS264" s="120" t="s">
        <v>103</v>
      </c>
      <c r="AT264" s="120" t="s">
        <v>65</v>
      </c>
      <c r="AX264" s="17" t="s">
        <v>101</v>
      </c>
      <c r="BD264" s="121">
        <f>IF(N264="základní",J264,0)</f>
        <v>0</v>
      </c>
      <c r="BE264" s="121">
        <f>IF(N264="snížená",J264,0)</f>
        <v>0</v>
      </c>
      <c r="BF264" s="121">
        <f>IF(N264="zákl. přenesená",J264,0)</f>
        <v>0</v>
      </c>
      <c r="BG264" s="121">
        <f>IF(N264="sníž. přenesená",J264,0)</f>
        <v>0</v>
      </c>
      <c r="BH264" s="121">
        <f>IF(N264="nulová",J264,0)</f>
        <v>0</v>
      </c>
      <c r="BI264" s="17" t="s">
        <v>63</v>
      </c>
      <c r="BJ264" s="121">
        <f>ROUND(I264*H264,2)</f>
        <v>0</v>
      </c>
      <c r="BK264" s="17" t="s">
        <v>108</v>
      </c>
      <c r="BL264" s="120" t="s">
        <v>761</v>
      </c>
    </row>
    <row r="265" spans="2:64" s="1" customFormat="1" x14ac:dyDescent="0.2">
      <c r="B265" s="28"/>
      <c r="D265" s="122" t="s">
        <v>110</v>
      </c>
      <c r="F265" s="123" t="s">
        <v>762</v>
      </c>
      <c r="L265" s="28"/>
      <c r="M265" s="124"/>
      <c r="T265" s="48"/>
      <c r="V265" s="414"/>
      <c r="W265" s="424"/>
      <c r="AS265" s="17" t="s">
        <v>110</v>
      </c>
      <c r="AT265" s="17" t="s">
        <v>65</v>
      </c>
    </row>
    <row r="266" spans="2:64" s="12" customFormat="1" x14ac:dyDescent="0.2">
      <c r="B266" s="125"/>
      <c r="D266" s="126" t="s">
        <v>112</v>
      </c>
      <c r="E266" s="127" t="s">
        <v>1</v>
      </c>
      <c r="F266" s="128" t="s">
        <v>763</v>
      </c>
      <c r="H266" s="127" t="s">
        <v>1</v>
      </c>
      <c r="L266" s="125"/>
      <c r="M266" s="129"/>
      <c r="T266" s="130"/>
      <c r="V266" s="414"/>
      <c r="W266" s="424"/>
      <c r="AS266" s="127" t="s">
        <v>112</v>
      </c>
      <c r="AT266" s="127" t="s">
        <v>65</v>
      </c>
      <c r="AU266" s="12" t="s">
        <v>63</v>
      </c>
      <c r="AV266" s="12" t="s">
        <v>30</v>
      </c>
      <c r="AW266" s="12" t="s">
        <v>55</v>
      </c>
      <c r="AX266" s="127" t="s">
        <v>101</v>
      </c>
    </row>
    <row r="267" spans="2:64" s="13" customFormat="1" x14ac:dyDescent="0.2">
      <c r="B267" s="131"/>
      <c r="D267" s="126" t="s">
        <v>112</v>
      </c>
      <c r="E267" s="132" t="s">
        <v>1</v>
      </c>
      <c r="F267" s="133" t="s">
        <v>764</v>
      </c>
      <c r="H267" s="134">
        <v>2</v>
      </c>
      <c r="L267" s="131"/>
      <c r="M267" s="135"/>
      <c r="T267" s="136"/>
      <c r="V267" s="414"/>
      <c r="W267" s="424"/>
      <c r="AS267" s="132" t="s">
        <v>112</v>
      </c>
      <c r="AT267" s="132" t="s">
        <v>65</v>
      </c>
      <c r="AU267" s="13" t="s">
        <v>65</v>
      </c>
      <c r="AV267" s="13" t="s">
        <v>30</v>
      </c>
      <c r="AW267" s="13" t="s">
        <v>55</v>
      </c>
      <c r="AX267" s="132" t="s">
        <v>101</v>
      </c>
    </row>
    <row r="268" spans="2:64" s="13" customFormat="1" x14ac:dyDescent="0.2">
      <c r="B268" s="131"/>
      <c r="D268" s="126" t="s">
        <v>112</v>
      </c>
      <c r="E268" s="132" t="s">
        <v>1</v>
      </c>
      <c r="F268" s="133" t="s">
        <v>765</v>
      </c>
      <c r="H268" s="134">
        <v>0.32</v>
      </c>
      <c r="L268" s="131"/>
      <c r="M268" s="135"/>
      <c r="T268" s="136"/>
      <c r="V268" s="414"/>
      <c r="W268" s="424"/>
      <c r="AS268" s="132" t="s">
        <v>112</v>
      </c>
      <c r="AT268" s="132" t="s">
        <v>65</v>
      </c>
      <c r="AU268" s="13" t="s">
        <v>65</v>
      </c>
      <c r="AV268" s="13" t="s">
        <v>30</v>
      </c>
      <c r="AW268" s="13" t="s">
        <v>55</v>
      </c>
      <c r="AX268" s="132" t="s">
        <v>101</v>
      </c>
    </row>
    <row r="269" spans="2:64" s="14" customFormat="1" x14ac:dyDescent="0.2">
      <c r="B269" s="137"/>
      <c r="D269" s="126" t="s">
        <v>112</v>
      </c>
      <c r="E269" s="138" t="s">
        <v>1</v>
      </c>
      <c r="F269" s="139" t="s">
        <v>127</v>
      </c>
      <c r="H269" s="140">
        <v>2.3199999999999998</v>
      </c>
      <c r="L269" s="137"/>
      <c r="M269" s="141"/>
      <c r="T269" s="142"/>
      <c r="V269" s="414"/>
      <c r="W269" s="424"/>
      <c r="AS269" s="138" t="s">
        <v>112</v>
      </c>
      <c r="AT269" s="138" t="s">
        <v>65</v>
      </c>
      <c r="AU269" s="14" t="s">
        <v>108</v>
      </c>
      <c r="AV269" s="14" t="s">
        <v>30</v>
      </c>
      <c r="AW269" s="14" t="s">
        <v>63</v>
      </c>
      <c r="AX269" s="138" t="s">
        <v>101</v>
      </c>
    </row>
    <row r="270" spans="2:64" s="14" customFormat="1" x14ac:dyDescent="0.2">
      <c r="B270" s="137"/>
      <c r="D270" s="126"/>
      <c r="E270" s="138"/>
      <c r="F270" s="139" t="s">
        <v>1842</v>
      </c>
      <c r="H270" s="140">
        <f>H269*0.18</f>
        <v>0.41759999999999997</v>
      </c>
      <c r="L270" s="137"/>
      <c r="M270" s="141"/>
      <c r="T270" s="142"/>
      <c r="V270" s="414"/>
      <c r="W270" s="424"/>
      <c r="AS270" s="138"/>
      <c r="AT270" s="138"/>
      <c r="AX270" s="138"/>
    </row>
    <row r="271" spans="2:64" s="1" customFormat="1" ht="44.25" customHeight="1" x14ac:dyDescent="0.2">
      <c r="B271" s="109"/>
      <c r="C271" s="110" t="s">
        <v>307</v>
      </c>
      <c r="D271" s="110" t="s">
        <v>103</v>
      </c>
      <c r="E271" s="111" t="s">
        <v>289</v>
      </c>
      <c r="F271" s="112" t="s">
        <v>290</v>
      </c>
      <c r="G271" s="113" t="s">
        <v>130</v>
      </c>
      <c r="H271" s="114">
        <v>0.38200000000000001</v>
      </c>
      <c r="I271" s="115">
        <v>0</v>
      </c>
      <c r="J271" s="115">
        <f>ROUND(I271*H271,2)</f>
        <v>0</v>
      </c>
      <c r="K271" s="112" t="s">
        <v>107</v>
      </c>
      <c r="L271" s="28"/>
      <c r="M271" s="116"/>
      <c r="N271" s="117"/>
      <c r="O271" s="118"/>
      <c r="P271" s="118"/>
      <c r="Q271" s="118"/>
      <c r="R271" s="118"/>
      <c r="S271" s="118"/>
      <c r="T271" s="119"/>
      <c r="V271" s="414"/>
      <c r="W271" s="424"/>
      <c r="AQ271" s="120" t="s">
        <v>108</v>
      </c>
      <c r="AS271" s="120" t="s">
        <v>103</v>
      </c>
      <c r="AT271" s="120" t="s">
        <v>65</v>
      </c>
      <c r="AX271" s="17" t="s">
        <v>101</v>
      </c>
      <c r="BD271" s="121">
        <f>IF(N271="základní",J271,0)</f>
        <v>0</v>
      </c>
      <c r="BE271" s="121">
        <f>IF(N271="snížená",J271,0)</f>
        <v>0</v>
      </c>
      <c r="BF271" s="121">
        <f>IF(N271="zákl. přenesená",J271,0)</f>
        <v>0</v>
      </c>
      <c r="BG271" s="121">
        <f>IF(N271="sníž. přenesená",J271,0)</f>
        <v>0</v>
      </c>
      <c r="BH271" s="121">
        <f>IF(N271="nulová",J271,0)</f>
        <v>0</v>
      </c>
      <c r="BI271" s="17" t="s">
        <v>63</v>
      </c>
      <c r="BJ271" s="121">
        <f>ROUND(I271*H271,2)</f>
        <v>0</v>
      </c>
      <c r="BK271" s="17" t="s">
        <v>108</v>
      </c>
      <c r="BL271" s="120" t="s">
        <v>766</v>
      </c>
    </row>
    <row r="272" spans="2:64" s="1" customFormat="1" x14ac:dyDescent="0.2">
      <c r="B272" s="28"/>
      <c r="D272" s="122" t="s">
        <v>110</v>
      </c>
      <c r="F272" s="123" t="s">
        <v>292</v>
      </c>
      <c r="L272" s="28"/>
      <c r="M272" s="124"/>
      <c r="T272" s="48"/>
      <c r="V272" s="414"/>
      <c r="W272" s="424"/>
      <c r="AS272" s="17" t="s">
        <v>110</v>
      </c>
      <c r="AT272" s="17" t="s">
        <v>65</v>
      </c>
    </row>
    <row r="273" spans="2:64" s="12" customFormat="1" x14ac:dyDescent="0.2">
      <c r="B273" s="125"/>
      <c r="D273" s="126" t="s">
        <v>112</v>
      </c>
      <c r="E273" s="127" t="s">
        <v>1</v>
      </c>
      <c r="F273" s="128" t="s">
        <v>293</v>
      </c>
      <c r="H273" s="127" t="s">
        <v>1</v>
      </c>
      <c r="L273" s="125"/>
      <c r="M273" s="129"/>
      <c r="T273" s="130"/>
      <c r="V273" s="414"/>
      <c r="W273" s="424"/>
      <c r="AS273" s="127" t="s">
        <v>112</v>
      </c>
      <c r="AT273" s="127" t="s">
        <v>65</v>
      </c>
      <c r="AU273" s="12" t="s">
        <v>63</v>
      </c>
      <c r="AV273" s="12" t="s">
        <v>30</v>
      </c>
      <c r="AW273" s="12" t="s">
        <v>55</v>
      </c>
      <c r="AX273" s="127" t="s">
        <v>101</v>
      </c>
    </row>
    <row r="274" spans="2:64" s="13" customFormat="1" x14ac:dyDescent="0.2">
      <c r="B274" s="131"/>
      <c r="D274" s="126" t="s">
        <v>112</v>
      </c>
      <c r="E274" s="132" t="s">
        <v>1</v>
      </c>
      <c r="F274" s="133" t="s">
        <v>295</v>
      </c>
      <c r="H274" s="134">
        <v>0.16400000000000001</v>
      </c>
      <c r="L274" s="131"/>
      <c r="M274" s="135"/>
      <c r="T274" s="136"/>
      <c r="V274" s="414"/>
      <c r="W274" s="424"/>
      <c r="AS274" s="132" t="s">
        <v>112</v>
      </c>
      <c r="AT274" s="132" t="s">
        <v>65</v>
      </c>
      <c r="AU274" s="13" t="s">
        <v>65</v>
      </c>
      <c r="AV274" s="13" t="s">
        <v>30</v>
      </c>
      <c r="AW274" s="13" t="s">
        <v>55</v>
      </c>
      <c r="AX274" s="132" t="s">
        <v>101</v>
      </c>
    </row>
    <row r="275" spans="2:64" s="13" customFormat="1" x14ac:dyDescent="0.2">
      <c r="B275" s="131"/>
      <c r="D275" s="126" t="s">
        <v>112</v>
      </c>
      <c r="E275" s="132" t="s">
        <v>1</v>
      </c>
      <c r="F275" s="133" t="s">
        <v>767</v>
      </c>
      <c r="H275" s="134">
        <v>0.218</v>
      </c>
      <c r="L275" s="131"/>
      <c r="M275" s="135"/>
      <c r="T275" s="136"/>
      <c r="V275" s="414"/>
      <c r="W275" s="424"/>
      <c r="AS275" s="132" t="s">
        <v>112</v>
      </c>
      <c r="AT275" s="132" t="s">
        <v>65</v>
      </c>
      <c r="AU275" s="13" t="s">
        <v>65</v>
      </c>
      <c r="AV275" s="13" t="s">
        <v>30</v>
      </c>
      <c r="AW275" s="13" t="s">
        <v>55</v>
      </c>
      <c r="AX275" s="132" t="s">
        <v>101</v>
      </c>
    </row>
    <row r="276" spans="2:64" s="14" customFormat="1" x14ac:dyDescent="0.2">
      <c r="B276" s="137"/>
      <c r="D276" s="126" t="s">
        <v>112</v>
      </c>
      <c r="E276" s="138" t="s">
        <v>1</v>
      </c>
      <c r="F276" s="139" t="s">
        <v>127</v>
      </c>
      <c r="H276" s="140">
        <v>0.38200000000000001</v>
      </c>
      <c r="L276" s="137"/>
      <c r="M276" s="141"/>
      <c r="T276" s="142"/>
      <c r="V276" s="414"/>
      <c r="W276" s="424"/>
      <c r="AS276" s="138" t="s">
        <v>112</v>
      </c>
      <c r="AT276" s="138" t="s">
        <v>65</v>
      </c>
      <c r="AU276" s="14" t="s">
        <v>108</v>
      </c>
      <c r="AV276" s="14" t="s">
        <v>30</v>
      </c>
      <c r="AW276" s="14" t="s">
        <v>63</v>
      </c>
      <c r="AX276" s="138" t="s">
        <v>101</v>
      </c>
    </row>
    <row r="277" spans="2:64" s="1" customFormat="1" ht="49.15" customHeight="1" x14ac:dyDescent="0.2">
      <c r="B277" s="109"/>
      <c r="C277" s="110" t="s">
        <v>311</v>
      </c>
      <c r="D277" s="110" t="s">
        <v>103</v>
      </c>
      <c r="E277" s="111" t="s">
        <v>768</v>
      </c>
      <c r="F277" s="112" t="s">
        <v>769</v>
      </c>
      <c r="G277" s="113" t="s">
        <v>130</v>
      </c>
      <c r="H277" s="114">
        <f>1.35*0.18</f>
        <v>0.24299999999999999</v>
      </c>
      <c r="I277" s="115">
        <v>0</v>
      </c>
      <c r="J277" s="115">
        <f>ROUND(I277*H277,2)</f>
        <v>0</v>
      </c>
      <c r="K277" s="112" t="s">
        <v>107</v>
      </c>
      <c r="L277" s="28"/>
      <c r="M277" s="116"/>
      <c r="N277" s="117"/>
      <c r="O277" s="118"/>
      <c r="P277" s="118"/>
      <c r="Q277" s="118"/>
      <c r="R277" s="118"/>
      <c r="S277" s="118"/>
      <c r="T277" s="119"/>
      <c r="V277" s="414"/>
      <c r="W277" s="424"/>
      <c r="AQ277" s="120" t="s">
        <v>108</v>
      </c>
      <c r="AS277" s="120" t="s">
        <v>103</v>
      </c>
      <c r="AT277" s="120" t="s">
        <v>65</v>
      </c>
      <c r="AX277" s="17" t="s">
        <v>101</v>
      </c>
      <c r="BD277" s="121">
        <f>IF(N277="základní",J277,0)</f>
        <v>0</v>
      </c>
      <c r="BE277" s="121">
        <f>IF(N277="snížená",J277,0)</f>
        <v>0</v>
      </c>
      <c r="BF277" s="121">
        <f>IF(N277="zákl. přenesená",J277,0)</f>
        <v>0</v>
      </c>
      <c r="BG277" s="121">
        <f>IF(N277="sníž. přenesená",J277,0)</f>
        <v>0</v>
      </c>
      <c r="BH277" s="121">
        <f>IF(N277="nulová",J277,0)</f>
        <v>0</v>
      </c>
      <c r="BI277" s="17" t="s">
        <v>63</v>
      </c>
      <c r="BJ277" s="121">
        <f>ROUND(I277*H277,2)</f>
        <v>0</v>
      </c>
      <c r="BK277" s="17" t="s">
        <v>108</v>
      </c>
      <c r="BL277" s="120" t="s">
        <v>770</v>
      </c>
    </row>
    <row r="278" spans="2:64" s="1" customFormat="1" x14ac:dyDescent="0.2">
      <c r="B278" s="28"/>
      <c r="D278" s="122" t="s">
        <v>110</v>
      </c>
      <c r="F278" s="123" t="s">
        <v>771</v>
      </c>
      <c r="L278" s="28"/>
      <c r="M278" s="124"/>
      <c r="T278" s="48"/>
      <c r="V278" s="414"/>
      <c r="W278" s="424"/>
      <c r="AS278" s="17" t="s">
        <v>110</v>
      </c>
      <c r="AT278" s="17" t="s">
        <v>65</v>
      </c>
    </row>
    <row r="279" spans="2:64" s="12" customFormat="1" x14ac:dyDescent="0.2">
      <c r="B279" s="125"/>
      <c r="D279" s="126" t="s">
        <v>112</v>
      </c>
      <c r="E279" s="127" t="s">
        <v>1</v>
      </c>
      <c r="F279" s="128" t="s">
        <v>772</v>
      </c>
      <c r="H279" s="127" t="s">
        <v>1</v>
      </c>
      <c r="L279" s="125"/>
      <c r="M279" s="129"/>
      <c r="T279" s="130"/>
      <c r="V279" s="414"/>
      <c r="W279" s="424"/>
      <c r="AS279" s="127" t="s">
        <v>112</v>
      </c>
      <c r="AT279" s="127" t="s">
        <v>65</v>
      </c>
      <c r="AU279" s="12" t="s">
        <v>63</v>
      </c>
      <c r="AV279" s="12" t="s">
        <v>30</v>
      </c>
      <c r="AW279" s="12" t="s">
        <v>55</v>
      </c>
      <c r="AX279" s="127" t="s">
        <v>101</v>
      </c>
    </row>
    <row r="280" spans="2:64" s="13" customFormat="1" x14ac:dyDescent="0.2">
      <c r="B280" s="131"/>
      <c r="D280" s="126" t="s">
        <v>112</v>
      </c>
      <c r="E280" s="132" t="s">
        <v>1</v>
      </c>
      <c r="F280" s="133" t="s">
        <v>773</v>
      </c>
      <c r="H280" s="134">
        <v>0.67500000000000004</v>
      </c>
      <c r="L280" s="131"/>
      <c r="M280" s="135"/>
      <c r="T280" s="136"/>
      <c r="V280" s="414"/>
      <c r="W280" s="424"/>
      <c r="AS280" s="132" t="s">
        <v>112</v>
      </c>
      <c r="AT280" s="132" t="s">
        <v>65</v>
      </c>
      <c r="AU280" s="13" t="s">
        <v>65</v>
      </c>
      <c r="AV280" s="13" t="s">
        <v>30</v>
      </c>
      <c r="AW280" s="13" t="s">
        <v>55</v>
      </c>
      <c r="AX280" s="132" t="s">
        <v>101</v>
      </c>
    </row>
    <row r="281" spans="2:64" s="13" customFormat="1" x14ac:dyDescent="0.2">
      <c r="B281" s="131"/>
      <c r="D281" s="126" t="s">
        <v>112</v>
      </c>
      <c r="E281" s="132" t="s">
        <v>1</v>
      </c>
      <c r="F281" s="133" t="s">
        <v>774</v>
      </c>
      <c r="H281" s="134">
        <v>0.67500000000000004</v>
      </c>
      <c r="L281" s="131"/>
      <c r="M281" s="135"/>
      <c r="T281" s="136"/>
      <c r="V281" s="414"/>
      <c r="W281" s="424"/>
      <c r="AS281" s="132" t="s">
        <v>112</v>
      </c>
      <c r="AT281" s="132" t="s">
        <v>65</v>
      </c>
      <c r="AU281" s="13" t="s">
        <v>65</v>
      </c>
      <c r="AV281" s="13" t="s">
        <v>30</v>
      </c>
      <c r="AW281" s="13" t="s">
        <v>55</v>
      </c>
      <c r="AX281" s="132" t="s">
        <v>101</v>
      </c>
    </row>
    <row r="282" spans="2:64" s="14" customFormat="1" x14ac:dyDescent="0.2">
      <c r="B282" s="137"/>
      <c r="D282" s="126" t="s">
        <v>112</v>
      </c>
      <c r="E282" s="138" t="s">
        <v>1</v>
      </c>
      <c r="F282" s="139" t="s">
        <v>127</v>
      </c>
      <c r="H282" s="140">
        <v>1.35</v>
      </c>
      <c r="L282" s="137"/>
      <c r="M282" s="141"/>
      <c r="T282" s="142"/>
      <c r="V282" s="414"/>
      <c r="W282" s="424"/>
      <c r="AS282" s="138" t="s">
        <v>112</v>
      </c>
      <c r="AT282" s="138" t="s">
        <v>65</v>
      </c>
      <c r="AU282" s="14" t="s">
        <v>108</v>
      </c>
      <c r="AV282" s="14" t="s">
        <v>30</v>
      </c>
      <c r="AW282" s="14" t="s">
        <v>63</v>
      </c>
      <c r="AX282" s="138" t="s">
        <v>101</v>
      </c>
    </row>
    <row r="283" spans="2:64" s="14" customFormat="1" x14ac:dyDescent="0.2">
      <c r="B283" s="137"/>
      <c r="D283" s="126"/>
      <c r="E283" s="138"/>
      <c r="F283" s="139" t="s">
        <v>1842</v>
      </c>
      <c r="H283" s="140">
        <f>H282*0.18</f>
        <v>0.24299999999999999</v>
      </c>
      <c r="L283" s="137"/>
      <c r="M283" s="141"/>
      <c r="T283" s="142"/>
      <c r="V283" s="414"/>
      <c r="W283" s="424"/>
      <c r="AS283" s="138"/>
      <c r="AT283" s="138"/>
      <c r="AX283" s="138"/>
    </row>
    <row r="284" spans="2:64" s="1" customFormat="1" ht="37.9" customHeight="1" x14ac:dyDescent="0.2">
      <c r="B284" s="109"/>
      <c r="C284" s="110" t="s">
        <v>317</v>
      </c>
      <c r="D284" s="110" t="s">
        <v>103</v>
      </c>
      <c r="E284" s="111" t="s">
        <v>775</v>
      </c>
      <c r="F284" s="112" t="s">
        <v>776</v>
      </c>
      <c r="G284" s="113" t="s">
        <v>174</v>
      </c>
      <c r="H284" s="114">
        <f>7.6*0.18</f>
        <v>1.3679999999999999</v>
      </c>
      <c r="I284" s="115">
        <v>0</v>
      </c>
      <c r="J284" s="115">
        <f>ROUND(I284*H284,2)</f>
        <v>0</v>
      </c>
      <c r="K284" s="112" t="s">
        <v>107</v>
      </c>
      <c r="L284" s="28"/>
      <c r="M284" s="116"/>
      <c r="N284" s="117"/>
      <c r="O284" s="118"/>
      <c r="P284" s="118"/>
      <c r="Q284" s="118"/>
      <c r="R284" s="118"/>
      <c r="S284" s="118"/>
      <c r="T284" s="119"/>
      <c r="V284" s="414"/>
      <c r="W284" s="424"/>
      <c r="AQ284" s="120" t="s">
        <v>108</v>
      </c>
      <c r="AS284" s="120" t="s">
        <v>103</v>
      </c>
      <c r="AT284" s="120" t="s">
        <v>65</v>
      </c>
      <c r="AX284" s="17" t="s">
        <v>101</v>
      </c>
      <c r="BD284" s="121">
        <f>IF(N284="základní",J284,0)</f>
        <v>0</v>
      </c>
      <c r="BE284" s="121">
        <f>IF(N284="snížená",J284,0)</f>
        <v>0</v>
      </c>
      <c r="BF284" s="121">
        <f>IF(N284="zákl. přenesená",J284,0)</f>
        <v>0</v>
      </c>
      <c r="BG284" s="121">
        <f>IF(N284="sníž. přenesená",J284,0)</f>
        <v>0</v>
      </c>
      <c r="BH284" s="121">
        <f>IF(N284="nulová",J284,0)</f>
        <v>0</v>
      </c>
      <c r="BI284" s="17" t="s">
        <v>63</v>
      </c>
      <c r="BJ284" s="121">
        <f>ROUND(I284*H284,2)</f>
        <v>0</v>
      </c>
      <c r="BK284" s="17" t="s">
        <v>108</v>
      </c>
      <c r="BL284" s="120" t="s">
        <v>777</v>
      </c>
    </row>
    <row r="285" spans="2:64" s="1" customFormat="1" x14ac:dyDescent="0.2">
      <c r="B285" s="28"/>
      <c r="D285" s="122" t="s">
        <v>110</v>
      </c>
      <c r="F285" s="123" t="s">
        <v>778</v>
      </c>
      <c r="L285" s="28"/>
      <c r="M285" s="124"/>
      <c r="T285" s="48"/>
      <c r="V285" s="414"/>
      <c r="W285" s="424"/>
      <c r="AS285" s="17" t="s">
        <v>110</v>
      </c>
      <c r="AT285" s="17" t="s">
        <v>65</v>
      </c>
    </row>
    <row r="286" spans="2:64" s="12" customFormat="1" x14ac:dyDescent="0.2">
      <c r="B286" s="125"/>
      <c r="D286" s="126" t="s">
        <v>112</v>
      </c>
      <c r="E286" s="127" t="s">
        <v>1</v>
      </c>
      <c r="F286" s="128" t="s">
        <v>779</v>
      </c>
      <c r="H286" s="127" t="s">
        <v>1</v>
      </c>
      <c r="L286" s="125"/>
      <c r="M286" s="129"/>
      <c r="T286" s="130"/>
      <c r="V286" s="414"/>
      <c r="W286" s="424"/>
      <c r="AS286" s="127" t="s">
        <v>112</v>
      </c>
      <c r="AT286" s="127" t="s">
        <v>65</v>
      </c>
      <c r="AU286" s="12" t="s">
        <v>63</v>
      </c>
      <c r="AV286" s="12" t="s">
        <v>30</v>
      </c>
      <c r="AW286" s="12" t="s">
        <v>55</v>
      </c>
      <c r="AX286" s="127" t="s">
        <v>101</v>
      </c>
    </row>
    <row r="287" spans="2:64" s="13" customFormat="1" x14ac:dyDescent="0.2">
      <c r="B287" s="131"/>
      <c r="D287" s="126" t="s">
        <v>112</v>
      </c>
      <c r="E287" s="132" t="s">
        <v>1</v>
      </c>
      <c r="F287" s="133" t="s">
        <v>780</v>
      </c>
      <c r="H287" s="134">
        <v>1.8</v>
      </c>
      <c r="L287" s="131"/>
      <c r="M287" s="135"/>
      <c r="T287" s="136"/>
      <c r="V287" s="414"/>
      <c r="W287" s="424"/>
      <c r="AS287" s="132" t="s">
        <v>112</v>
      </c>
      <c r="AT287" s="132" t="s">
        <v>65</v>
      </c>
      <c r="AU287" s="13" t="s">
        <v>65</v>
      </c>
      <c r="AV287" s="13" t="s">
        <v>30</v>
      </c>
      <c r="AW287" s="13" t="s">
        <v>55</v>
      </c>
      <c r="AX287" s="132" t="s">
        <v>101</v>
      </c>
    </row>
    <row r="288" spans="2:64" s="13" customFormat="1" x14ac:dyDescent="0.2">
      <c r="B288" s="131"/>
      <c r="D288" s="126" t="s">
        <v>112</v>
      </c>
      <c r="E288" s="132" t="s">
        <v>1</v>
      </c>
      <c r="F288" s="133" t="s">
        <v>781</v>
      </c>
      <c r="H288" s="134">
        <v>1.8</v>
      </c>
      <c r="L288" s="131"/>
      <c r="M288" s="135"/>
      <c r="T288" s="136"/>
      <c r="V288" s="414"/>
      <c r="W288" s="424"/>
      <c r="AS288" s="132" t="s">
        <v>112</v>
      </c>
      <c r="AT288" s="132" t="s">
        <v>65</v>
      </c>
      <c r="AU288" s="13" t="s">
        <v>65</v>
      </c>
      <c r="AV288" s="13" t="s">
        <v>30</v>
      </c>
      <c r="AW288" s="13" t="s">
        <v>55</v>
      </c>
      <c r="AX288" s="132" t="s">
        <v>101</v>
      </c>
    </row>
    <row r="289" spans="2:64" s="12" customFormat="1" x14ac:dyDescent="0.2">
      <c r="B289" s="125"/>
      <c r="D289" s="126" t="s">
        <v>112</v>
      </c>
      <c r="E289" s="127" t="s">
        <v>1</v>
      </c>
      <c r="F289" s="128" t="s">
        <v>782</v>
      </c>
      <c r="H289" s="127" t="s">
        <v>1</v>
      </c>
      <c r="L289" s="125"/>
      <c r="M289" s="129"/>
      <c r="T289" s="130"/>
      <c r="V289" s="414"/>
      <c r="W289" s="424"/>
      <c r="AS289" s="127" t="s">
        <v>112</v>
      </c>
      <c r="AT289" s="127" t="s">
        <v>65</v>
      </c>
      <c r="AU289" s="12" t="s">
        <v>63</v>
      </c>
      <c r="AV289" s="12" t="s">
        <v>30</v>
      </c>
      <c r="AW289" s="12" t="s">
        <v>55</v>
      </c>
      <c r="AX289" s="127" t="s">
        <v>101</v>
      </c>
    </row>
    <row r="290" spans="2:64" s="13" customFormat="1" x14ac:dyDescent="0.2">
      <c r="B290" s="131"/>
      <c r="D290" s="126" t="s">
        <v>112</v>
      </c>
      <c r="E290" s="132" t="s">
        <v>1</v>
      </c>
      <c r="F290" s="133" t="s">
        <v>783</v>
      </c>
      <c r="H290" s="134">
        <v>4</v>
      </c>
      <c r="L290" s="131"/>
      <c r="M290" s="135"/>
      <c r="T290" s="136"/>
      <c r="V290" s="414"/>
      <c r="W290" s="424"/>
      <c r="AS290" s="132" t="s">
        <v>112</v>
      </c>
      <c r="AT290" s="132" t="s">
        <v>65</v>
      </c>
      <c r="AU290" s="13" t="s">
        <v>65</v>
      </c>
      <c r="AV290" s="13" t="s">
        <v>30</v>
      </c>
      <c r="AW290" s="13" t="s">
        <v>55</v>
      </c>
      <c r="AX290" s="132" t="s">
        <v>101</v>
      </c>
    </row>
    <row r="291" spans="2:64" s="14" customFormat="1" x14ac:dyDescent="0.2">
      <c r="B291" s="137"/>
      <c r="D291" s="126" t="s">
        <v>112</v>
      </c>
      <c r="E291" s="138" t="s">
        <v>1</v>
      </c>
      <c r="F291" s="139" t="s">
        <v>127</v>
      </c>
      <c r="H291" s="140">
        <v>7.6</v>
      </c>
      <c r="L291" s="137"/>
      <c r="M291" s="141"/>
      <c r="T291" s="142"/>
      <c r="V291" s="414"/>
      <c r="W291" s="424"/>
      <c r="AS291" s="138" t="s">
        <v>112</v>
      </c>
      <c r="AT291" s="138" t="s">
        <v>65</v>
      </c>
      <c r="AU291" s="14" t="s">
        <v>108</v>
      </c>
      <c r="AV291" s="14" t="s">
        <v>30</v>
      </c>
      <c r="AW291" s="14" t="s">
        <v>63</v>
      </c>
      <c r="AX291" s="138" t="s">
        <v>101</v>
      </c>
    </row>
    <row r="292" spans="2:64" s="14" customFormat="1" x14ac:dyDescent="0.2">
      <c r="B292" s="137"/>
      <c r="D292" s="126"/>
      <c r="E292" s="138"/>
      <c r="F292" s="139" t="s">
        <v>1842</v>
      </c>
      <c r="H292" s="140">
        <f>H291*0.18</f>
        <v>1.3679999999999999</v>
      </c>
      <c r="L292" s="137"/>
      <c r="M292" s="141"/>
      <c r="T292" s="142"/>
      <c r="V292" s="414"/>
      <c r="W292" s="424"/>
      <c r="AS292" s="138"/>
      <c r="AT292" s="138"/>
      <c r="AX292" s="138"/>
    </row>
    <row r="293" spans="2:64" s="1" customFormat="1" ht="24.2" customHeight="1" x14ac:dyDescent="0.2">
      <c r="B293" s="109"/>
      <c r="C293" s="110" t="s">
        <v>321</v>
      </c>
      <c r="D293" s="110" t="s">
        <v>103</v>
      </c>
      <c r="E293" s="111" t="s">
        <v>298</v>
      </c>
      <c r="F293" s="112" t="s">
        <v>299</v>
      </c>
      <c r="G293" s="113" t="s">
        <v>174</v>
      </c>
      <c r="H293" s="114">
        <f>4.48*0.18</f>
        <v>0.80640000000000001</v>
      </c>
      <c r="I293" s="115">
        <v>0</v>
      </c>
      <c r="J293" s="115">
        <f>ROUND(I293*H293,2)</f>
        <v>0</v>
      </c>
      <c r="K293" s="112" t="s">
        <v>107</v>
      </c>
      <c r="L293" s="28"/>
      <c r="M293" s="116"/>
      <c r="N293" s="117"/>
      <c r="O293" s="118"/>
      <c r="P293" s="118"/>
      <c r="Q293" s="118"/>
      <c r="R293" s="118"/>
      <c r="S293" s="118"/>
      <c r="T293" s="119"/>
      <c r="V293" s="414"/>
      <c r="W293" s="424"/>
      <c r="AQ293" s="120" t="s">
        <v>108</v>
      </c>
      <c r="AS293" s="120" t="s">
        <v>103</v>
      </c>
      <c r="AT293" s="120" t="s">
        <v>65</v>
      </c>
      <c r="AX293" s="17" t="s">
        <v>101</v>
      </c>
      <c r="BD293" s="121">
        <f>IF(N293="základní",J293,0)</f>
        <v>0</v>
      </c>
      <c r="BE293" s="121">
        <f>IF(N293="snížená",J293,0)</f>
        <v>0</v>
      </c>
      <c r="BF293" s="121">
        <f>IF(N293="zákl. přenesená",J293,0)</f>
        <v>0</v>
      </c>
      <c r="BG293" s="121">
        <f>IF(N293="sníž. přenesená",J293,0)</f>
        <v>0</v>
      </c>
      <c r="BH293" s="121">
        <f>IF(N293="nulová",J293,0)</f>
        <v>0</v>
      </c>
      <c r="BI293" s="17" t="s">
        <v>63</v>
      </c>
      <c r="BJ293" s="121">
        <f>ROUND(I293*H293,2)</f>
        <v>0</v>
      </c>
      <c r="BK293" s="17" t="s">
        <v>108</v>
      </c>
      <c r="BL293" s="120" t="s">
        <v>784</v>
      </c>
    </row>
    <row r="294" spans="2:64" s="1" customFormat="1" x14ac:dyDescent="0.2">
      <c r="B294" s="28"/>
      <c r="D294" s="122" t="s">
        <v>110</v>
      </c>
      <c r="F294" s="123" t="s">
        <v>301</v>
      </c>
      <c r="L294" s="28"/>
      <c r="M294" s="124"/>
      <c r="T294" s="48"/>
      <c r="V294" s="414"/>
      <c r="W294" s="424"/>
      <c r="AS294" s="17" t="s">
        <v>110</v>
      </c>
      <c r="AT294" s="17" t="s">
        <v>65</v>
      </c>
    </row>
    <row r="295" spans="2:64" s="12" customFormat="1" x14ac:dyDescent="0.2">
      <c r="B295" s="125"/>
      <c r="D295" s="126" t="s">
        <v>112</v>
      </c>
      <c r="E295" s="127" t="s">
        <v>1</v>
      </c>
      <c r="F295" s="128" t="s">
        <v>302</v>
      </c>
      <c r="H295" s="127" t="s">
        <v>1</v>
      </c>
      <c r="L295" s="125"/>
      <c r="M295" s="129"/>
      <c r="T295" s="130"/>
      <c r="V295" s="414"/>
      <c r="W295" s="424"/>
      <c r="AS295" s="127" t="s">
        <v>112</v>
      </c>
      <c r="AT295" s="127" t="s">
        <v>65</v>
      </c>
      <c r="AU295" s="12" t="s">
        <v>63</v>
      </c>
      <c r="AV295" s="12" t="s">
        <v>30</v>
      </c>
      <c r="AW295" s="12" t="s">
        <v>55</v>
      </c>
      <c r="AX295" s="127" t="s">
        <v>101</v>
      </c>
    </row>
    <row r="296" spans="2:64" s="13" customFormat="1" x14ac:dyDescent="0.2">
      <c r="B296" s="131"/>
      <c r="D296" s="126" t="s">
        <v>112</v>
      </c>
      <c r="E296" s="132" t="s">
        <v>1</v>
      </c>
      <c r="F296" s="133" t="s">
        <v>304</v>
      </c>
      <c r="H296" s="134">
        <v>1.92</v>
      </c>
      <c r="L296" s="131"/>
      <c r="M296" s="135"/>
      <c r="T296" s="136"/>
      <c r="V296" s="414"/>
      <c r="W296" s="424"/>
      <c r="AS296" s="132" t="s">
        <v>112</v>
      </c>
      <c r="AT296" s="132" t="s">
        <v>65</v>
      </c>
      <c r="AU296" s="13" t="s">
        <v>65</v>
      </c>
      <c r="AV296" s="13" t="s">
        <v>30</v>
      </c>
      <c r="AW296" s="13" t="s">
        <v>55</v>
      </c>
      <c r="AX296" s="132" t="s">
        <v>101</v>
      </c>
    </row>
    <row r="297" spans="2:64" s="13" customFormat="1" x14ac:dyDescent="0.2">
      <c r="B297" s="131"/>
      <c r="D297" s="126" t="s">
        <v>112</v>
      </c>
      <c r="E297" s="132" t="s">
        <v>1</v>
      </c>
      <c r="F297" s="133" t="s">
        <v>785</v>
      </c>
      <c r="H297" s="134">
        <v>2.56</v>
      </c>
      <c r="L297" s="131"/>
      <c r="M297" s="135"/>
      <c r="T297" s="136"/>
      <c r="V297" s="414"/>
      <c r="W297" s="424"/>
      <c r="AS297" s="132" t="s">
        <v>112</v>
      </c>
      <c r="AT297" s="132" t="s">
        <v>65</v>
      </c>
      <c r="AU297" s="13" t="s">
        <v>65</v>
      </c>
      <c r="AV297" s="13" t="s">
        <v>30</v>
      </c>
      <c r="AW297" s="13" t="s">
        <v>55</v>
      </c>
      <c r="AX297" s="132" t="s">
        <v>101</v>
      </c>
    </row>
    <row r="298" spans="2:64" s="14" customFormat="1" x14ac:dyDescent="0.2">
      <c r="B298" s="137"/>
      <c r="D298" s="126" t="s">
        <v>112</v>
      </c>
      <c r="E298" s="138" t="s">
        <v>1</v>
      </c>
      <c r="F298" s="139" t="s">
        <v>127</v>
      </c>
      <c r="H298" s="140">
        <v>4.4800000000000004</v>
      </c>
      <c r="L298" s="137"/>
      <c r="M298" s="141"/>
      <c r="T298" s="142"/>
      <c r="V298" s="414"/>
      <c r="W298" s="424"/>
      <c r="AS298" s="138" t="s">
        <v>112</v>
      </c>
      <c r="AT298" s="138" t="s">
        <v>65</v>
      </c>
      <c r="AU298" s="14" t="s">
        <v>108</v>
      </c>
      <c r="AV298" s="14" t="s">
        <v>30</v>
      </c>
      <c r="AW298" s="14" t="s">
        <v>63</v>
      </c>
      <c r="AX298" s="138" t="s">
        <v>101</v>
      </c>
    </row>
    <row r="299" spans="2:64" s="14" customFormat="1" x14ac:dyDescent="0.2">
      <c r="B299" s="137"/>
      <c r="D299" s="126"/>
      <c r="E299" s="138"/>
      <c r="F299" s="139" t="s">
        <v>1842</v>
      </c>
      <c r="H299" s="140">
        <f>H298*0.18</f>
        <v>0.80640000000000001</v>
      </c>
      <c r="L299" s="137"/>
      <c r="M299" s="141"/>
      <c r="T299" s="142"/>
      <c r="V299" s="414"/>
      <c r="W299" s="424"/>
      <c r="AS299" s="138"/>
      <c r="AT299" s="138"/>
      <c r="AX299" s="138"/>
    </row>
    <row r="300" spans="2:64" s="1" customFormat="1" ht="24.2" customHeight="1" x14ac:dyDescent="0.2">
      <c r="B300" s="109"/>
      <c r="C300" s="110" t="s">
        <v>325</v>
      </c>
      <c r="D300" s="110" t="s">
        <v>103</v>
      </c>
      <c r="E300" s="111" t="s">
        <v>786</v>
      </c>
      <c r="F300" s="112" t="s">
        <v>787</v>
      </c>
      <c r="G300" s="113" t="s">
        <v>231</v>
      </c>
      <c r="H300" s="114">
        <v>1.7999999999999999E-2</v>
      </c>
      <c r="I300" s="115">
        <v>0</v>
      </c>
      <c r="J300" s="115">
        <f>ROUND(I300*H300,2)</f>
        <v>0</v>
      </c>
      <c r="K300" s="112" t="s">
        <v>107</v>
      </c>
      <c r="L300" s="28"/>
      <c r="M300" s="116"/>
      <c r="N300" s="117"/>
      <c r="O300" s="118"/>
      <c r="P300" s="118"/>
      <c r="Q300" s="118"/>
      <c r="R300" s="118"/>
      <c r="S300" s="118"/>
      <c r="T300" s="119"/>
      <c r="V300" s="414"/>
      <c r="W300" s="424"/>
      <c r="AQ300" s="120" t="s">
        <v>108</v>
      </c>
      <c r="AS300" s="120" t="s">
        <v>103</v>
      </c>
      <c r="AT300" s="120" t="s">
        <v>65</v>
      </c>
      <c r="AX300" s="17" t="s">
        <v>101</v>
      </c>
      <c r="BD300" s="121">
        <f>IF(N300="základní",J300,0)</f>
        <v>0</v>
      </c>
      <c r="BE300" s="121">
        <f>IF(N300="snížená",J300,0)</f>
        <v>0</v>
      </c>
      <c r="BF300" s="121">
        <f>IF(N300="zákl. přenesená",J300,0)</f>
        <v>0</v>
      </c>
      <c r="BG300" s="121">
        <f>IF(N300="sníž. přenesená",J300,0)</f>
        <v>0</v>
      </c>
      <c r="BH300" s="121">
        <f>IF(N300="nulová",J300,0)</f>
        <v>0</v>
      </c>
      <c r="BI300" s="17" t="s">
        <v>63</v>
      </c>
      <c r="BJ300" s="121">
        <f>ROUND(I300*H300,2)</f>
        <v>0</v>
      </c>
      <c r="BK300" s="17" t="s">
        <v>108</v>
      </c>
      <c r="BL300" s="120" t="s">
        <v>788</v>
      </c>
    </row>
    <row r="301" spans="2:64" s="1" customFormat="1" x14ac:dyDescent="0.2">
      <c r="B301" s="28"/>
      <c r="D301" s="122" t="s">
        <v>110</v>
      </c>
      <c r="F301" s="412" t="s">
        <v>789</v>
      </c>
      <c r="L301" s="28"/>
      <c r="M301" s="124"/>
      <c r="T301" s="48"/>
      <c r="V301" s="414"/>
      <c r="W301" s="424"/>
      <c r="AS301" s="17" t="s">
        <v>110</v>
      </c>
      <c r="AT301" s="17" t="s">
        <v>65</v>
      </c>
    </row>
    <row r="302" spans="2:64" s="12" customFormat="1" x14ac:dyDescent="0.2">
      <c r="B302" s="125"/>
      <c r="D302" s="126" t="s">
        <v>112</v>
      </c>
      <c r="E302" s="127" t="s">
        <v>1</v>
      </c>
      <c r="F302" s="128" t="s">
        <v>790</v>
      </c>
      <c r="H302" s="127" t="s">
        <v>1</v>
      </c>
      <c r="L302" s="125"/>
      <c r="M302" s="129"/>
      <c r="T302" s="130"/>
      <c r="V302" s="414"/>
      <c r="W302" s="424"/>
      <c r="AS302" s="127" t="s">
        <v>112</v>
      </c>
      <c r="AT302" s="127" t="s">
        <v>65</v>
      </c>
      <c r="AU302" s="12" t="s">
        <v>63</v>
      </c>
      <c r="AV302" s="12" t="s">
        <v>30</v>
      </c>
      <c r="AW302" s="12" t="s">
        <v>55</v>
      </c>
      <c r="AX302" s="127" t="s">
        <v>101</v>
      </c>
    </row>
    <row r="303" spans="2:64" s="13" customFormat="1" x14ac:dyDescent="0.2">
      <c r="B303" s="131"/>
      <c r="D303" s="126" t="s">
        <v>112</v>
      </c>
      <c r="E303" s="132" t="s">
        <v>1</v>
      </c>
      <c r="F303" s="133" t="s">
        <v>791</v>
      </c>
      <c r="H303" s="134">
        <v>1.7999999999999999E-2</v>
      </c>
      <c r="L303" s="131"/>
      <c r="M303" s="135"/>
      <c r="T303" s="136"/>
      <c r="V303" s="414"/>
      <c r="W303" s="424"/>
      <c r="AS303" s="132" t="s">
        <v>112</v>
      </c>
      <c r="AT303" s="132" t="s">
        <v>65</v>
      </c>
      <c r="AU303" s="13" t="s">
        <v>65</v>
      </c>
      <c r="AV303" s="13" t="s">
        <v>30</v>
      </c>
      <c r="AW303" s="13" t="s">
        <v>63</v>
      </c>
      <c r="AX303" s="132" t="s">
        <v>101</v>
      </c>
    </row>
    <row r="304" spans="2:64" s="11" customFormat="1" ht="22.9" customHeight="1" x14ac:dyDescent="0.2">
      <c r="B304" s="98"/>
      <c r="D304" s="99" t="s">
        <v>54</v>
      </c>
      <c r="E304" s="107" t="s">
        <v>171</v>
      </c>
      <c r="F304" s="107" t="s">
        <v>306</v>
      </c>
      <c r="J304" s="108">
        <f>BJ304</f>
        <v>0</v>
      </c>
      <c r="L304" s="98"/>
      <c r="M304" s="102"/>
      <c r="P304" s="103"/>
      <c r="R304" s="103"/>
      <c r="T304" s="104"/>
      <c r="V304" s="414"/>
      <c r="W304" s="423"/>
      <c r="AQ304" s="99" t="s">
        <v>63</v>
      </c>
      <c r="AS304" s="105" t="s">
        <v>54</v>
      </c>
      <c r="AT304" s="105" t="s">
        <v>63</v>
      </c>
      <c r="AX304" s="99" t="s">
        <v>101</v>
      </c>
      <c r="BJ304" s="106">
        <f>SUM(BJ305:BJ434)</f>
        <v>0</v>
      </c>
    </row>
    <row r="305" spans="2:64" s="1" customFormat="1" ht="24.2" customHeight="1" x14ac:dyDescent="0.2">
      <c r="B305" s="109"/>
      <c r="C305" s="110" t="s">
        <v>329</v>
      </c>
      <c r="D305" s="110" t="s">
        <v>103</v>
      </c>
      <c r="E305" s="111" t="s">
        <v>792</v>
      </c>
      <c r="F305" s="112" t="s">
        <v>793</v>
      </c>
      <c r="G305" s="113" t="s">
        <v>314</v>
      </c>
      <c r="H305" s="114">
        <v>1</v>
      </c>
      <c r="I305" s="115">
        <v>0</v>
      </c>
      <c r="J305" s="115">
        <f>ROUND(I305*H305,2)</f>
        <v>0</v>
      </c>
      <c r="K305" s="112" t="s">
        <v>107</v>
      </c>
      <c r="L305" s="28"/>
      <c r="M305" s="116"/>
      <c r="N305" s="117"/>
      <c r="O305" s="118"/>
      <c r="P305" s="118"/>
      <c r="Q305" s="118"/>
      <c r="R305" s="118"/>
      <c r="S305" s="118"/>
      <c r="T305" s="119"/>
      <c r="V305" s="414">
        <v>1</v>
      </c>
      <c r="W305" s="424">
        <v>6</v>
      </c>
      <c r="AQ305" s="120" t="s">
        <v>108</v>
      </c>
      <c r="AS305" s="120" t="s">
        <v>103</v>
      </c>
      <c r="AT305" s="120" t="s">
        <v>65</v>
      </c>
      <c r="AX305" s="17" t="s">
        <v>101</v>
      </c>
      <c r="BD305" s="121">
        <f>IF(N305="základní",J305,0)</f>
        <v>0</v>
      </c>
      <c r="BE305" s="121">
        <f>IF(N305="snížená",J305,0)</f>
        <v>0</v>
      </c>
      <c r="BF305" s="121">
        <f>IF(N305="zákl. přenesená",J305,0)</f>
        <v>0</v>
      </c>
      <c r="BG305" s="121">
        <f>IF(N305="sníž. přenesená",J305,0)</f>
        <v>0</v>
      </c>
      <c r="BH305" s="121">
        <f>IF(N305="nulová",J305,0)</f>
        <v>0</v>
      </c>
      <c r="BI305" s="17" t="s">
        <v>63</v>
      </c>
      <c r="BJ305" s="121">
        <f>ROUND(I305*H305,2)</f>
        <v>0</v>
      </c>
      <c r="BK305" s="17" t="s">
        <v>108</v>
      </c>
      <c r="BL305" s="120" t="s">
        <v>794</v>
      </c>
    </row>
    <row r="306" spans="2:64" s="1" customFormat="1" x14ac:dyDescent="0.2">
      <c r="B306" s="28"/>
      <c r="D306" s="122" t="s">
        <v>110</v>
      </c>
      <c r="F306" s="412" t="s">
        <v>795</v>
      </c>
      <c r="L306" s="28"/>
      <c r="M306" s="124"/>
      <c r="T306" s="48"/>
      <c r="V306" s="414"/>
      <c r="W306" s="424"/>
      <c r="AS306" s="17" t="s">
        <v>110</v>
      </c>
      <c r="AT306" s="17" t="s">
        <v>65</v>
      </c>
    </row>
    <row r="307" spans="2:64" s="1" customFormat="1" ht="24.2" customHeight="1" x14ac:dyDescent="0.2">
      <c r="B307" s="109"/>
      <c r="C307" s="143" t="s">
        <v>334</v>
      </c>
      <c r="D307" s="143" t="s">
        <v>252</v>
      </c>
      <c r="E307" s="144" t="s">
        <v>796</v>
      </c>
      <c r="F307" s="145" t="s">
        <v>797</v>
      </c>
      <c r="G307" s="146" t="s">
        <v>314</v>
      </c>
      <c r="H307" s="147">
        <v>1</v>
      </c>
      <c r="I307" s="148">
        <v>0</v>
      </c>
      <c r="J307" s="148">
        <f>ROUND(I307*H307,2)</f>
        <v>0</v>
      </c>
      <c r="K307" s="145" t="s">
        <v>107</v>
      </c>
      <c r="L307" s="149"/>
      <c r="M307" s="150"/>
      <c r="N307" s="151"/>
      <c r="O307" s="118"/>
      <c r="P307" s="118"/>
      <c r="Q307" s="118"/>
      <c r="R307" s="118"/>
      <c r="S307" s="118"/>
      <c r="T307" s="119"/>
      <c r="V307" s="414">
        <v>1</v>
      </c>
      <c r="W307" s="424">
        <v>4</v>
      </c>
      <c r="AQ307" s="120" t="s">
        <v>171</v>
      </c>
      <c r="AS307" s="120" t="s">
        <v>252</v>
      </c>
      <c r="AT307" s="120" t="s">
        <v>65</v>
      </c>
      <c r="AX307" s="17" t="s">
        <v>101</v>
      </c>
      <c r="BD307" s="121">
        <f>IF(N307="základní",J307,0)</f>
        <v>0</v>
      </c>
      <c r="BE307" s="121">
        <f>IF(N307="snížená",J307,0)</f>
        <v>0</v>
      </c>
      <c r="BF307" s="121">
        <f>IF(N307="zákl. přenesená",J307,0)</f>
        <v>0</v>
      </c>
      <c r="BG307" s="121">
        <f>IF(N307="sníž. přenesená",J307,0)</f>
        <v>0</v>
      </c>
      <c r="BH307" s="121">
        <f>IF(N307="nulová",J307,0)</f>
        <v>0</v>
      </c>
      <c r="BI307" s="17" t="s">
        <v>63</v>
      </c>
      <c r="BJ307" s="121">
        <f>ROUND(I307*H307,2)</f>
        <v>0</v>
      </c>
      <c r="BK307" s="17" t="s">
        <v>108</v>
      </c>
      <c r="BL307" s="120" t="s">
        <v>798</v>
      </c>
    </row>
    <row r="308" spans="2:64" s="1" customFormat="1" ht="24.2" customHeight="1" x14ac:dyDescent="0.2">
      <c r="B308" s="109"/>
      <c r="C308" s="143" t="s">
        <v>338</v>
      </c>
      <c r="D308" s="143" t="s">
        <v>252</v>
      </c>
      <c r="E308" s="144" t="s">
        <v>799</v>
      </c>
      <c r="F308" s="145" t="s">
        <v>800</v>
      </c>
      <c r="G308" s="146" t="s">
        <v>314</v>
      </c>
      <c r="H308" s="147">
        <v>1</v>
      </c>
      <c r="I308" s="148">
        <v>0</v>
      </c>
      <c r="J308" s="148">
        <f>ROUND(I308*H308,2)</f>
        <v>0</v>
      </c>
      <c r="K308" s="145" t="s">
        <v>107</v>
      </c>
      <c r="L308" s="149"/>
      <c r="M308" s="150"/>
      <c r="N308" s="151"/>
      <c r="O308" s="118"/>
      <c r="P308" s="118"/>
      <c r="Q308" s="118"/>
      <c r="R308" s="118"/>
      <c r="S308" s="118"/>
      <c r="T308" s="119"/>
      <c r="V308" s="414">
        <v>1</v>
      </c>
      <c r="W308" s="424">
        <v>1</v>
      </c>
      <c r="AQ308" s="120" t="s">
        <v>171</v>
      </c>
      <c r="AS308" s="120" t="s">
        <v>252</v>
      </c>
      <c r="AT308" s="120" t="s">
        <v>65</v>
      </c>
      <c r="AX308" s="17" t="s">
        <v>101</v>
      </c>
      <c r="BD308" s="121">
        <f>IF(N308="základní",J308,0)</f>
        <v>0</v>
      </c>
      <c r="BE308" s="121">
        <f>IF(N308="snížená",J308,0)</f>
        <v>0</v>
      </c>
      <c r="BF308" s="121">
        <f>IF(N308="zákl. přenesená",J308,0)</f>
        <v>0</v>
      </c>
      <c r="BG308" s="121">
        <f>IF(N308="sníž. přenesená",J308,0)</f>
        <v>0</v>
      </c>
      <c r="BH308" s="121">
        <f>IF(N308="nulová",J308,0)</f>
        <v>0</v>
      </c>
      <c r="BI308" s="17" t="s">
        <v>63</v>
      </c>
      <c r="BJ308" s="121">
        <f>ROUND(I308*H308,2)</f>
        <v>0</v>
      </c>
      <c r="BK308" s="17" t="s">
        <v>108</v>
      </c>
      <c r="BL308" s="120" t="s">
        <v>801</v>
      </c>
    </row>
    <row r="309" spans="2:64" s="1" customFormat="1" ht="37.9" customHeight="1" x14ac:dyDescent="0.2">
      <c r="B309" s="109"/>
      <c r="C309" s="110" t="s">
        <v>342</v>
      </c>
      <c r="D309" s="110" t="s">
        <v>103</v>
      </c>
      <c r="E309" s="111" t="s">
        <v>802</v>
      </c>
      <c r="F309" s="112" t="s">
        <v>803</v>
      </c>
      <c r="G309" s="113" t="s">
        <v>106</v>
      </c>
      <c r="H309" s="114">
        <f>2.6*0.18</f>
        <v>0.46799999999999997</v>
      </c>
      <c r="I309" s="115">
        <v>0</v>
      </c>
      <c r="J309" s="115">
        <f>ROUND(I309*H309,2)</f>
        <v>0</v>
      </c>
      <c r="K309" s="112" t="s">
        <v>1</v>
      </c>
      <c r="L309" s="28"/>
      <c r="M309" s="116"/>
      <c r="N309" s="117"/>
      <c r="O309" s="118"/>
      <c r="P309" s="118"/>
      <c r="Q309" s="118"/>
      <c r="R309" s="118"/>
      <c r="S309" s="118"/>
      <c r="T309" s="119"/>
      <c r="V309" s="414"/>
      <c r="W309" s="424"/>
      <c r="AQ309" s="120" t="s">
        <v>108</v>
      </c>
      <c r="AS309" s="120" t="s">
        <v>103</v>
      </c>
      <c r="AT309" s="120" t="s">
        <v>65</v>
      </c>
      <c r="AX309" s="17" t="s">
        <v>101</v>
      </c>
      <c r="BD309" s="121">
        <f>IF(N309="základní",J309,0)</f>
        <v>0</v>
      </c>
      <c r="BE309" s="121">
        <f>IF(N309="snížená",J309,0)</f>
        <v>0</v>
      </c>
      <c r="BF309" s="121">
        <f>IF(N309="zákl. přenesená",J309,0)</f>
        <v>0</v>
      </c>
      <c r="BG309" s="121">
        <f>IF(N309="sníž. přenesená",J309,0)</f>
        <v>0</v>
      </c>
      <c r="BH309" s="121">
        <f>IF(N309="nulová",J309,0)</f>
        <v>0</v>
      </c>
      <c r="BI309" s="17" t="s">
        <v>63</v>
      </c>
      <c r="BJ309" s="121">
        <f>ROUND(I309*H309,2)</f>
        <v>0</v>
      </c>
      <c r="BK309" s="17" t="s">
        <v>108</v>
      </c>
      <c r="BL309" s="120" t="s">
        <v>804</v>
      </c>
    </row>
    <row r="310" spans="2:64" s="1" customFormat="1" ht="37.9" customHeight="1" x14ac:dyDescent="0.2">
      <c r="B310" s="109"/>
      <c r="C310" s="110" t="s">
        <v>346</v>
      </c>
      <c r="D310" s="110" t="s">
        <v>103</v>
      </c>
      <c r="E310" s="111" t="s">
        <v>805</v>
      </c>
      <c r="F310" s="112" t="s">
        <v>806</v>
      </c>
      <c r="G310" s="113" t="s">
        <v>106</v>
      </c>
      <c r="H310" s="114">
        <f>11.2*0.18</f>
        <v>2.016</v>
      </c>
      <c r="I310" s="115">
        <v>0</v>
      </c>
      <c r="J310" s="115">
        <f>ROUND(I310*H310,2)</f>
        <v>0</v>
      </c>
      <c r="K310" s="112" t="s">
        <v>107</v>
      </c>
      <c r="L310" s="28"/>
      <c r="M310" s="116"/>
      <c r="N310" s="117"/>
      <c r="O310" s="118"/>
      <c r="P310" s="118"/>
      <c r="Q310" s="118"/>
      <c r="R310" s="118"/>
      <c r="S310" s="118"/>
      <c r="T310" s="119"/>
      <c r="V310" s="414"/>
      <c r="W310" s="424"/>
      <c r="AQ310" s="120" t="s">
        <v>108</v>
      </c>
      <c r="AS310" s="120" t="s">
        <v>103</v>
      </c>
      <c r="AT310" s="120" t="s">
        <v>65</v>
      </c>
      <c r="AX310" s="17" t="s">
        <v>101</v>
      </c>
      <c r="BD310" s="121">
        <f>IF(N310="základní",J310,0)</f>
        <v>0</v>
      </c>
      <c r="BE310" s="121">
        <f>IF(N310="snížená",J310,0)</f>
        <v>0</v>
      </c>
      <c r="BF310" s="121">
        <f>IF(N310="zákl. přenesená",J310,0)</f>
        <v>0</v>
      </c>
      <c r="BG310" s="121">
        <f>IF(N310="sníž. přenesená",J310,0)</f>
        <v>0</v>
      </c>
      <c r="BH310" s="121">
        <f>IF(N310="nulová",J310,0)</f>
        <v>0</v>
      </c>
      <c r="BI310" s="17" t="s">
        <v>63</v>
      </c>
      <c r="BJ310" s="121">
        <f>ROUND(I310*H310,2)</f>
        <v>0</v>
      </c>
      <c r="BK310" s="17" t="s">
        <v>108</v>
      </c>
      <c r="BL310" s="120" t="s">
        <v>807</v>
      </c>
    </row>
    <row r="311" spans="2:64" s="1" customFormat="1" x14ac:dyDescent="0.2">
      <c r="B311" s="28"/>
      <c r="D311" s="122" t="s">
        <v>110</v>
      </c>
      <c r="F311" s="412" t="s">
        <v>808</v>
      </c>
      <c r="L311" s="28"/>
      <c r="M311" s="124"/>
      <c r="T311" s="48"/>
      <c r="V311" s="414"/>
      <c r="W311" s="424"/>
      <c r="AS311" s="17" t="s">
        <v>110</v>
      </c>
      <c r="AT311" s="17" t="s">
        <v>65</v>
      </c>
    </row>
    <row r="312" spans="2:64" s="1" customFormat="1" ht="24.2" customHeight="1" x14ac:dyDescent="0.2">
      <c r="B312" s="109"/>
      <c r="C312" s="143" t="s">
        <v>351</v>
      </c>
      <c r="D312" s="143" t="s">
        <v>252</v>
      </c>
      <c r="E312" s="144" t="s">
        <v>809</v>
      </c>
      <c r="F312" s="145" t="s">
        <v>810</v>
      </c>
      <c r="G312" s="146" t="s">
        <v>106</v>
      </c>
      <c r="H312" s="147">
        <f>10.15*0.18</f>
        <v>1.827</v>
      </c>
      <c r="I312" s="148">
        <v>0</v>
      </c>
      <c r="J312" s="148">
        <f>ROUND(I312*H312,2)</f>
        <v>0</v>
      </c>
      <c r="K312" s="145" t="s">
        <v>107</v>
      </c>
      <c r="L312" s="149"/>
      <c r="M312" s="150"/>
      <c r="N312" s="151"/>
      <c r="O312" s="118"/>
      <c r="P312" s="118"/>
      <c r="Q312" s="118"/>
      <c r="R312" s="118"/>
      <c r="S312" s="118"/>
      <c r="T312" s="119"/>
      <c r="V312" s="414"/>
      <c r="W312" s="424"/>
      <c r="AQ312" s="120" t="s">
        <v>171</v>
      </c>
      <c r="AS312" s="120" t="s">
        <v>252</v>
      </c>
      <c r="AT312" s="120" t="s">
        <v>65</v>
      </c>
      <c r="AX312" s="17" t="s">
        <v>101</v>
      </c>
      <c r="BD312" s="121">
        <f>IF(N312="základní",J312,0)</f>
        <v>0</v>
      </c>
      <c r="BE312" s="121">
        <f>IF(N312="snížená",J312,0)</f>
        <v>0</v>
      </c>
      <c r="BF312" s="121">
        <f>IF(N312="zákl. přenesená",J312,0)</f>
        <v>0</v>
      </c>
      <c r="BG312" s="121">
        <f>IF(N312="sníž. přenesená",J312,0)</f>
        <v>0</v>
      </c>
      <c r="BH312" s="121">
        <f>IF(N312="nulová",J312,0)</f>
        <v>0</v>
      </c>
      <c r="BI312" s="17" t="s">
        <v>63</v>
      </c>
      <c r="BJ312" s="121">
        <f>ROUND(I312*H312,2)</f>
        <v>0</v>
      </c>
      <c r="BK312" s="17" t="s">
        <v>108</v>
      </c>
      <c r="BL312" s="120" t="s">
        <v>811</v>
      </c>
    </row>
    <row r="313" spans="2:64" s="13" customFormat="1" x14ac:dyDescent="0.2">
      <c r="B313" s="131"/>
      <c r="D313" s="126" t="s">
        <v>112</v>
      </c>
      <c r="F313" s="133" t="s">
        <v>1848</v>
      </c>
      <c r="H313" s="134">
        <f>10.15*0.18</f>
        <v>1.827</v>
      </c>
      <c r="L313" s="131"/>
      <c r="M313" s="135"/>
      <c r="T313" s="136"/>
      <c r="V313" s="414"/>
      <c r="W313" s="424"/>
      <c r="AS313" s="132" t="s">
        <v>112</v>
      </c>
      <c r="AT313" s="132" t="s">
        <v>65</v>
      </c>
      <c r="AU313" s="13" t="s">
        <v>65</v>
      </c>
      <c r="AV313" s="13" t="s">
        <v>2</v>
      </c>
      <c r="AW313" s="13" t="s">
        <v>63</v>
      </c>
      <c r="AX313" s="132" t="s">
        <v>101</v>
      </c>
    </row>
    <row r="314" spans="2:64" s="1" customFormat="1" ht="24.2" customHeight="1" x14ac:dyDescent="0.2">
      <c r="B314" s="109"/>
      <c r="C314" s="143" t="s">
        <v>355</v>
      </c>
      <c r="D314" s="143" t="s">
        <v>252</v>
      </c>
      <c r="E314" s="144" t="s">
        <v>812</v>
      </c>
      <c r="F314" s="145" t="s">
        <v>813</v>
      </c>
      <c r="G314" s="146" t="s">
        <v>314</v>
      </c>
      <c r="H314" s="147">
        <v>1</v>
      </c>
      <c r="I314" s="148">
        <v>0</v>
      </c>
      <c r="J314" s="148">
        <f>ROUND(I314*H314,2)</f>
        <v>0</v>
      </c>
      <c r="K314" s="145" t="s">
        <v>107</v>
      </c>
      <c r="L314" s="149"/>
      <c r="M314" s="150"/>
      <c r="N314" s="151"/>
      <c r="O314" s="118"/>
      <c r="P314" s="118"/>
      <c r="Q314" s="118"/>
      <c r="R314" s="118"/>
      <c r="S314" s="118"/>
      <c r="T314" s="119"/>
      <c r="V314" s="414">
        <v>1</v>
      </c>
      <c r="W314" s="424">
        <v>1</v>
      </c>
      <c r="AQ314" s="120" t="s">
        <v>171</v>
      </c>
      <c r="AS314" s="120" t="s">
        <v>252</v>
      </c>
      <c r="AT314" s="120" t="s">
        <v>65</v>
      </c>
      <c r="AX314" s="17" t="s">
        <v>101</v>
      </c>
      <c r="BD314" s="121">
        <f>IF(N314="základní",J314,0)</f>
        <v>0</v>
      </c>
      <c r="BE314" s="121">
        <f>IF(N314="snížená",J314,0)</f>
        <v>0</v>
      </c>
      <c r="BF314" s="121">
        <f>IF(N314="zákl. přenesená",J314,0)</f>
        <v>0</v>
      </c>
      <c r="BG314" s="121">
        <f>IF(N314="sníž. přenesená",J314,0)</f>
        <v>0</v>
      </c>
      <c r="BH314" s="121">
        <f>IF(N314="nulová",J314,0)</f>
        <v>0</v>
      </c>
      <c r="BI314" s="17" t="s">
        <v>63</v>
      </c>
      <c r="BJ314" s="121">
        <f>ROUND(I314*H314,2)</f>
        <v>0</v>
      </c>
      <c r="BK314" s="17" t="s">
        <v>108</v>
      </c>
      <c r="BL314" s="120" t="s">
        <v>814</v>
      </c>
    </row>
    <row r="315" spans="2:64" s="1" customFormat="1" ht="37.9" customHeight="1" x14ac:dyDescent="0.2">
      <c r="B315" s="109"/>
      <c r="C315" s="110" t="s">
        <v>359</v>
      </c>
      <c r="D315" s="110" t="s">
        <v>103</v>
      </c>
      <c r="E315" s="111" t="s">
        <v>815</v>
      </c>
      <c r="F315" s="112" t="s">
        <v>816</v>
      </c>
      <c r="G315" s="113" t="s">
        <v>314</v>
      </c>
      <c r="H315" s="114">
        <v>1</v>
      </c>
      <c r="I315" s="115">
        <v>0</v>
      </c>
      <c r="J315" s="115">
        <f>ROUND(I315*H315,2)</f>
        <v>0</v>
      </c>
      <c r="K315" s="112" t="s">
        <v>107</v>
      </c>
      <c r="L315" s="28"/>
      <c r="M315" s="116"/>
      <c r="N315" s="117"/>
      <c r="O315" s="118"/>
      <c r="P315" s="118"/>
      <c r="Q315" s="118"/>
      <c r="R315" s="118"/>
      <c r="S315" s="118"/>
      <c r="T315" s="119"/>
      <c r="V315" s="414">
        <v>1</v>
      </c>
      <c r="W315" s="424">
        <v>1</v>
      </c>
      <c r="AQ315" s="120" t="s">
        <v>108</v>
      </c>
      <c r="AS315" s="120" t="s">
        <v>103</v>
      </c>
      <c r="AT315" s="120" t="s">
        <v>65</v>
      </c>
      <c r="AX315" s="17" t="s">
        <v>101</v>
      </c>
      <c r="BD315" s="121">
        <f>IF(N315="základní",J315,0)</f>
        <v>0</v>
      </c>
      <c r="BE315" s="121">
        <f>IF(N315="snížená",J315,0)</f>
        <v>0</v>
      </c>
      <c r="BF315" s="121">
        <f>IF(N315="zákl. přenesená",J315,0)</f>
        <v>0</v>
      </c>
      <c r="BG315" s="121">
        <f>IF(N315="sníž. přenesená",J315,0)</f>
        <v>0</v>
      </c>
      <c r="BH315" s="121">
        <f>IF(N315="nulová",J315,0)</f>
        <v>0</v>
      </c>
      <c r="BI315" s="17" t="s">
        <v>63</v>
      </c>
      <c r="BJ315" s="121">
        <f>ROUND(I315*H315,2)</f>
        <v>0</v>
      </c>
      <c r="BK315" s="17" t="s">
        <v>108</v>
      </c>
      <c r="BL315" s="120" t="s">
        <v>817</v>
      </c>
    </row>
    <row r="316" spans="2:64" s="1" customFormat="1" x14ac:dyDescent="0.2">
      <c r="B316" s="28"/>
      <c r="D316" s="122" t="s">
        <v>110</v>
      </c>
      <c r="F316" s="412" t="s">
        <v>818</v>
      </c>
      <c r="L316" s="28"/>
      <c r="M316" s="124"/>
      <c r="T316" s="48"/>
      <c r="V316" s="414"/>
      <c r="W316" s="424"/>
      <c r="AS316" s="17" t="s">
        <v>110</v>
      </c>
      <c r="AT316" s="17" t="s">
        <v>65</v>
      </c>
    </row>
    <row r="317" spans="2:64" s="1" customFormat="1" ht="24.2" customHeight="1" x14ac:dyDescent="0.2">
      <c r="B317" s="109"/>
      <c r="C317" s="143" t="s">
        <v>363</v>
      </c>
      <c r="D317" s="143" t="s">
        <v>252</v>
      </c>
      <c r="E317" s="144" t="s">
        <v>819</v>
      </c>
      <c r="F317" s="145" t="s">
        <v>820</v>
      </c>
      <c r="G317" s="146" t="s">
        <v>314</v>
      </c>
      <c r="H317" s="147">
        <v>1</v>
      </c>
      <c r="I317" s="148">
        <v>0</v>
      </c>
      <c r="J317" s="148">
        <f>ROUND(I317*H317,2)</f>
        <v>0</v>
      </c>
      <c r="K317" s="145" t="s">
        <v>107</v>
      </c>
      <c r="L317" s="149"/>
      <c r="M317" s="150"/>
      <c r="N317" s="151"/>
      <c r="O317" s="118"/>
      <c r="P317" s="118"/>
      <c r="Q317" s="118"/>
      <c r="R317" s="118"/>
      <c r="S317" s="118"/>
      <c r="T317" s="119"/>
      <c r="V317" s="414">
        <v>1</v>
      </c>
      <c r="W317" s="424">
        <v>1</v>
      </c>
      <c r="AQ317" s="120" t="s">
        <v>171</v>
      </c>
      <c r="AS317" s="120" t="s">
        <v>252</v>
      </c>
      <c r="AT317" s="120" t="s">
        <v>65</v>
      </c>
      <c r="AX317" s="17" t="s">
        <v>101</v>
      </c>
      <c r="BD317" s="121">
        <f>IF(N317="základní",J317,0)</f>
        <v>0</v>
      </c>
      <c r="BE317" s="121">
        <f>IF(N317="snížená",J317,0)</f>
        <v>0</v>
      </c>
      <c r="BF317" s="121">
        <f>IF(N317="zákl. přenesená",J317,0)</f>
        <v>0</v>
      </c>
      <c r="BG317" s="121">
        <f>IF(N317="sníž. přenesená",J317,0)</f>
        <v>0</v>
      </c>
      <c r="BH317" s="121">
        <f>IF(N317="nulová",J317,0)</f>
        <v>0</v>
      </c>
      <c r="BI317" s="17" t="s">
        <v>63</v>
      </c>
      <c r="BJ317" s="121">
        <f>ROUND(I317*H317,2)</f>
        <v>0</v>
      </c>
      <c r="BK317" s="17" t="s">
        <v>108</v>
      </c>
      <c r="BL317" s="120" t="s">
        <v>821</v>
      </c>
    </row>
    <row r="318" spans="2:64" s="1" customFormat="1" ht="44.25" customHeight="1" x14ac:dyDescent="0.2">
      <c r="B318" s="109"/>
      <c r="C318" s="110" t="s">
        <v>368</v>
      </c>
      <c r="D318" s="110" t="s">
        <v>103</v>
      </c>
      <c r="E318" s="111" t="s">
        <v>822</v>
      </c>
      <c r="F318" s="112" t="s">
        <v>823</v>
      </c>
      <c r="G318" s="113" t="s">
        <v>314</v>
      </c>
      <c r="H318" s="114">
        <v>1</v>
      </c>
      <c r="I318" s="115">
        <v>0</v>
      </c>
      <c r="J318" s="115">
        <f>ROUND(I318*H318,2)</f>
        <v>0</v>
      </c>
      <c r="K318" s="112" t="s">
        <v>1</v>
      </c>
      <c r="L318" s="28"/>
      <c r="M318" s="116"/>
      <c r="N318" s="117"/>
      <c r="O318" s="118"/>
      <c r="P318" s="118"/>
      <c r="Q318" s="118"/>
      <c r="R318" s="118"/>
      <c r="S318" s="118"/>
      <c r="T318" s="119"/>
      <c r="V318" s="414"/>
      <c r="W318" s="424"/>
      <c r="AQ318" s="120" t="s">
        <v>108</v>
      </c>
      <c r="AS318" s="120" t="s">
        <v>103</v>
      </c>
      <c r="AT318" s="120" t="s">
        <v>65</v>
      </c>
      <c r="AX318" s="17" t="s">
        <v>101</v>
      </c>
      <c r="BD318" s="121">
        <f>IF(N318="základní",J318,0)</f>
        <v>0</v>
      </c>
      <c r="BE318" s="121">
        <f>IF(N318="snížená",J318,0)</f>
        <v>0</v>
      </c>
      <c r="BF318" s="121">
        <f>IF(N318="zákl. přenesená",J318,0)</f>
        <v>0</v>
      </c>
      <c r="BG318" s="121">
        <f>IF(N318="sníž. přenesená",J318,0)</f>
        <v>0</v>
      </c>
      <c r="BH318" s="121">
        <f>IF(N318="nulová",J318,0)</f>
        <v>0</v>
      </c>
      <c r="BI318" s="17" t="s">
        <v>63</v>
      </c>
      <c r="BJ318" s="121">
        <f>ROUND(I318*H318,2)</f>
        <v>0</v>
      </c>
      <c r="BK318" s="17" t="s">
        <v>108</v>
      </c>
      <c r="BL318" s="120" t="s">
        <v>824</v>
      </c>
    </row>
    <row r="319" spans="2:64" s="1" customFormat="1" ht="33" customHeight="1" x14ac:dyDescent="0.2">
      <c r="B319" s="109"/>
      <c r="C319" s="143" t="s">
        <v>372</v>
      </c>
      <c r="D319" s="143" t="s">
        <v>252</v>
      </c>
      <c r="E319" s="144" t="s">
        <v>825</v>
      </c>
      <c r="F319" s="145" t="s">
        <v>826</v>
      </c>
      <c r="G319" s="146" t="s">
        <v>314</v>
      </c>
      <c r="H319" s="147">
        <v>1</v>
      </c>
      <c r="I319" s="148">
        <v>0</v>
      </c>
      <c r="J319" s="148">
        <f>ROUND(I319*H319,2)</f>
        <v>0</v>
      </c>
      <c r="K319" s="145" t="s">
        <v>107</v>
      </c>
      <c r="L319" s="149"/>
      <c r="M319" s="150"/>
      <c r="N319" s="151"/>
      <c r="O319" s="118"/>
      <c r="P319" s="118"/>
      <c r="Q319" s="118"/>
      <c r="R319" s="118"/>
      <c r="S319" s="118"/>
      <c r="T319" s="119"/>
      <c r="V319" s="414"/>
      <c r="W319" s="424"/>
      <c r="AQ319" s="120" t="s">
        <v>171</v>
      </c>
      <c r="AS319" s="120" t="s">
        <v>252</v>
      </c>
      <c r="AT319" s="120" t="s">
        <v>65</v>
      </c>
      <c r="AX319" s="17" t="s">
        <v>101</v>
      </c>
      <c r="BD319" s="121">
        <f>IF(N319="základní",J319,0)</f>
        <v>0</v>
      </c>
      <c r="BE319" s="121">
        <f>IF(N319="snížená",J319,0)</f>
        <v>0</v>
      </c>
      <c r="BF319" s="121">
        <f>IF(N319="zákl. přenesená",J319,0)</f>
        <v>0</v>
      </c>
      <c r="BG319" s="121">
        <f>IF(N319="sníž. přenesená",J319,0)</f>
        <v>0</v>
      </c>
      <c r="BH319" s="121">
        <f>IF(N319="nulová",J319,0)</f>
        <v>0</v>
      </c>
      <c r="BI319" s="17" t="s">
        <v>63</v>
      </c>
      <c r="BJ319" s="121">
        <f>ROUND(I319*H319,2)</f>
        <v>0</v>
      </c>
      <c r="BK319" s="17" t="s">
        <v>108</v>
      </c>
      <c r="BL319" s="120" t="s">
        <v>827</v>
      </c>
    </row>
    <row r="320" spans="2:64" s="1" customFormat="1" ht="44.25" customHeight="1" x14ac:dyDescent="0.2">
      <c r="B320" s="109"/>
      <c r="C320" s="110" t="s">
        <v>376</v>
      </c>
      <c r="D320" s="110" t="s">
        <v>103</v>
      </c>
      <c r="E320" s="111" t="s">
        <v>828</v>
      </c>
      <c r="F320" s="112" t="s">
        <v>829</v>
      </c>
      <c r="G320" s="113" t="s">
        <v>314</v>
      </c>
      <c r="H320" s="114">
        <v>1</v>
      </c>
      <c r="I320" s="115">
        <v>0</v>
      </c>
      <c r="J320" s="115">
        <f>ROUND(I320*H320,2)</f>
        <v>0</v>
      </c>
      <c r="K320" s="112" t="s">
        <v>107</v>
      </c>
      <c r="L320" s="28"/>
      <c r="M320" s="116"/>
      <c r="N320" s="117"/>
      <c r="O320" s="118"/>
      <c r="P320" s="118"/>
      <c r="Q320" s="118"/>
      <c r="R320" s="118"/>
      <c r="S320" s="118"/>
      <c r="T320" s="119"/>
      <c r="V320" s="414">
        <v>1</v>
      </c>
      <c r="W320" s="424">
        <v>3</v>
      </c>
      <c r="AQ320" s="120" t="s">
        <v>108</v>
      </c>
      <c r="AS320" s="120" t="s">
        <v>103</v>
      </c>
      <c r="AT320" s="120" t="s">
        <v>65</v>
      </c>
      <c r="AX320" s="17" t="s">
        <v>101</v>
      </c>
      <c r="BD320" s="121">
        <f>IF(N320="základní",J320,0)</f>
        <v>0</v>
      </c>
      <c r="BE320" s="121">
        <f>IF(N320="snížená",J320,0)</f>
        <v>0</v>
      </c>
      <c r="BF320" s="121">
        <f>IF(N320="zákl. přenesená",J320,0)</f>
        <v>0</v>
      </c>
      <c r="BG320" s="121">
        <f>IF(N320="sníž. přenesená",J320,0)</f>
        <v>0</v>
      </c>
      <c r="BH320" s="121">
        <f>IF(N320="nulová",J320,0)</f>
        <v>0</v>
      </c>
      <c r="BI320" s="17" t="s">
        <v>63</v>
      </c>
      <c r="BJ320" s="121">
        <f>ROUND(I320*H320,2)</f>
        <v>0</v>
      </c>
      <c r="BK320" s="17" t="s">
        <v>108</v>
      </c>
      <c r="BL320" s="120" t="s">
        <v>830</v>
      </c>
    </row>
    <row r="321" spans="2:64" s="1" customFormat="1" x14ac:dyDescent="0.2">
      <c r="B321" s="28"/>
      <c r="D321" s="122" t="s">
        <v>110</v>
      </c>
      <c r="F321" s="412" t="s">
        <v>831</v>
      </c>
      <c r="L321" s="28"/>
      <c r="M321" s="124"/>
      <c r="T321" s="48"/>
      <c r="V321" s="414"/>
      <c r="W321" s="424"/>
      <c r="AS321" s="17" t="s">
        <v>110</v>
      </c>
      <c r="AT321" s="17" t="s">
        <v>65</v>
      </c>
    </row>
    <row r="322" spans="2:64" s="1" customFormat="1" ht="24.2" customHeight="1" x14ac:dyDescent="0.2">
      <c r="B322" s="109"/>
      <c r="C322" s="143" t="s">
        <v>380</v>
      </c>
      <c r="D322" s="143" t="s">
        <v>252</v>
      </c>
      <c r="E322" s="144" t="s">
        <v>832</v>
      </c>
      <c r="F322" s="145" t="s">
        <v>833</v>
      </c>
      <c r="G322" s="146" t="s">
        <v>314</v>
      </c>
      <c r="H322" s="147">
        <v>1</v>
      </c>
      <c r="I322" s="148">
        <v>0</v>
      </c>
      <c r="J322" s="148">
        <f>ROUND(I322*H322,2)</f>
        <v>0</v>
      </c>
      <c r="K322" s="145" t="s">
        <v>107</v>
      </c>
      <c r="L322" s="149"/>
      <c r="M322" s="150"/>
      <c r="N322" s="151"/>
      <c r="O322" s="118"/>
      <c r="P322" s="118"/>
      <c r="Q322" s="118"/>
      <c r="R322" s="118"/>
      <c r="S322" s="118"/>
      <c r="T322" s="119"/>
      <c r="V322" s="414">
        <v>1</v>
      </c>
      <c r="W322" s="424">
        <v>1</v>
      </c>
      <c r="AQ322" s="120" t="s">
        <v>171</v>
      </c>
      <c r="AS322" s="120" t="s">
        <v>252</v>
      </c>
      <c r="AT322" s="120" t="s">
        <v>65</v>
      </c>
      <c r="AX322" s="17" t="s">
        <v>101</v>
      </c>
      <c r="BD322" s="121">
        <f>IF(N322="základní",J322,0)</f>
        <v>0</v>
      </c>
      <c r="BE322" s="121">
        <f>IF(N322="snížená",J322,0)</f>
        <v>0</v>
      </c>
      <c r="BF322" s="121">
        <f>IF(N322="zákl. přenesená",J322,0)</f>
        <v>0</v>
      </c>
      <c r="BG322" s="121">
        <f>IF(N322="sníž. přenesená",J322,0)</f>
        <v>0</v>
      </c>
      <c r="BH322" s="121">
        <f>IF(N322="nulová",J322,0)</f>
        <v>0</v>
      </c>
      <c r="BI322" s="17" t="s">
        <v>63</v>
      </c>
      <c r="BJ322" s="121">
        <f>ROUND(I322*H322,2)</f>
        <v>0</v>
      </c>
      <c r="BK322" s="17" t="s">
        <v>108</v>
      </c>
      <c r="BL322" s="120" t="s">
        <v>834</v>
      </c>
    </row>
    <row r="323" spans="2:64" s="1" customFormat="1" ht="24.2" customHeight="1" x14ac:dyDescent="0.2">
      <c r="B323" s="109"/>
      <c r="C323" s="143" t="s">
        <v>385</v>
      </c>
      <c r="D323" s="143" t="s">
        <v>252</v>
      </c>
      <c r="E323" s="144" t="s">
        <v>835</v>
      </c>
      <c r="F323" s="145" t="s">
        <v>836</v>
      </c>
      <c r="G323" s="146" t="s">
        <v>314</v>
      </c>
      <c r="H323" s="147">
        <v>1</v>
      </c>
      <c r="I323" s="148">
        <v>0</v>
      </c>
      <c r="J323" s="148">
        <f>ROUND(I323*H323,2)</f>
        <v>0</v>
      </c>
      <c r="K323" s="145" t="s">
        <v>1</v>
      </c>
      <c r="L323" s="149"/>
      <c r="M323" s="150"/>
      <c r="N323" s="151"/>
      <c r="O323" s="118"/>
      <c r="P323" s="118"/>
      <c r="Q323" s="118"/>
      <c r="R323" s="118"/>
      <c r="S323" s="118"/>
      <c r="T323" s="119"/>
      <c r="V323" s="414">
        <v>1</v>
      </c>
      <c r="W323" s="424">
        <v>1</v>
      </c>
      <c r="AQ323" s="120" t="s">
        <v>171</v>
      </c>
      <c r="AS323" s="120" t="s">
        <v>252</v>
      </c>
      <c r="AT323" s="120" t="s">
        <v>65</v>
      </c>
      <c r="AX323" s="17" t="s">
        <v>101</v>
      </c>
      <c r="BD323" s="121">
        <f>IF(N323="základní",J323,0)</f>
        <v>0</v>
      </c>
      <c r="BE323" s="121">
        <f>IF(N323="snížená",J323,0)</f>
        <v>0</v>
      </c>
      <c r="BF323" s="121">
        <f>IF(N323="zákl. přenesená",J323,0)</f>
        <v>0</v>
      </c>
      <c r="BG323" s="121">
        <f>IF(N323="sníž. přenesená",J323,0)</f>
        <v>0</v>
      </c>
      <c r="BH323" s="121">
        <f>IF(N323="nulová",J323,0)</f>
        <v>0</v>
      </c>
      <c r="BI323" s="17" t="s">
        <v>63</v>
      </c>
      <c r="BJ323" s="121">
        <f>ROUND(I323*H323,2)</f>
        <v>0</v>
      </c>
      <c r="BK323" s="17" t="s">
        <v>108</v>
      </c>
      <c r="BL323" s="120" t="s">
        <v>837</v>
      </c>
    </row>
    <row r="324" spans="2:64" s="1" customFormat="1" ht="44.25" customHeight="1" x14ac:dyDescent="0.2">
      <c r="B324" s="109"/>
      <c r="C324" s="110" t="s">
        <v>390</v>
      </c>
      <c r="D324" s="110" t="s">
        <v>103</v>
      </c>
      <c r="E324" s="111" t="s">
        <v>347</v>
      </c>
      <c r="F324" s="112" t="s">
        <v>348</v>
      </c>
      <c r="G324" s="113" t="s">
        <v>314</v>
      </c>
      <c r="H324" s="114">
        <v>1</v>
      </c>
      <c r="I324" s="115">
        <v>0</v>
      </c>
      <c r="J324" s="115">
        <f>ROUND(I324*H324,2)</f>
        <v>0</v>
      </c>
      <c r="K324" s="112" t="s">
        <v>107</v>
      </c>
      <c r="L324" s="28"/>
      <c r="M324" s="116"/>
      <c r="N324" s="117"/>
      <c r="O324" s="118"/>
      <c r="P324" s="118"/>
      <c r="Q324" s="118"/>
      <c r="R324" s="118"/>
      <c r="S324" s="118"/>
      <c r="T324" s="119"/>
      <c r="V324" s="414">
        <v>1</v>
      </c>
      <c r="W324" s="424">
        <v>3</v>
      </c>
      <c r="AQ324" s="120" t="s">
        <v>108</v>
      </c>
      <c r="AS324" s="120" t="s">
        <v>103</v>
      </c>
      <c r="AT324" s="120" t="s">
        <v>65</v>
      </c>
      <c r="AX324" s="17" t="s">
        <v>101</v>
      </c>
      <c r="BD324" s="121">
        <f>IF(N324="základní",J324,0)</f>
        <v>0</v>
      </c>
      <c r="BE324" s="121">
        <f>IF(N324="snížená",J324,0)</f>
        <v>0</v>
      </c>
      <c r="BF324" s="121">
        <f>IF(N324="zákl. přenesená",J324,0)</f>
        <v>0</v>
      </c>
      <c r="BG324" s="121">
        <f>IF(N324="sníž. přenesená",J324,0)</f>
        <v>0</v>
      </c>
      <c r="BH324" s="121">
        <f>IF(N324="nulová",J324,0)</f>
        <v>0</v>
      </c>
      <c r="BI324" s="17" t="s">
        <v>63</v>
      </c>
      <c r="BJ324" s="121">
        <f>ROUND(I324*H324,2)</f>
        <v>0</v>
      </c>
      <c r="BK324" s="17" t="s">
        <v>108</v>
      </c>
      <c r="BL324" s="120" t="s">
        <v>838</v>
      </c>
    </row>
    <row r="325" spans="2:64" s="1" customFormat="1" x14ac:dyDescent="0.2">
      <c r="B325" s="28"/>
      <c r="D325" s="122" t="s">
        <v>110</v>
      </c>
      <c r="F325" s="412" t="s">
        <v>350</v>
      </c>
      <c r="L325" s="28"/>
      <c r="M325" s="124"/>
      <c r="T325" s="48"/>
      <c r="V325" s="414"/>
      <c r="W325" s="424"/>
      <c r="AS325" s="17" t="s">
        <v>110</v>
      </c>
      <c r="AT325" s="17" t="s">
        <v>65</v>
      </c>
    </row>
    <row r="326" spans="2:64" s="1" customFormat="1" ht="21.75" customHeight="1" x14ac:dyDescent="0.2">
      <c r="B326" s="109"/>
      <c r="C326" s="143" t="s">
        <v>395</v>
      </c>
      <c r="D326" s="143" t="s">
        <v>252</v>
      </c>
      <c r="E326" s="144" t="s">
        <v>839</v>
      </c>
      <c r="F326" s="145" t="s">
        <v>840</v>
      </c>
      <c r="G326" s="146" t="s">
        <v>314</v>
      </c>
      <c r="H326" s="147">
        <v>1</v>
      </c>
      <c r="I326" s="148">
        <v>0</v>
      </c>
      <c r="J326" s="148">
        <f>ROUND(I326*H326,2)</f>
        <v>0</v>
      </c>
      <c r="K326" s="145" t="s">
        <v>1</v>
      </c>
      <c r="L326" s="149"/>
      <c r="M326" s="150"/>
      <c r="N326" s="151"/>
      <c r="O326" s="118"/>
      <c r="P326" s="118"/>
      <c r="Q326" s="118"/>
      <c r="R326" s="118"/>
      <c r="S326" s="118"/>
      <c r="T326" s="119"/>
      <c r="V326" s="414">
        <v>1</v>
      </c>
      <c r="W326" s="424">
        <v>3</v>
      </c>
      <c r="AQ326" s="120" t="s">
        <v>171</v>
      </c>
      <c r="AS326" s="120" t="s">
        <v>252</v>
      </c>
      <c r="AT326" s="120" t="s">
        <v>65</v>
      </c>
      <c r="AX326" s="17" t="s">
        <v>101</v>
      </c>
      <c r="BD326" s="121">
        <f>IF(N326="základní",J326,0)</f>
        <v>0</v>
      </c>
      <c r="BE326" s="121">
        <f>IF(N326="snížená",J326,0)</f>
        <v>0</v>
      </c>
      <c r="BF326" s="121">
        <f>IF(N326="zákl. přenesená",J326,0)</f>
        <v>0</v>
      </c>
      <c r="BG326" s="121">
        <f>IF(N326="sníž. přenesená",J326,0)</f>
        <v>0</v>
      </c>
      <c r="BH326" s="121">
        <f>IF(N326="nulová",J326,0)</f>
        <v>0</v>
      </c>
      <c r="BI326" s="17" t="s">
        <v>63</v>
      </c>
      <c r="BJ326" s="121">
        <f>ROUND(I326*H326,2)</f>
        <v>0</v>
      </c>
      <c r="BK326" s="17" t="s">
        <v>108</v>
      </c>
      <c r="BL326" s="120" t="s">
        <v>841</v>
      </c>
    </row>
    <row r="327" spans="2:64" s="1" customFormat="1" ht="44.25" customHeight="1" x14ac:dyDescent="0.2">
      <c r="B327" s="109"/>
      <c r="C327" s="110" t="s">
        <v>400</v>
      </c>
      <c r="D327" s="110" t="s">
        <v>103</v>
      </c>
      <c r="E327" s="111" t="s">
        <v>364</v>
      </c>
      <c r="F327" s="112" t="s">
        <v>365</v>
      </c>
      <c r="G327" s="113" t="s">
        <v>314</v>
      </c>
      <c r="H327" s="114">
        <v>1</v>
      </c>
      <c r="I327" s="115">
        <v>0</v>
      </c>
      <c r="J327" s="115">
        <f>ROUND(I327*H327,2)</f>
        <v>0</v>
      </c>
      <c r="K327" s="112" t="s">
        <v>107</v>
      </c>
      <c r="L327" s="28"/>
      <c r="M327" s="116"/>
      <c r="N327" s="117"/>
      <c r="O327" s="118"/>
      <c r="P327" s="118"/>
      <c r="Q327" s="118"/>
      <c r="R327" s="118"/>
      <c r="S327" s="118"/>
      <c r="T327" s="119"/>
      <c r="V327" s="414">
        <v>1</v>
      </c>
      <c r="W327" s="424">
        <v>4</v>
      </c>
      <c r="AQ327" s="120" t="s">
        <v>108</v>
      </c>
      <c r="AS327" s="120" t="s">
        <v>103</v>
      </c>
      <c r="AT327" s="120" t="s">
        <v>65</v>
      </c>
      <c r="AX327" s="17" t="s">
        <v>101</v>
      </c>
      <c r="BD327" s="121">
        <f>IF(N327="základní",J327,0)</f>
        <v>0</v>
      </c>
      <c r="BE327" s="121">
        <f>IF(N327="snížená",J327,0)</f>
        <v>0</v>
      </c>
      <c r="BF327" s="121">
        <f>IF(N327="zákl. přenesená",J327,0)</f>
        <v>0</v>
      </c>
      <c r="BG327" s="121">
        <f>IF(N327="sníž. přenesená",J327,0)</f>
        <v>0</v>
      </c>
      <c r="BH327" s="121">
        <f>IF(N327="nulová",J327,0)</f>
        <v>0</v>
      </c>
      <c r="BI327" s="17" t="s">
        <v>63</v>
      </c>
      <c r="BJ327" s="121">
        <f>ROUND(I327*H327,2)</f>
        <v>0</v>
      </c>
      <c r="BK327" s="17" t="s">
        <v>108</v>
      </c>
      <c r="BL327" s="120" t="s">
        <v>842</v>
      </c>
    </row>
    <row r="328" spans="2:64" s="1" customFormat="1" x14ac:dyDescent="0.2">
      <c r="B328" s="28"/>
      <c r="D328" s="122" t="s">
        <v>110</v>
      </c>
      <c r="F328" s="412" t="s">
        <v>367</v>
      </c>
      <c r="L328" s="28"/>
      <c r="M328" s="124"/>
      <c r="T328" s="48"/>
      <c r="V328" s="414"/>
      <c r="W328" s="424"/>
      <c r="AS328" s="17" t="s">
        <v>110</v>
      </c>
      <c r="AT328" s="17" t="s">
        <v>65</v>
      </c>
    </row>
    <row r="329" spans="2:64" s="1" customFormat="1" ht="33" customHeight="1" x14ac:dyDescent="0.2">
      <c r="B329" s="109"/>
      <c r="C329" s="143" t="s">
        <v>404</v>
      </c>
      <c r="D329" s="143" t="s">
        <v>252</v>
      </c>
      <c r="E329" s="144" t="s">
        <v>373</v>
      </c>
      <c r="F329" s="145" t="s">
        <v>374</v>
      </c>
      <c r="G329" s="146" t="s">
        <v>314</v>
      </c>
      <c r="H329" s="147">
        <v>1</v>
      </c>
      <c r="I329" s="148">
        <v>0</v>
      </c>
      <c r="J329" s="148">
        <f>ROUND(I329*H329,2)</f>
        <v>0</v>
      </c>
      <c r="K329" s="145" t="s">
        <v>107</v>
      </c>
      <c r="L329" s="149"/>
      <c r="M329" s="150"/>
      <c r="N329" s="151"/>
      <c r="O329" s="118"/>
      <c r="P329" s="118"/>
      <c r="Q329" s="118"/>
      <c r="R329" s="118"/>
      <c r="S329" s="118"/>
      <c r="T329" s="119"/>
      <c r="V329" s="414">
        <v>1</v>
      </c>
      <c r="W329" s="424">
        <v>1</v>
      </c>
      <c r="AQ329" s="120" t="s">
        <v>171</v>
      </c>
      <c r="AS329" s="120" t="s">
        <v>252</v>
      </c>
      <c r="AT329" s="120" t="s">
        <v>65</v>
      </c>
      <c r="AX329" s="17" t="s">
        <v>101</v>
      </c>
      <c r="BD329" s="121">
        <f>IF(N329="základní",J329,0)</f>
        <v>0</v>
      </c>
      <c r="BE329" s="121">
        <f>IF(N329="snížená",J329,0)</f>
        <v>0</v>
      </c>
      <c r="BF329" s="121">
        <f>IF(N329="zákl. přenesená",J329,0)</f>
        <v>0</v>
      </c>
      <c r="BG329" s="121">
        <f>IF(N329="sníž. přenesená",J329,0)</f>
        <v>0</v>
      </c>
      <c r="BH329" s="121">
        <f>IF(N329="nulová",J329,0)</f>
        <v>0</v>
      </c>
      <c r="BI329" s="17" t="s">
        <v>63</v>
      </c>
      <c r="BJ329" s="121">
        <f>ROUND(I329*H329,2)</f>
        <v>0</v>
      </c>
      <c r="BK329" s="17" t="s">
        <v>108</v>
      </c>
      <c r="BL329" s="120" t="s">
        <v>843</v>
      </c>
    </row>
    <row r="330" spans="2:64" s="1" customFormat="1" ht="33" customHeight="1" x14ac:dyDescent="0.2">
      <c r="B330" s="109"/>
      <c r="C330" s="143" t="s">
        <v>409</v>
      </c>
      <c r="D330" s="143" t="s">
        <v>252</v>
      </c>
      <c r="E330" s="144" t="s">
        <v>377</v>
      </c>
      <c r="F330" s="145" t="s">
        <v>378</v>
      </c>
      <c r="G330" s="146" t="s">
        <v>314</v>
      </c>
      <c r="H330" s="147">
        <v>1</v>
      </c>
      <c r="I330" s="148">
        <v>0</v>
      </c>
      <c r="J330" s="148">
        <f>ROUND(I330*H330,2)</f>
        <v>0</v>
      </c>
      <c r="K330" s="145" t="s">
        <v>107</v>
      </c>
      <c r="L330" s="149"/>
      <c r="M330" s="150"/>
      <c r="N330" s="151"/>
      <c r="O330" s="118"/>
      <c r="P330" s="118"/>
      <c r="Q330" s="118"/>
      <c r="R330" s="118"/>
      <c r="S330" s="118"/>
      <c r="T330" s="119"/>
      <c r="V330" s="414">
        <v>1</v>
      </c>
      <c r="W330" s="424">
        <v>2</v>
      </c>
      <c r="AQ330" s="120" t="s">
        <v>171</v>
      </c>
      <c r="AS330" s="120" t="s">
        <v>252</v>
      </c>
      <c r="AT330" s="120" t="s">
        <v>65</v>
      </c>
      <c r="AX330" s="17" t="s">
        <v>101</v>
      </c>
      <c r="BD330" s="121">
        <f>IF(N330="základní",J330,0)</f>
        <v>0</v>
      </c>
      <c r="BE330" s="121">
        <f>IF(N330="snížená",J330,0)</f>
        <v>0</v>
      </c>
      <c r="BF330" s="121">
        <f>IF(N330="zákl. přenesená",J330,0)</f>
        <v>0</v>
      </c>
      <c r="BG330" s="121">
        <f>IF(N330="sníž. přenesená",J330,0)</f>
        <v>0</v>
      </c>
      <c r="BH330" s="121">
        <f>IF(N330="nulová",J330,0)</f>
        <v>0</v>
      </c>
      <c r="BI330" s="17" t="s">
        <v>63</v>
      </c>
      <c r="BJ330" s="121">
        <f>ROUND(I330*H330,2)</f>
        <v>0</v>
      </c>
      <c r="BK330" s="17" t="s">
        <v>108</v>
      </c>
      <c r="BL330" s="120" t="s">
        <v>844</v>
      </c>
    </row>
    <row r="331" spans="2:64" s="1" customFormat="1" ht="37.9" customHeight="1" x14ac:dyDescent="0.2">
      <c r="B331" s="109"/>
      <c r="C331" s="110" t="s">
        <v>414</v>
      </c>
      <c r="D331" s="110" t="s">
        <v>103</v>
      </c>
      <c r="E331" s="111" t="s">
        <v>845</v>
      </c>
      <c r="F331" s="112" t="s">
        <v>846</v>
      </c>
      <c r="G331" s="113" t="s">
        <v>106</v>
      </c>
      <c r="H331" s="114">
        <f>1.5*0.18</f>
        <v>0.27</v>
      </c>
      <c r="I331" s="115">
        <v>0</v>
      </c>
      <c r="J331" s="115">
        <f>ROUND(I331*H331,2)</f>
        <v>0</v>
      </c>
      <c r="K331" s="112" t="s">
        <v>1</v>
      </c>
      <c r="L331" s="28"/>
      <c r="M331" s="116"/>
      <c r="N331" s="117"/>
      <c r="O331" s="118"/>
      <c r="P331" s="118"/>
      <c r="Q331" s="118"/>
      <c r="R331" s="118"/>
      <c r="S331" s="118"/>
      <c r="T331" s="119"/>
      <c r="V331" s="414"/>
      <c r="W331" s="424"/>
      <c r="AQ331" s="120" t="s">
        <v>108</v>
      </c>
      <c r="AS331" s="120" t="s">
        <v>103</v>
      </c>
      <c r="AT331" s="120" t="s">
        <v>65</v>
      </c>
      <c r="AX331" s="17" t="s">
        <v>101</v>
      </c>
      <c r="BD331" s="121">
        <f>IF(N331="základní",J331,0)</f>
        <v>0</v>
      </c>
      <c r="BE331" s="121">
        <f>IF(N331="snížená",J331,0)</f>
        <v>0</v>
      </c>
      <c r="BF331" s="121">
        <f>IF(N331="zákl. přenesená",J331,0)</f>
        <v>0</v>
      </c>
      <c r="BG331" s="121">
        <f>IF(N331="sníž. přenesená",J331,0)</f>
        <v>0</v>
      </c>
      <c r="BH331" s="121">
        <f>IF(N331="nulová",J331,0)</f>
        <v>0</v>
      </c>
      <c r="BI331" s="17" t="s">
        <v>63</v>
      </c>
      <c r="BJ331" s="121">
        <f>ROUND(I331*H331,2)</f>
        <v>0</v>
      </c>
      <c r="BK331" s="17" t="s">
        <v>108</v>
      </c>
      <c r="BL331" s="120" t="s">
        <v>847</v>
      </c>
    </row>
    <row r="332" spans="2:64" s="1" customFormat="1" ht="44.25" customHeight="1" x14ac:dyDescent="0.2">
      <c r="B332" s="109"/>
      <c r="C332" s="110" t="s">
        <v>420</v>
      </c>
      <c r="D332" s="110" t="s">
        <v>103</v>
      </c>
      <c r="E332" s="111" t="s">
        <v>848</v>
      </c>
      <c r="F332" s="112" t="s">
        <v>849</v>
      </c>
      <c r="G332" s="113" t="s">
        <v>106</v>
      </c>
      <c r="H332" s="114">
        <f>18.68*0.18</f>
        <v>3.3623999999999996</v>
      </c>
      <c r="I332" s="115">
        <v>0</v>
      </c>
      <c r="J332" s="115">
        <f>ROUND(I332*H332,2)</f>
        <v>0</v>
      </c>
      <c r="K332" s="112" t="s">
        <v>107</v>
      </c>
      <c r="L332" s="28"/>
      <c r="M332" s="116"/>
      <c r="N332" s="117"/>
      <c r="O332" s="118"/>
      <c r="P332" s="118"/>
      <c r="Q332" s="118"/>
      <c r="R332" s="118"/>
      <c r="S332" s="118"/>
      <c r="T332" s="119"/>
      <c r="V332" s="414"/>
      <c r="W332" s="424"/>
      <c r="AQ332" s="120" t="s">
        <v>108</v>
      </c>
      <c r="AS332" s="120" t="s">
        <v>103</v>
      </c>
      <c r="AT332" s="120" t="s">
        <v>65</v>
      </c>
      <c r="AX332" s="17" t="s">
        <v>101</v>
      </c>
      <c r="BD332" s="121">
        <f>IF(N332="základní",J332,0)</f>
        <v>0</v>
      </c>
      <c r="BE332" s="121">
        <f>IF(N332="snížená",J332,0)</f>
        <v>0</v>
      </c>
      <c r="BF332" s="121">
        <f>IF(N332="zákl. přenesená",J332,0)</f>
        <v>0</v>
      </c>
      <c r="BG332" s="121">
        <f>IF(N332="sníž. přenesená",J332,0)</f>
        <v>0</v>
      </c>
      <c r="BH332" s="121">
        <f>IF(N332="nulová",J332,0)</f>
        <v>0</v>
      </c>
      <c r="BI332" s="17" t="s">
        <v>63</v>
      </c>
      <c r="BJ332" s="121">
        <f>ROUND(I332*H332,2)</f>
        <v>0</v>
      </c>
      <c r="BK332" s="17" t="s">
        <v>108</v>
      </c>
      <c r="BL332" s="120" t="s">
        <v>850</v>
      </c>
    </row>
    <row r="333" spans="2:64" s="1" customFormat="1" x14ac:dyDescent="0.2">
      <c r="B333" s="28"/>
      <c r="D333" s="122" t="s">
        <v>110</v>
      </c>
      <c r="F333" s="412" t="s">
        <v>851</v>
      </c>
      <c r="L333" s="28"/>
      <c r="M333" s="124"/>
      <c r="T333" s="48"/>
      <c r="V333" s="414"/>
      <c r="W333" s="424"/>
      <c r="AS333" s="17" t="s">
        <v>110</v>
      </c>
      <c r="AT333" s="17" t="s">
        <v>65</v>
      </c>
    </row>
    <row r="334" spans="2:64" s="1" customFormat="1" ht="24.2" customHeight="1" x14ac:dyDescent="0.2">
      <c r="B334" s="109"/>
      <c r="C334" s="143" t="s">
        <v>425</v>
      </c>
      <c r="D334" s="143" t="s">
        <v>252</v>
      </c>
      <c r="E334" s="144" t="s">
        <v>852</v>
      </c>
      <c r="F334" s="145" t="s">
        <v>853</v>
      </c>
      <c r="G334" s="146" t="s">
        <v>106</v>
      </c>
      <c r="H334" s="147">
        <f>18.96*0.18</f>
        <v>3.4127999999999998</v>
      </c>
      <c r="I334" s="148">
        <v>0</v>
      </c>
      <c r="J334" s="148">
        <f>ROUND(I334*H334,2)</f>
        <v>0</v>
      </c>
      <c r="K334" s="145" t="s">
        <v>1</v>
      </c>
      <c r="L334" s="149"/>
      <c r="M334" s="150"/>
      <c r="N334" s="151"/>
      <c r="O334" s="118"/>
      <c r="P334" s="118"/>
      <c r="Q334" s="118"/>
      <c r="R334" s="118"/>
      <c r="S334" s="118"/>
      <c r="T334" s="119"/>
      <c r="V334" s="414"/>
      <c r="W334" s="424"/>
      <c r="AQ334" s="120" t="s">
        <v>171</v>
      </c>
      <c r="AS334" s="120" t="s">
        <v>252</v>
      </c>
      <c r="AT334" s="120" t="s">
        <v>65</v>
      </c>
      <c r="AX334" s="17" t="s">
        <v>101</v>
      </c>
      <c r="BD334" s="121">
        <f>IF(N334="základní",J334,0)</f>
        <v>0</v>
      </c>
      <c r="BE334" s="121">
        <f>IF(N334="snížená",J334,0)</f>
        <v>0</v>
      </c>
      <c r="BF334" s="121">
        <f>IF(N334="zákl. přenesená",J334,0)</f>
        <v>0</v>
      </c>
      <c r="BG334" s="121">
        <f>IF(N334="sníž. přenesená",J334,0)</f>
        <v>0</v>
      </c>
      <c r="BH334" s="121">
        <f>IF(N334="nulová",J334,0)</f>
        <v>0</v>
      </c>
      <c r="BI334" s="17" t="s">
        <v>63</v>
      </c>
      <c r="BJ334" s="121">
        <f>ROUND(I334*H334,2)</f>
        <v>0</v>
      </c>
      <c r="BK334" s="17" t="s">
        <v>108</v>
      </c>
      <c r="BL334" s="120" t="s">
        <v>854</v>
      </c>
    </row>
    <row r="335" spans="2:64" s="13" customFormat="1" x14ac:dyDescent="0.2">
      <c r="B335" s="131"/>
      <c r="D335" s="126" t="s">
        <v>112</v>
      </c>
      <c r="F335" s="133" t="s">
        <v>1849</v>
      </c>
      <c r="H335" s="134">
        <f>18.96*0.18</f>
        <v>3.4127999999999998</v>
      </c>
      <c r="L335" s="131"/>
      <c r="M335" s="135"/>
      <c r="T335" s="136"/>
      <c r="V335" s="414"/>
      <c r="W335" s="424"/>
      <c r="AS335" s="132" t="s">
        <v>112</v>
      </c>
      <c r="AT335" s="132" t="s">
        <v>65</v>
      </c>
      <c r="AU335" s="13" t="s">
        <v>65</v>
      </c>
      <c r="AV335" s="13" t="s">
        <v>2</v>
      </c>
      <c r="AW335" s="13" t="s">
        <v>63</v>
      </c>
      <c r="AX335" s="132" t="s">
        <v>101</v>
      </c>
    </row>
    <row r="336" spans="2:64" s="1" customFormat="1" ht="44.25" customHeight="1" x14ac:dyDescent="0.2">
      <c r="B336" s="109"/>
      <c r="C336" s="110" t="s">
        <v>430</v>
      </c>
      <c r="D336" s="110" t="s">
        <v>103</v>
      </c>
      <c r="E336" s="111" t="s">
        <v>855</v>
      </c>
      <c r="F336" s="112" t="s">
        <v>856</v>
      </c>
      <c r="G336" s="113" t="s">
        <v>106</v>
      </c>
      <c r="H336" s="114">
        <f>43.5*0.18</f>
        <v>7.83</v>
      </c>
      <c r="I336" s="115">
        <v>0</v>
      </c>
      <c r="J336" s="115">
        <f>ROUND(I336*H336,2)</f>
        <v>0</v>
      </c>
      <c r="K336" s="112" t="s">
        <v>107</v>
      </c>
      <c r="L336" s="28"/>
      <c r="M336" s="116"/>
      <c r="N336" s="117"/>
      <c r="O336" s="118"/>
      <c r="P336" s="118"/>
      <c r="Q336" s="118"/>
      <c r="R336" s="118"/>
      <c r="S336" s="118"/>
      <c r="T336" s="119"/>
      <c r="V336" s="414"/>
      <c r="W336" s="424"/>
      <c r="AQ336" s="120" t="s">
        <v>108</v>
      </c>
      <c r="AS336" s="120" t="s">
        <v>103</v>
      </c>
      <c r="AT336" s="120" t="s">
        <v>65</v>
      </c>
      <c r="AX336" s="17" t="s">
        <v>101</v>
      </c>
      <c r="BD336" s="121">
        <f>IF(N336="základní",J336,0)</f>
        <v>0</v>
      </c>
      <c r="BE336" s="121">
        <f>IF(N336="snížená",J336,0)</f>
        <v>0</v>
      </c>
      <c r="BF336" s="121">
        <f>IF(N336="zákl. přenesená",J336,0)</f>
        <v>0</v>
      </c>
      <c r="BG336" s="121">
        <f>IF(N336="sníž. přenesená",J336,0)</f>
        <v>0</v>
      </c>
      <c r="BH336" s="121">
        <f>IF(N336="nulová",J336,0)</f>
        <v>0</v>
      </c>
      <c r="BI336" s="17" t="s">
        <v>63</v>
      </c>
      <c r="BJ336" s="121">
        <f>ROUND(I336*H336,2)</f>
        <v>0</v>
      </c>
      <c r="BK336" s="17" t="s">
        <v>108</v>
      </c>
      <c r="BL336" s="120" t="s">
        <v>857</v>
      </c>
    </row>
    <row r="337" spans="2:64" s="1" customFormat="1" x14ac:dyDescent="0.2">
      <c r="B337" s="28"/>
      <c r="D337" s="122" t="s">
        <v>110</v>
      </c>
      <c r="F337" s="412" t="s">
        <v>858</v>
      </c>
      <c r="L337" s="28"/>
      <c r="M337" s="124"/>
      <c r="T337" s="48"/>
      <c r="V337" s="414"/>
      <c r="W337" s="424"/>
      <c r="AS337" s="17" t="s">
        <v>110</v>
      </c>
      <c r="AT337" s="17" t="s">
        <v>65</v>
      </c>
    </row>
    <row r="338" spans="2:64" s="1" customFormat="1" ht="24.2" customHeight="1" x14ac:dyDescent="0.2">
      <c r="B338" s="109"/>
      <c r="C338" s="143" t="s">
        <v>435</v>
      </c>
      <c r="D338" s="143" t="s">
        <v>252</v>
      </c>
      <c r="E338" s="144" t="s">
        <v>859</v>
      </c>
      <c r="F338" s="145" t="s">
        <v>860</v>
      </c>
      <c r="G338" s="146" t="s">
        <v>106</v>
      </c>
      <c r="H338" s="147">
        <f>44.153*0.18</f>
        <v>7.9475399999999992</v>
      </c>
      <c r="I338" s="148">
        <v>0</v>
      </c>
      <c r="J338" s="148">
        <f>ROUND(I338*H338,2)</f>
        <v>0</v>
      </c>
      <c r="K338" s="145" t="s">
        <v>107</v>
      </c>
      <c r="L338" s="149"/>
      <c r="M338" s="150"/>
      <c r="N338" s="151"/>
      <c r="O338" s="118"/>
      <c r="P338" s="118"/>
      <c r="Q338" s="118"/>
      <c r="R338" s="118"/>
      <c r="S338" s="118"/>
      <c r="T338" s="119"/>
      <c r="V338" s="414"/>
      <c r="W338" s="424"/>
      <c r="AQ338" s="120" t="s">
        <v>171</v>
      </c>
      <c r="AS338" s="120" t="s">
        <v>252</v>
      </c>
      <c r="AT338" s="120" t="s">
        <v>65</v>
      </c>
      <c r="AX338" s="17" t="s">
        <v>101</v>
      </c>
      <c r="BD338" s="121">
        <f>IF(N338="základní",J338,0)</f>
        <v>0</v>
      </c>
      <c r="BE338" s="121">
        <f>IF(N338="snížená",J338,0)</f>
        <v>0</v>
      </c>
      <c r="BF338" s="121">
        <f>IF(N338="zákl. přenesená",J338,0)</f>
        <v>0</v>
      </c>
      <c r="BG338" s="121">
        <f>IF(N338="sníž. přenesená",J338,0)</f>
        <v>0</v>
      </c>
      <c r="BH338" s="121">
        <f>IF(N338="nulová",J338,0)</f>
        <v>0</v>
      </c>
      <c r="BI338" s="17" t="s">
        <v>63</v>
      </c>
      <c r="BJ338" s="121">
        <f>ROUND(I338*H338,2)</f>
        <v>0</v>
      </c>
      <c r="BK338" s="17" t="s">
        <v>108</v>
      </c>
      <c r="BL338" s="120" t="s">
        <v>861</v>
      </c>
    </row>
    <row r="339" spans="2:64" s="13" customFormat="1" x14ac:dyDescent="0.2">
      <c r="B339" s="131"/>
      <c r="D339" s="126" t="s">
        <v>112</v>
      </c>
      <c r="F339" s="133" t="s">
        <v>862</v>
      </c>
      <c r="H339" s="134">
        <f>44.153*0.18</f>
        <v>7.9475399999999992</v>
      </c>
      <c r="L339" s="131"/>
      <c r="M339" s="135"/>
      <c r="T339" s="136"/>
      <c r="V339" s="414"/>
      <c r="W339" s="424"/>
      <c r="AS339" s="132" t="s">
        <v>112</v>
      </c>
      <c r="AT339" s="132" t="s">
        <v>65</v>
      </c>
      <c r="AU339" s="13" t="s">
        <v>65</v>
      </c>
      <c r="AV339" s="13" t="s">
        <v>2</v>
      </c>
      <c r="AW339" s="13" t="s">
        <v>63</v>
      </c>
      <c r="AX339" s="132" t="s">
        <v>101</v>
      </c>
    </row>
    <row r="340" spans="2:64" s="1" customFormat="1" ht="44.25" customHeight="1" x14ac:dyDescent="0.2">
      <c r="B340" s="109"/>
      <c r="C340" s="110" t="s">
        <v>440</v>
      </c>
      <c r="D340" s="110" t="s">
        <v>103</v>
      </c>
      <c r="E340" s="111" t="s">
        <v>863</v>
      </c>
      <c r="F340" s="112" t="s">
        <v>864</v>
      </c>
      <c r="G340" s="113" t="s">
        <v>106</v>
      </c>
      <c r="H340" s="114">
        <f>377.1*0.18</f>
        <v>67.878</v>
      </c>
      <c r="I340" s="115">
        <v>0</v>
      </c>
      <c r="J340" s="115">
        <f>ROUND(I340*H340,2)</f>
        <v>0</v>
      </c>
      <c r="K340" s="112" t="s">
        <v>107</v>
      </c>
      <c r="L340" s="28"/>
      <c r="M340" s="116"/>
      <c r="N340" s="117"/>
      <c r="O340" s="118"/>
      <c r="P340" s="118"/>
      <c r="Q340" s="118"/>
      <c r="R340" s="118"/>
      <c r="S340" s="118"/>
      <c r="T340" s="119"/>
      <c r="V340" s="414"/>
      <c r="W340" s="424"/>
      <c r="AQ340" s="120" t="s">
        <v>108</v>
      </c>
      <c r="AS340" s="120" t="s">
        <v>103</v>
      </c>
      <c r="AT340" s="120" t="s">
        <v>65</v>
      </c>
      <c r="AX340" s="17" t="s">
        <v>101</v>
      </c>
      <c r="BD340" s="121">
        <f>IF(N340="základní",J340,0)</f>
        <v>0</v>
      </c>
      <c r="BE340" s="121">
        <f>IF(N340="snížená",J340,0)</f>
        <v>0</v>
      </c>
      <c r="BF340" s="121">
        <f>IF(N340="zákl. přenesená",J340,0)</f>
        <v>0</v>
      </c>
      <c r="BG340" s="121">
        <f>IF(N340="sníž. přenesená",J340,0)</f>
        <v>0</v>
      </c>
      <c r="BH340" s="121">
        <f>IF(N340="nulová",J340,0)</f>
        <v>0</v>
      </c>
      <c r="BI340" s="17" t="s">
        <v>63</v>
      </c>
      <c r="BJ340" s="121">
        <f>ROUND(I340*H340,2)</f>
        <v>0</v>
      </c>
      <c r="BK340" s="17" t="s">
        <v>108</v>
      </c>
      <c r="BL340" s="120" t="s">
        <v>865</v>
      </c>
    </row>
    <row r="341" spans="2:64" s="1" customFormat="1" x14ac:dyDescent="0.2">
      <c r="B341" s="28"/>
      <c r="D341" s="122" t="s">
        <v>110</v>
      </c>
      <c r="F341" s="412" t="s">
        <v>866</v>
      </c>
      <c r="L341" s="28"/>
      <c r="M341" s="124"/>
      <c r="T341" s="48"/>
      <c r="V341" s="414"/>
      <c r="W341" s="424"/>
      <c r="AS341" s="17" t="s">
        <v>110</v>
      </c>
      <c r="AT341" s="17" t="s">
        <v>65</v>
      </c>
    </row>
    <row r="342" spans="2:64" s="1" customFormat="1" ht="24.2" customHeight="1" x14ac:dyDescent="0.2">
      <c r="B342" s="109"/>
      <c r="C342" s="143" t="s">
        <v>445</v>
      </c>
      <c r="D342" s="143" t="s">
        <v>252</v>
      </c>
      <c r="E342" s="144" t="s">
        <v>867</v>
      </c>
      <c r="F342" s="145" t="s">
        <v>868</v>
      </c>
      <c r="G342" s="146" t="s">
        <v>106</v>
      </c>
      <c r="H342" s="147">
        <f>382.757*0.18</f>
        <v>68.896259999999998</v>
      </c>
      <c r="I342" s="148">
        <v>0</v>
      </c>
      <c r="J342" s="148">
        <f>ROUND(I342*H342,2)</f>
        <v>0</v>
      </c>
      <c r="K342" s="145" t="s">
        <v>107</v>
      </c>
      <c r="L342" s="149"/>
      <c r="M342" s="150"/>
      <c r="N342" s="151"/>
      <c r="O342" s="118"/>
      <c r="P342" s="118"/>
      <c r="Q342" s="118"/>
      <c r="R342" s="118"/>
      <c r="S342" s="118"/>
      <c r="T342" s="119"/>
      <c r="V342" s="414"/>
      <c r="W342" s="424"/>
      <c r="AQ342" s="120" t="s">
        <v>171</v>
      </c>
      <c r="AS342" s="120" t="s">
        <v>252</v>
      </c>
      <c r="AT342" s="120" t="s">
        <v>65</v>
      </c>
      <c r="AX342" s="17" t="s">
        <v>101</v>
      </c>
      <c r="BD342" s="121">
        <f>IF(N342="základní",J342,0)</f>
        <v>0</v>
      </c>
      <c r="BE342" s="121">
        <f>IF(N342="snížená",J342,0)</f>
        <v>0</v>
      </c>
      <c r="BF342" s="121">
        <f>IF(N342="zákl. přenesená",J342,0)</f>
        <v>0</v>
      </c>
      <c r="BG342" s="121">
        <f>IF(N342="sníž. přenesená",J342,0)</f>
        <v>0</v>
      </c>
      <c r="BH342" s="121">
        <f>IF(N342="nulová",J342,0)</f>
        <v>0</v>
      </c>
      <c r="BI342" s="17" t="s">
        <v>63</v>
      </c>
      <c r="BJ342" s="121">
        <f>ROUND(I342*H342,2)</f>
        <v>0</v>
      </c>
      <c r="BK342" s="17" t="s">
        <v>108</v>
      </c>
      <c r="BL342" s="120" t="s">
        <v>869</v>
      </c>
    </row>
    <row r="343" spans="2:64" s="13" customFormat="1" x14ac:dyDescent="0.2">
      <c r="B343" s="131"/>
      <c r="D343" s="126" t="s">
        <v>112</v>
      </c>
      <c r="F343" s="133" t="s">
        <v>1850</v>
      </c>
      <c r="H343" s="134">
        <f>382.757*0.18</f>
        <v>68.896259999999998</v>
      </c>
      <c r="L343" s="131"/>
      <c r="M343" s="135"/>
      <c r="T343" s="136"/>
      <c r="V343" s="414"/>
      <c r="W343" s="424"/>
      <c r="AS343" s="132" t="s">
        <v>112</v>
      </c>
      <c r="AT343" s="132" t="s">
        <v>65</v>
      </c>
      <c r="AU343" s="13" t="s">
        <v>65</v>
      </c>
      <c r="AV343" s="13" t="s">
        <v>2</v>
      </c>
      <c r="AW343" s="13" t="s">
        <v>63</v>
      </c>
      <c r="AX343" s="132" t="s">
        <v>101</v>
      </c>
    </row>
    <row r="344" spans="2:64" s="1" customFormat="1" ht="44.25" customHeight="1" x14ac:dyDescent="0.2">
      <c r="B344" s="109"/>
      <c r="C344" s="110" t="s">
        <v>449</v>
      </c>
      <c r="D344" s="110" t="s">
        <v>103</v>
      </c>
      <c r="E344" s="111" t="s">
        <v>870</v>
      </c>
      <c r="F344" s="112" t="s">
        <v>871</v>
      </c>
      <c r="G344" s="113" t="s">
        <v>106</v>
      </c>
      <c r="H344" s="114">
        <f>6*0.18</f>
        <v>1.08</v>
      </c>
      <c r="I344" s="115">
        <v>0</v>
      </c>
      <c r="J344" s="115">
        <f>ROUND(I344*H344,2)</f>
        <v>0</v>
      </c>
      <c r="K344" s="112" t="s">
        <v>107</v>
      </c>
      <c r="L344" s="28"/>
      <c r="M344" s="116"/>
      <c r="N344" s="117"/>
      <c r="O344" s="118"/>
      <c r="P344" s="118"/>
      <c r="Q344" s="118"/>
      <c r="R344" s="118"/>
      <c r="S344" s="118"/>
      <c r="T344" s="119"/>
      <c r="V344" s="414"/>
      <c r="W344" s="424"/>
      <c r="AQ344" s="120" t="s">
        <v>108</v>
      </c>
      <c r="AS344" s="120" t="s">
        <v>103</v>
      </c>
      <c r="AT344" s="120" t="s">
        <v>65</v>
      </c>
      <c r="AX344" s="17" t="s">
        <v>101</v>
      </c>
      <c r="BD344" s="121">
        <f>IF(N344="základní",J344,0)</f>
        <v>0</v>
      </c>
      <c r="BE344" s="121">
        <f>IF(N344="snížená",J344,0)</f>
        <v>0</v>
      </c>
      <c r="BF344" s="121">
        <f>IF(N344="zákl. přenesená",J344,0)</f>
        <v>0</v>
      </c>
      <c r="BG344" s="121">
        <f>IF(N344="sníž. přenesená",J344,0)</f>
        <v>0</v>
      </c>
      <c r="BH344" s="121">
        <f>IF(N344="nulová",J344,0)</f>
        <v>0</v>
      </c>
      <c r="BI344" s="17" t="s">
        <v>63</v>
      </c>
      <c r="BJ344" s="121">
        <f>ROUND(I344*H344,2)</f>
        <v>0</v>
      </c>
      <c r="BK344" s="17" t="s">
        <v>108</v>
      </c>
      <c r="BL344" s="120" t="s">
        <v>872</v>
      </c>
    </row>
    <row r="345" spans="2:64" s="1" customFormat="1" x14ac:dyDescent="0.2">
      <c r="B345" s="28"/>
      <c r="D345" s="122" t="s">
        <v>110</v>
      </c>
      <c r="F345" s="412" t="s">
        <v>873</v>
      </c>
      <c r="L345" s="28"/>
      <c r="M345" s="124"/>
      <c r="T345" s="48"/>
      <c r="V345" s="414"/>
      <c r="W345" s="424"/>
      <c r="AS345" s="17" t="s">
        <v>110</v>
      </c>
      <c r="AT345" s="17" t="s">
        <v>65</v>
      </c>
    </row>
    <row r="346" spans="2:64" s="1" customFormat="1" ht="24.2" customHeight="1" x14ac:dyDescent="0.2">
      <c r="B346" s="109"/>
      <c r="C346" s="143" t="s">
        <v>454</v>
      </c>
      <c r="D346" s="143" t="s">
        <v>252</v>
      </c>
      <c r="E346" s="144" t="s">
        <v>874</v>
      </c>
      <c r="F346" s="145" t="s">
        <v>875</v>
      </c>
      <c r="G346" s="146" t="s">
        <v>106</v>
      </c>
      <c r="H346" s="147">
        <f>6.09*0.18</f>
        <v>1.0961999999999998</v>
      </c>
      <c r="I346" s="148">
        <v>0</v>
      </c>
      <c r="J346" s="148">
        <f>ROUND(I346*H346,2)</f>
        <v>0</v>
      </c>
      <c r="K346" s="145" t="s">
        <v>107</v>
      </c>
      <c r="L346" s="149"/>
      <c r="M346" s="150"/>
      <c r="N346" s="151"/>
      <c r="O346" s="118"/>
      <c r="P346" s="118"/>
      <c r="Q346" s="118"/>
      <c r="R346" s="118"/>
      <c r="S346" s="118"/>
      <c r="T346" s="119"/>
      <c r="V346" s="414"/>
      <c r="W346" s="424"/>
      <c r="AQ346" s="120" t="s">
        <v>171</v>
      </c>
      <c r="AS346" s="120" t="s">
        <v>252</v>
      </c>
      <c r="AT346" s="120" t="s">
        <v>65</v>
      </c>
      <c r="AX346" s="17" t="s">
        <v>101</v>
      </c>
      <c r="BD346" s="121">
        <f>IF(N346="základní",J346,0)</f>
        <v>0</v>
      </c>
      <c r="BE346" s="121">
        <f>IF(N346="snížená",J346,0)</f>
        <v>0</v>
      </c>
      <c r="BF346" s="121">
        <f>IF(N346="zákl. přenesená",J346,0)</f>
        <v>0</v>
      </c>
      <c r="BG346" s="121">
        <f>IF(N346="sníž. přenesená",J346,0)</f>
        <v>0</v>
      </c>
      <c r="BH346" s="121">
        <f>IF(N346="nulová",J346,0)</f>
        <v>0</v>
      </c>
      <c r="BI346" s="17" t="s">
        <v>63</v>
      </c>
      <c r="BJ346" s="121">
        <f>ROUND(I346*H346,2)</f>
        <v>0</v>
      </c>
      <c r="BK346" s="17" t="s">
        <v>108</v>
      </c>
      <c r="BL346" s="120" t="s">
        <v>876</v>
      </c>
    </row>
    <row r="347" spans="2:64" s="13" customFormat="1" x14ac:dyDescent="0.2">
      <c r="B347" s="131"/>
      <c r="D347" s="126" t="s">
        <v>112</v>
      </c>
      <c r="F347" s="133" t="s">
        <v>1851</v>
      </c>
      <c r="H347" s="134">
        <f>6.09*0.18</f>
        <v>1.0961999999999998</v>
      </c>
      <c r="L347" s="131"/>
      <c r="M347" s="135"/>
      <c r="T347" s="136"/>
      <c r="V347" s="414"/>
      <c r="W347" s="424"/>
      <c r="AS347" s="132" t="s">
        <v>112</v>
      </c>
      <c r="AT347" s="132" t="s">
        <v>65</v>
      </c>
      <c r="AU347" s="13" t="s">
        <v>65</v>
      </c>
      <c r="AV347" s="13" t="s">
        <v>2</v>
      </c>
      <c r="AW347" s="13" t="s">
        <v>63</v>
      </c>
      <c r="AX347" s="132" t="s">
        <v>101</v>
      </c>
    </row>
    <row r="348" spans="2:64" s="1" customFormat="1" ht="37.9" customHeight="1" x14ac:dyDescent="0.2">
      <c r="B348" s="109"/>
      <c r="C348" s="110" t="s">
        <v>458</v>
      </c>
      <c r="D348" s="110" t="s">
        <v>103</v>
      </c>
      <c r="E348" s="111" t="s">
        <v>877</v>
      </c>
      <c r="F348" s="112" t="s">
        <v>878</v>
      </c>
      <c r="G348" s="113" t="s">
        <v>314</v>
      </c>
      <c r="H348" s="114">
        <v>1</v>
      </c>
      <c r="I348" s="115">
        <v>0</v>
      </c>
      <c r="J348" s="115">
        <f>ROUND(I348*H348,2)</f>
        <v>0</v>
      </c>
      <c r="K348" s="112" t="s">
        <v>107</v>
      </c>
      <c r="L348" s="28"/>
      <c r="M348" s="116"/>
      <c r="N348" s="117"/>
      <c r="O348" s="118"/>
      <c r="P348" s="118"/>
      <c r="Q348" s="118"/>
      <c r="R348" s="118"/>
      <c r="S348" s="118"/>
      <c r="T348" s="119"/>
      <c r="V348" s="414">
        <v>1</v>
      </c>
      <c r="W348" s="424">
        <v>2</v>
      </c>
      <c r="AQ348" s="120" t="s">
        <v>108</v>
      </c>
      <c r="AS348" s="120" t="s">
        <v>103</v>
      </c>
      <c r="AT348" s="120" t="s">
        <v>65</v>
      </c>
      <c r="AX348" s="17" t="s">
        <v>101</v>
      </c>
      <c r="BD348" s="121">
        <f>IF(N348="základní",J348,0)</f>
        <v>0</v>
      </c>
      <c r="BE348" s="121">
        <f>IF(N348="snížená",J348,0)</f>
        <v>0</v>
      </c>
      <c r="BF348" s="121">
        <f>IF(N348="zákl. přenesená",J348,0)</f>
        <v>0</v>
      </c>
      <c r="BG348" s="121">
        <f>IF(N348="sníž. přenesená",J348,0)</f>
        <v>0</v>
      </c>
      <c r="BH348" s="121">
        <f>IF(N348="nulová",J348,0)</f>
        <v>0</v>
      </c>
      <c r="BI348" s="17" t="s">
        <v>63</v>
      </c>
      <c r="BJ348" s="121">
        <f>ROUND(I348*H348,2)</f>
        <v>0</v>
      </c>
      <c r="BK348" s="17" t="s">
        <v>108</v>
      </c>
      <c r="BL348" s="120" t="s">
        <v>879</v>
      </c>
    </row>
    <row r="349" spans="2:64" s="1" customFormat="1" x14ac:dyDescent="0.2">
      <c r="B349" s="28"/>
      <c r="D349" s="122" t="s">
        <v>110</v>
      </c>
      <c r="F349" s="412" t="s">
        <v>880</v>
      </c>
      <c r="L349" s="28"/>
      <c r="M349" s="124"/>
      <c r="T349" s="48"/>
      <c r="V349" s="414"/>
      <c r="W349" s="424"/>
      <c r="AS349" s="17" t="s">
        <v>110</v>
      </c>
      <c r="AT349" s="17" t="s">
        <v>65</v>
      </c>
    </row>
    <row r="350" spans="2:64" s="1" customFormat="1" ht="16.5" customHeight="1" x14ac:dyDescent="0.2">
      <c r="B350" s="109"/>
      <c r="C350" s="143" t="s">
        <v>463</v>
      </c>
      <c r="D350" s="143" t="s">
        <v>252</v>
      </c>
      <c r="E350" s="144" t="s">
        <v>881</v>
      </c>
      <c r="F350" s="145" t="s">
        <v>882</v>
      </c>
      <c r="G350" s="146" t="s">
        <v>314</v>
      </c>
      <c r="H350" s="147">
        <v>1</v>
      </c>
      <c r="I350" s="148">
        <v>0</v>
      </c>
      <c r="J350" s="148">
        <f>ROUND(I350*H350,2)</f>
        <v>0</v>
      </c>
      <c r="K350" s="145" t="s">
        <v>107</v>
      </c>
      <c r="L350" s="149"/>
      <c r="M350" s="150"/>
      <c r="N350" s="151"/>
      <c r="O350" s="118"/>
      <c r="P350" s="118"/>
      <c r="Q350" s="118"/>
      <c r="R350" s="118"/>
      <c r="S350" s="118"/>
      <c r="T350" s="119"/>
      <c r="V350" s="414">
        <v>1</v>
      </c>
      <c r="W350" s="424">
        <v>2</v>
      </c>
      <c r="AQ350" s="120" t="s">
        <v>171</v>
      </c>
      <c r="AS350" s="120" t="s">
        <v>252</v>
      </c>
      <c r="AT350" s="120" t="s">
        <v>65</v>
      </c>
      <c r="AX350" s="17" t="s">
        <v>101</v>
      </c>
      <c r="BD350" s="121">
        <f>IF(N350="základní",J350,0)</f>
        <v>0</v>
      </c>
      <c r="BE350" s="121">
        <f>IF(N350="snížená",J350,0)</f>
        <v>0</v>
      </c>
      <c r="BF350" s="121">
        <f>IF(N350="zákl. přenesená",J350,0)</f>
        <v>0</v>
      </c>
      <c r="BG350" s="121">
        <f>IF(N350="sníž. přenesená",J350,0)</f>
        <v>0</v>
      </c>
      <c r="BH350" s="121">
        <f>IF(N350="nulová",J350,0)</f>
        <v>0</v>
      </c>
      <c r="BI350" s="17" t="s">
        <v>63</v>
      </c>
      <c r="BJ350" s="121">
        <f>ROUND(I350*H350,2)</f>
        <v>0</v>
      </c>
      <c r="BK350" s="17" t="s">
        <v>108</v>
      </c>
      <c r="BL350" s="120" t="s">
        <v>883</v>
      </c>
    </row>
    <row r="351" spans="2:64" s="1" customFormat="1" ht="37.9" customHeight="1" x14ac:dyDescent="0.2">
      <c r="B351" s="109"/>
      <c r="C351" s="110" t="s">
        <v>467</v>
      </c>
      <c r="D351" s="110" t="s">
        <v>103</v>
      </c>
      <c r="E351" s="111" t="s">
        <v>884</v>
      </c>
      <c r="F351" s="112" t="s">
        <v>885</v>
      </c>
      <c r="G351" s="113" t="s">
        <v>314</v>
      </c>
      <c r="H351" s="114">
        <v>1</v>
      </c>
      <c r="I351" s="115">
        <v>0</v>
      </c>
      <c r="J351" s="115">
        <f>ROUND(I351*H351,2)</f>
        <v>0</v>
      </c>
      <c r="K351" s="112" t="s">
        <v>107</v>
      </c>
      <c r="L351" s="28"/>
      <c r="M351" s="116"/>
      <c r="N351" s="117"/>
      <c r="O351" s="118"/>
      <c r="P351" s="118"/>
      <c r="Q351" s="118"/>
      <c r="R351" s="118"/>
      <c r="S351" s="118"/>
      <c r="T351" s="119"/>
      <c r="V351" s="414"/>
      <c r="W351" s="424"/>
      <c r="AQ351" s="120" t="s">
        <v>108</v>
      </c>
      <c r="AS351" s="120" t="s">
        <v>103</v>
      </c>
      <c r="AT351" s="120" t="s">
        <v>65</v>
      </c>
      <c r="AX351" s="17" t="s">
        <v>101</v>
      </c>
      <c r="BD351" s="121">
        <f>IF(N351="základní",J351,0)</f>
        <v>0</v>
      </c>
      <c r="BE351" s="121">
        <f>IF(N351="snížená",J351,0)</f>
        <v>0</v>
      </c>
      <c r="BF351" s="121">
        <f>IF(N351="zákl. přenesená",J351,0)</f>
        <v>0</v>
      </c>
      <c r="BG351" s="121">
        <f>IF(N351="sníž. přenesená",J351,0)</f>
        <v>0</v>
      </c>
      <c r="BH351" s="121">
        <f>IF(N351="nulová",J351,0)</f>
        <v>0</v>
      </c>
      <c r="BI351" s="17" t="s">
        <v>63</v>
      </c>
      <c r="BJ351" s="121">
        <f>ROUND(I351*H351,2)</f>
        <v>0</v>
      </c>
      <c r="BK351" s="17" t="s">
        <v>108</v>
      </c>
      <c r="BL351" s="120" t="s">
        <v>886</v>
      </c>
    </row>
    <row r="352" spans="2:64" s="1" customFormat="1" x14ac:dyDescent="0.2">
      <c r="B352" s="28"/>
      <c r="D352" s="122" t="s">
        <v>110</v>
      </c>
      <c r="F352" s="412" t="s">
        <v>887</v>
      </c>
      <c r="L352" s="28"/>
      <c r="M352" s="124"/>
      <c r="T352" s="48"/>
      <c r="V352" s="414"/>
      <c r="W352" s="424"/>
      <c r="AS352" s="17" t="s">
        <v>110</v>
      </c>
      <c r="AT352" s="17" t="s">
        <v>65</v>
      </c>
    </row>
    <row r="353" spans="2:64" s="1" customFormat="1" ht="16.5" customHeight="1" x14ac:dyDescent="0.2">
      <c r="B353" s="109"/>
      <c r="C353" s="143" t="s">
        <v>472</v>
      </c>
      <c r="D353" s="143" t="s">
        <v>252</v>
      </c>
      <c r="E353" s="144" t="s">
        <v>888</v>
      </c>
      <c r="F353" s="145" t="s">
        <v>889</v>
      </c>
      <c r="G353" s="146" t="s">
        <v>314</v>
      </c>
      <c r="H353" s="147">
        <v>1</v>
      </c>
      <c r="I353" s="148">
        <v>0</v>
      </c>
      <c r="J353" s="148">
        <f>ROUND(I353*H353,2)</f>
        <v>0</v>
      </c>
      <c r="K353" s="145" t="s">
        <v>107</v>
      </c>
      <c r="L353" s="149"/>
      <c r="M353" s="150"/>
      <c r="N353" s="151"/>
      <c r="O353" s="118"/>
      <c r="P353" s="118"/>
      <c r="Q353" s="118"/>
      <c r="R353" s="118"/>
      <c r="S353" s="118"/>
      <c r="T353" s="119"/>
      <c r="V353" s="414"/>
      <c r="W353" s="424"/>
      <c r="AQ353" s="120" t="s">
        <v>171</v>
      </c>
      <c r="AS353" s="120" t="s">
        <v>252</v>
      </c>
      <c r="AT353" s="120" t="s">
        <v>65</v>
      </c>
      <c r="AX353" s="17" t="s">
        <v>101</v>
      </c>
      <c r="BD353" s="121">
        <f>IF(N353="základní",J353,0)</f>
        <v>0</v>
      </c>
      <c r="BE353" s="121">
        <f>IF(N353="snížená",J353,0)</f>
        <v>0</v>
      </c>
      <c r="BF353" s="121">
        <f>IF(N353="zákl. přenesená",J353,0)</f>
        <v>0</v>
      </c>
      <c r="BG353" s="121">
        <f>IF(N353="sníž. přenesená",J353,0)</f>
        <v>0</v>
      </c>
      <c r="BH353" s="121">
        <f>IF(N353="nulová",J353,0)</f>
        <v>0</v>
      </c>
      <c r="BI353" s="17" t="s">
        <v>63</v>
      </c>
      <c r="BJ353" s="121">
        <f>ROUND(I353*H353,2)</f>
        <v>0</v>
      </c>
      <c r="BK353" s="17" t="s">
        <v>108</v>
      </c>
      <c r="BL353" s="120" t="s">
        <v>890</v>
      </c>
    </row>
    <row r="354" spans="2:64" s="1" customFormat="1" ht="37.9" customHeight="1" x14ac:dyDescent="0.2">
      <c r="B354" s="109"/>
      <c r="C354" s="110" t="s">
        <v>476</v>
      </c>
      <c r="D354" s="110" t="s">
        <v>103</v>
      </c>
      <c r="E354" s="111" t="s">
        <v>891</v>
      </c>
      <c r="F354" s="112" t="s">
        <v>892</v>
      </c>
      <c r="G354" s="113" t="s">
        <v>314</v>
      </c>
      <c r="H354" s="114">
        <v>1</v>
      </c>
      <c r="I354" s="115">
        <v>0</v>
      </c>
      <c r="J354" s="115">
        <f>ROUND(I354*H354,2)</f>
        <v>0</v>
      </c>
      <c r="K354" s="112" t="s">
        <v>107</v>
      </c>
      <c r="L354" s="28"/>
      <c r="M354" s="116"/>
      <c r="N354" s="117"/>
      <c r="O354" s="118"/>
      <c r="P354" s="118"/>
      <c r="Q354" s="118"/>
      <c r="R354" s="118"/>
      <c r="S354" s="118"/>
      <c r="T354" s="119"/>
      <c r="V354" s="414">
        <v>1</v>
      </c>
      <c r="W354" s="424">
        <v>2</v>
      </c>
      <c r="AQ354" s="120" t="s">
        <v>108</v>
      </c>
      <c r="AS354" s="120" t="s">
        <v>103</v>
      </c>
      <c r="AT354" s="120" t="s">
        <v>65</v>
      </c>
      <c r="AX354" s="17" t="s">
        <v>101</v>
      </c>
      <c r="BD354" s="121">
        <f>IF(N354="základní",J354,0)</f>
        <v>0</v>
      </c>
      <c r="BE354" s="121">
        <f>IF(N354="snížená",J354,0)</f>
        <v>0</v>
      </c>
      <c r="BF354" s="121">
        <f>IF(N354="zákl. přenesená",J354,0)</f>
        <v>0</v>
      </c>
      <c r="BG354" s="121">
        <f>IF(N354="sníž. přenesená",J354,0)</f>
        <v>0</v>
      </c>
      <c r="BH354" s="121">
        <f>IF(N354="nulová",J354,0)</f>
        <v>0</v>
      </c>
      <c r="BI354" s="17" t="s">
        <v>63</v>
      </c>
      <c r="BJ354" s="121">
        <f>ROUND(I354*H354,2)</f>
        <v>0</v>
      </c>
      <c r="BK354" s="17" t="s">
        <v>108</v>
      </c>
      <c r="BL354" s="120" t="s">
        <v>893</v>
      </c>
    </row>
    <row r="355" spans="2:64" s="1" customFormat="1" x14ac:dyDescent="0.2">
      <c r="B355" s="28"/>
      <c r="D355" s="122" t="s">
        <v>110</v>
      </c>
      <c r="F355" s="412" t="s">
        <v>894</v>
      </c>
      <c r="L355" s="28"/>
      <c r="M355" s="124"/>
      <c r="T355" s="48"/>
      <c r="V355" s="414"/>
      <c r="W355" s="424"/>
      <c r="AS355" s="17" t="s">
        <v>110</v>
      </c>
      <c r="AT355" s="17" t="s">
        <v>65</v>
      </c>
    </row>
    <row r="356" spans="2:64" s="1" customFormat="1" ht="16.5" customHeight="1" x14ac:dyDescent="0.2">
      <c r="B356" s="109"/>
      <c r="C356" s="143" t="s">
        <v>481</v>
      </c>
      <c r="D356" s="143" t="s">
        <v>252</v>
      </c>
      <c r="E356" s="144" t="s">
        <v>446</v>
      </c>
      <c r="F356" s="145" t="s">
        <v>447</v>
      </c>
      <c r="G356" s="146" t="s">
        <v>314</v>
      </c>
      <c r="H356" s="147">
        <v>1</v>
      </c>
      <c r="I356" s="148">
        <v>0</v>
      </c>
      <c r="J356" s="148">
        <f>ROUND(I356*H356,2)</f>
        <v>0</v>
      </c>
      <c r="K356" s="145" t="s">
        <v>107</v>
      </c>
      <c r="L356" s="149"/>
      <c r="M356" s="150"/>
      <c r="N356" s="151"/>
      <c r="O356" s="118"/>
      <c r="P356" s="118"/>
      <c r="Q356" s="118"/>
      <c r="R356" s="118"/>
      <c r="S356" s="118"/>
      <c r="T356" s="119"/>
      <c r="V356" s="414">
        <v>1</v>
      </c>
      <c r="W356" s="424">
        <v>2</v>
      </c>
      <c r="AQ356" s="120" t="s">
        <v>171</v>
      </c>
      <c r="AS356" s="120" t="s">
        <v>252</v>
      </c>
      <c r="AT356" s="120" t="s">
        <v>65</v>
      </c>
      <c r="AX356" s="17" t="s">
        <v>101</v>
      </c>
      <c r="BD356" s="121">
        <f>IF(N356="základní",J356,0)</f>
        <v>0</v>
      </c>
      <c r="BE356" s="121">
        <f>IF(N356="snížená",J356,0)</f>
        <v>0</v>
      </c>
      <c r="BF356" s="121">
        <f>IF(N356="zákl. přenesená",J356,0)</f>
        <v>0</v>
      </c>
      <c r="BG356" s="121">
        <f>IF(N356="sníž. přenesená",J356,0)</f>
        <v>0</v>
      </c>
      <c r="BH356" s="121">
        <f>IF(N356="nulová",J356,0)</f>
        <v>0</v>
      </c>
      <c r="BI356" s="17" t="s">
        <v>63</v>
      </c>
      <c r="BJ356" s="121">
        <f>ROUND(I356*H356,2)</f>
        <v>0</v>
      </c>
      <c r="BK356" s="17" t="s">
        <v>108</v>
      </c>
      <c r="BL356" s="120" t="s">
        <v>895</v>
      </c>
    </row>
    <row r="357" spans="2:64" s="1" customFormat="1" ht="37.9" customHeight="1" x14ac:dyDescent="0.2">
      <c r="B357" s="109"/>
      <c r="C357" s="110" t="s">
        <v>485</v>
      </c>
      <c r="D357" s="110" t="s">
        <v>103</v>
      </c>
      <c r="E357" s="111" t="s">
        <v>896</v>
      </c>
      <c r="F357" s="112" t="s">
        <v>897</v>
      </c>
      <c r="G357" s="113" t="s">
        <v>314</v>
      </c>
      <c r="H357" s="114">
        <v>1</v>
      </c>
      <c r="I357" s="115">
        <v>0</v>
      </c>
      <c r="J357" s="115">
        <f>ROUND(I357*H357,2)</f>
        <v>0</v>
      </c>
      <c r="K357" s="112" t="s">
        <v>107</v>
      </c>
      <c r="L357" s="28"/>
      <c r="M357" s="116"/>
      <c r="N357" s="117"/>
      <c r="O357" s="118"/>
      <c r="P357" s="118"/>
      <c r="Q357" s="118"/>
      <c r="R357" s="118"/>
      <c r="S357" s="118"/>
      <c r="T357" s="119"/>
      <c r="V357" s="414"/>
      <c r="W357" s="424"/>
      <c r="AQ357" s="120" t="s">
        <v>108</v>
      </c>
      <c r="AS357" s="120" t="s">
        <v>103</v>
      </c>
      <c r="AT357" s="120" t="s">
        <v>65</v>
      </c>
      <c r="AX357" s="17" t="s">
        <v>101</v>
      </c>
      <c r="BD357" s="121">
        <f>IF(N357="základní",J357,0)</f>
        <v>0</v>
      </c>
      <c r="BE357" s="121">
        <f>IF(N357="snížená",J357,0)</f>
        <v>0</v>
      </c>
      <c r="BF357" s="121">
        <f>IF(N357="zákl. přenesená",J357,0)</f>
        <v>0</v>
      </c>
      <c r="BG357" s="121">
        <f>IF(N357="sníž. přenesená",J357,0)</f>
        <v>0</v>
      </c>
      <c r="BH357" s="121">
        <f>IF(N357="nulová",J357,0)</f>
        <v>0</v>
      </c>
      <c r="BI357" s="17" t="s">
        <v>63</v>
      </c>
      <c r="BJ357" s="121">
        <f>ROUND(I357*H357,2)</f>
        <v>0</v>
      </c>
      <c r="BK357" s="17" t="s">
        <v>108</v>
      </c>
      <c r="BL357" s="120" t="s">
        <v>898</v>
      </c>
    </row>
    <row r="358" spans="2:64" s="1" customFormat="1" x14ac:dyDescent="0.2">
      <c r="B358" s="28"/>
      <c r="D358" s="122" t="s">
        <v>110</v>
      </c>
      <c r="F358" s="412" t="s">
        <v>899</v>
      </c>
      <c r="L358" s="28"/>
      <c r="M358" s="124"/>
      <c r="T358" s="48"/>
      <c r="V358" s="414"/>
      <c r="W358" s="424"/>
      <c r="AS358" s="17" t="s">
        <v>110</v>
      </c>
      <c r="AT358" s="17" t="s">
        <v>65</v>
      </c>
    </row>
    <row r="359" spans="2:64" s="1" customFormat="1" ht="21.75" customHeight="1" x14ac:dyDescent="0.2">
      <c r="B359" s="109"/>
      <c r="C359" s="143" t="s">
        <v>490</v>
      </c>
      <c r="D359" s="143" t="s">
        <v>252</v>
      </c>
      <c r="E359" s="144" t="s">
        <v>455</v>
      </c>
      <c r="F359" s="145" t="s">
        <v>456</v>
      </c>
      <c r="G359" s="146" t="s">
        <v>314</v>
      </c>
      <c r="H359" s="147">
        <v>1</v>
      </c>
      <c r="I359" s="148">
        <v>0</v>
      </c>
      <c r="J359" s="148">
        <f t="shared" ref="J359:J364" si="0">ROUND(I359*H359,2)</f>
        <v>0</v>
      </c>
      <c r="K359" s="145" t="s">
        <v>107</v>
      </c>
      <c r="L359" s="149"/>
      <c r="M359" s="150"/>
      <c r="N359" s="151"/>
      <c r="O359" s="118"/>
      <c r="P359" s="118"/>
      <c r="Q359" s="118"/>
      <c r="R359" s="118"/>
      <c r="S359" s="118"/>
      <c r="T359" s="119"/>
      <c r="V359" s="414">
        <v>1</v>
      </c>
      <c r="W359" s="424">
        <v>2</v>
      </c>
      <c r="AQ359" s="120" t="s">
        <v>171</v>
      </c>
      <c r="AS359" s="120" t="s">
        <v>252</v>
      </c>
      <c r="AT359" s="120" t="s">
        <v>65</v>
      </c>
      <c r="AX359" s="17" t="s">
        <v>101</v>
      </c>
      <c r="BD359" s="121">
        <f t="shared" ref="BD359:BD364" si="1">IF(N359="základní",J359,0)</f>
        <v>0</v>
      </c>
      <c r="BE359" s="121">
        <f t="shared" ref="BE359:BE364" si="2">IF(N359="snížená",J359,0)</f>
        <v>0</v>
      </c>
      <c r="BF359" s="121">
        <f t="shared" ref="BF359:BF364" si="3">IF(N359="zákl. přenesená",J359,0)</f>
        <v>0</v>
      </c>
      <c r="BG359" s="121">
        <f t="shared" ref="BG359:BG364" si="4">IF(N359="sníž. přenesená",J359,0)</f>
        <v>0</v>
      </c>
      <c r="BH359" s="121">
        <f t="shared" ref="BH359:BH364" si="5">IF(N359="nulová",J359,0)</f>
        <v>0</v>
      </c>
      <c r="BI359" s="17" t="s">
        <v>63</v>
      </c>
      <c r="BJ359" s="121">
        <f t="shared" ref="BJ359:BJ364" si="6">ROUND(I359*H359,2)</f>
        <v>0</v>
      </c>
      <c r="BK359" s="17" t="s">
        <v>108</v>
      </c>
      <c r="BL359" s="120" t="s">
        <v>900</v>
      </c>
    </row>
    <row r="360" spans="2:64" s="1" customFormat="1" ht="49.15" customHeight="1" x14ac:dyDescent="0.2">
      <c r="B360" s="109"/>
      <c r="C360" s="110" t="s">
        <v>494</v>
      </c>
      <c r="D360" s="110" t="s">
        <v>103</v>
      </c>
      <c r="E360" s="111" t="s">
        <v>901</v>
      </c>
      <c r="F360" s="112" t="s">
        <v>902</v>
      </c>
      <c r="G360" s="113" t="s">
        <v>314</v>
      </c>
      <c r="H360" s="114">
        <v>1</v>
      </c>
      <c r="I360" s="115">
        <v>0</v>
      </c>
      <c r="J360" s="115">
        <f t="shared" si="0"/>
        <v>0</v>
      </c>
      <c r="K360" s="112" t="s">
        <v>1</v>
      </c>
      <c r="L360" s="28"/>
      <c r="M360" s="116"/>
      <c r="N360" s="117"/>
      <c r="O360" s="118"/>
      <c r="P360" s="118"/>
      <c r="Q360" s="118"/>
      <c r="R360" s="118"/>
      <c r="S360" s="118"/>
      <c r="T360" s="119"/>
      <c r="V360" s="414">
        <v>1</v>
      </c>
      <c r="W360" s="424">
        <v>2</v>
      </c>
      <c r="AQ360" s="120" t="s">
        <v>108</v>
      </c>
      <c r="AS360" s="120" t="s">
        <v>103</v>
      </c>
      <c r="AT360" s="120" t="s">
        <v>65</v>
      </c>
      <c r="AX360" s="17" t="s">
        <v>101</v>
      </c>
      <c r="BD360" s="121">
        <f t="shared" si="1"/>
        <v>0</v>
      </c>
      <c r="BE360" s="121">
        <f t="shared" si="2"/>
        <v>0</v>
      </c>
      <c r="BF360" s="121">
        <f t="shared" si="3"/>
        <v>0</v>
      </c>
      <c r="BG360" s="121">
        <f t="shared" si="4"/>
        <v>0</v>
      </c>
      <c r="BH360" s="121">
        <f t="shared" si="5"/>
        <v>0</v>
      </c>
      <c r="BI360" s="17" t="s">
        <v>63</v>
      </c>
      <c r="BJ360" s="121">
        <f t="shared" si="6"/>
        <v>0</v>
      </c>
      <c r="BK360" s="17" t="s">
        <v>108</v>
      </c>
      <c r="BL360" s="120" t="s">
        <v>903</v>
      </c>
    </row>
    <row r="361" spans="2:64" s="1" customFormat="1" ht="24.2" customHeight="1" x14ac:dyDescent="0.2">
      <c r="B361" s="109"/>
      <c r="C361" s="143" t="s">
        <v>499</v>
      </c>
      <c r="D361" s="143" t="s">
        <v>252</v>
      </c>
      <c r="E361" s="144" t="s">
        <v>322</v>
      </c>
      <c r="F361" s="145" t="s">
        <v>904</v>
      </c>
      <c r="G361" s="146" t="s">
        <v>314</v>
      </c>
      <c r="H361" s="147">
        <v>1</v>
      </c>
      <c r="I361" s="148">
        <v>0</v>
      </c>
      <c r="J361" s="148">
        <f t="shared" si="0"/>
        <v>0</v>
      </c>
      <c r="K361" s="145" t="s">
        <v>1</v>
      </c>
      <c r="L361" s="149"/>
      <c r="M361" s="150"/>
      <c r="N361" s="151"/>
      <c r="O361" s="118"/>
      <c r="P361" s="118"/>
      <c r="Q361" s="118"/>
      <c r="R361" s="118"/>
      <c r="S361" s="118"/>
      <c r="T361" s="119"/>
      <c r="V361" s="414">
        <v>1</v>
      </c>
      <c r="W361" s="424">
        <v>2</v>
      </c>
      <c r="AQ361" s="120" t="s">
        <v>171</v>
      </c>
      <c r="AS361" s="120" t="s">
        <v>252</v>
      </c>
      <c r="AT361" s="120" t="s">
        <v>65</v>
      </c>
      <c r="AX361" s="17" t="s">
        <v>101</v>
      </c>
      <c r="BD361" s="121">
        <f t="shared" si="1"/>
        <v>0</v>
      </c>
      <c r="BE361" s="121">
        <f t="shared" si="2"/>
        <v>0</v>
      </c>
      <c r="BF361" s="121">
        <f t="shared" si="3"/>
        <v>0</v>
      </c>
      <c r="BG361" s="121">
        <f t="shared" si="4"/>
        <v>0</v>
      </c>
      <c r="BH361" s="121">
        <f t="shared" si="5"/>
        <v>0</v>
      </c>
      <c r="BI361" s="17" t="s">
        <v>63</v>
      </c>
      <c r="BJ361" s="121">
        <f t="shared" si="6"/>
        <v>0</v>
      </c>
      <c r="BK361" s="17" t="s">
        <v>108</v>
      </c>
      <c r="BL361" s="120" t="s">
        <v>905</v>
      </c>
    </row>
    <row r="362" spans="2:64" s="1" customFormat="1" ht="49.15" customHeight="1" x14ac:dyDescent="0.2">
      <c r="B362" s="109"/>
      <c r="C362" s="110" t="s">
        <v>503</v>
      </c>
      <c r="D362" s="110" t="s">
        <v>103</v>
      </c>
      <c r="E362" s="111" t="s">
        <v>906</v>
      </c>
      <c r="F362" s="112" t="s">
        <v>907</v>
      </c>
      <c r="G362" s="113" t="s">
        <v>314</v>
      </c>
      <c r="H362" s="114">
        <v>1</v>
      </c>
      <c r="I362" s="115">
        <v>0</v>
      </c>
      <c r="J362" s="115">
        <f t="shared" si="0"/>
        <v>0</v>
      </c>
      <c r="K362" s="112" t="s">
        <v>1</v>
      </c>
      <c r="L362" s="28"/>
      <c r="M362" s="116"/>
      <c r="N362" s="117"/>
      <c r="O362" s="118"/>
      <c r="P362" s="118"/>
      <c r="Q362" s="118"/>
      <c r="R362" s="118"/>
      <c r="S362" s="118"/>
      <c r="T362" s="119"/>
      <c r="V362" s="414">
        <v>1</v>
      </c>
      <c r="W362" s="424">
        <v>2</v>
      </c>
      <c r="AQ362" s="120" t="s">
        <v>108</v>
      </c>
      <c r="AS362" s="120" t="s">
        <v>103</v>
      </c>
      <c r="AT362" s="120" t="s">
        <v>65</v>
      </c>
      <c r="AX362" s="17" t="s">
        <v>101</v>
      </c>
      <c r="BD362" s="121">
        <f t="shared" si="1"/>
        <v>0</v>
      </c>
      <c r="BE362" s="121">
        <f t="shared" si="2"/>
        <v>0</v>
      </c>
      <c r="BF362" s="121">
        <f t="shared" si="3"/>
        <v>0</v>
      </c>
      <c r="BG362" s="121">
        <f t="shared" si="4"/>
        <v>0</v>
      </c>
      <c r="BH362" s="121">
        <f t="shared" si="5"/>
        <v>0</v>
      </c>
      <c r="BI362" s="17" t="s">
        <v>63</v>
      </c>
      <c r="BJ362" s="121">
        <f t="shared" si="6"/>
        <v>0</v>
      </c>
      <c r="BK362" s="17" t="s">
        <v>108</v>
      </c>
      <c r="BL362" s="120" t="s">
        <v>908</v>
      </c>
    </row>
    <row r="363" spans="2:64" s="1" customFormat="1" ht="24.2" customHeight="1" x14ac:dyDescent="0.2">
      <c r="B363" s="109"/>
      <c r="C363" s="143" t="s">
        <v>508</v>
      </c>
      <c r="D363" s="143" t="s">
        <v>252</v>
      </c>
      <c r="E363" s="144" t="s">
        <v>909</v>
      </c>
      <c r="F363" s="145" t="s">
        <v>910</v>
      </c>
      <c r="G363" s="146" t="s">
        <v>314</v>
      </c>
      <c r="H363" s="147">
        <v>1</v>
      </c>
      <c r="I363" s="148">
        <v>0</v>
      </c>
      <c r="J363" s="148">
        <f t="shared" si="0"/>
        <v>0</v>
      </c>
      <c r="K363" s="145" t="s">
        <v>107</v>
      </c>
      <c r="L363" s="149"/>
      <c r="M363" s="150"/>
      <c r="N363" s="151"/>
      <c r="O363" s="118"/>
      <c r="P363" s="118"/>
      <c r="Q363" s="118"/>
      <c r="R363" s="118"/>
      <c r="S363" s="118"/>
      <c r="T363" s="119"/>
      <c r="V363" s="414">
        <v>1</v>
      </c>
      <c r="W363" s="424">
        <v>2</v>
      </c>
      <c r="AQ363" s="120" t="s">
        <v>171</v>
      </c>
      <c r="AS363" s="120" t="s">
        <v>252</v>
      </c>
      <c r="AT363" s="120" t="s">
        <v>65</v>
      </c>
      <c r="AX363" s="17" t="s">
        <v>101</v>
      </c>
      <c r="BD363" s="121">
        <f t="shared" si="1"/>
        <v>0</v>
      </c>
      <c r="BE363" s="121">
        <f t="shared" si="2"/>
        <v>0</v>
      </c>
      <c r="BF363" s="121">
        <f t="shared" si="3"/>
        <v>0</v>
      </c>
      <c r="BG363" s="121">
        <f t="shared" si="4"/>
        <v>0</v>
      </c>
      <c r="BH363" s="121">
        <f t="shared" si="5"/>
        <v>0</v>
      </c>
      <c r="BI363" s="17" t="s">
        <v>63</v>
      </c>
      <c r="BJ363" s="121">
        <f t="shared" si="6"/>
        <v>0</v>
      </c>
      <c r="BK363" s="17" t="s">
        <v>108</v>
      </c>
      <c r="BL363" s="120" t="s">
        <v>911</v>
      </c>
    </row>
    <row r="364" spans="2:64" s="1" customFormat="1" ht="49.15" customHeight="1" x14ac:dyDescent="0.2">
      <c r="B364" s="109"/>
      <c r="C364" s="110" t="s">
        <v>512</v>
      </c>
      <c r="D364" s="110" t="s">
        <v>103</v>
      </c>
      <c r="E364" s="111" t="s">
        <v>912</v>
      </c>
      <c r="F364" s="112" t="s">
        <v>913</v>
      </c>
      <c r="G364" s="113" t="s">
        <v>314</v>
      </c>
      <c r="H364" s="114">
        <v>1</v>
      </c>
      <c r="I364" s="115">
        <v>0</v>
      </c>
      <c r="J364" s="115">
        <f t="shared" si="0"/>
        <v>0</v>
      </c>
      <c r="K364" s="112" t="s">
        <v>107</v>
      </c>
      <c r="L364" s="28"/>
      <c r="M364" s="116"/>
      <c r="N364" s="117"/>
      <c r="O364" s="118"/>
      <c r="P364" s="118"/>
      <c r="Q364" s="118"/>
      <c r="R364" s="118"/>
      <c r="S364" s="118"/>
      <c r="T364" s="119"/>
      <c r="V364" s="414">
        <v>1</v>
      </c>
      <c r="W364" s="424">
        <v>5</v>
      </c>
      <c r="AQ364" s="120" t="s">
        <v>108</v>
      </c>
      <c r="AS364" s="120" t="s">
        <v>103</v>
      </c>
      <c r="AT364" s="120" t="s">
        <v>65</v>
      </c>
      <c r="AX364" s="17" t="s">
        <v>101</v>
      </c>
      <c r="BD364" s="121">
        <f t="shared" si="1"/>
        <v>0</v>
      </c>
      <c r="BE364" s="121">
        <f t="shared" si="2"/>
        <v>0</v>
      </c>
      <c r="BF364" s="121">
        <f t="shared" si="3"/>
        <v>0</v>
      </c>
      <c r="BG364" s="121">
        <f t="shared" si="4"/>
        <v>0</v>
      </c>
      <c r="BH364" s="121">
        <f t="shared" si="5"/>
        <v>0</v>
      </c>
      <c r="BI364" s="17" t="s">
        <v>63</v>
      </c>
      <c r="BJ364" s="121">
        <f t="shared" si="6"/>
        <v>0</v>
      </c>
      <c r="BK364" s="17" t="s">
        <v>108</v>
      </c>
      <c r="BL364" s="120" t="s">
        <v>914</v>
      </c>
    </row>
    <row r="365" spans="2:64" s="1" customFormat="1" x14ac:dyDescent="0.2">
      <c r="B365" s="28"/>
      <c r="D365" s="122" t="s">
        <v>110</v>
      </c>
      <c r="F365" s="412" t="s">
        <v>915</v>
      </c>
      <c r="L365" s="28"/>
      <c r="M365" s="124"/>
      <c r="T365" s="48"/>
      <c r="V365" s="414"/>
      <c r="W365" s="424"/>
      <c r="AS365" s="17" t="s">
        <v>110</v>
      </c>
      <c r="AT365" s="17" t="s">
        <v>65</v>
      </c>
    </row>
    <row r="366" spans="2:64" s="1" customFormat="1" ht="24.2" customHeight="1" x14ac:dyDescent="0.2">
      <c r="B366" s="109"/>
      <c r="C366" s="143" t="s">
        <v>516</v>
      </c>
      <c r="D366" s="143" t="s">
        <v>252</v>
      </c>
      <c r="E366" s="144" t="s">
        <v>916</v>
      </c>
      <c r="F366" s="145" t="s">
        <v>917</v>
      </c>
      <c r="G366" s="146" t="s">
        <v>314</v>
      </c>
      <c r="H366" s="147">
        <v>1</v>
      </c>
      <c r="I366" s="148">
        <v>0</v>
      </c>
      <c r="J366" s="148">
        <f>ROUND(I366*H366,2)</f>
        <v>0</v>
      </c>
      <c r="K366" s="145" t="s">
        <v>1</v>
      </c>
      <c r="L366" s="149"/>
      <c r="M366" s="150"/>
      <c r="N366" s="151"/>
      <c r="O366" s="118"/>
      <c r="P366" s="118"/>
      <c r="Q366" s="118"/>
      <c r="R366" s="118"/>
      <c r="S366" s="118"/>
      <c r="T366" s="119"/>
      <c r="V366" s="414">
        <v>1</v>
      </c>
      <c r="W366" s="424">
        <v>5</v>
      </c>
      <c r="AQ366" s="120" t="s">
        <v>171</v>
      </c>
      <c r="AS366" s="120" t="s">
        <v>252</v>
      </c>
      <c r="AT366" s="120" t="s">
        <v>65</v>
      </c>
      <c r="AX366" s="17" t="s">
        <v>101</v>
      </c>
      <c r="BD366" s="121">
        <f>IF(N366="základní",J366,0)</f>
        <v>0</v>
      </c>
      <c r="BE366" s="121">
        <f>IF(N366="snížená",J366,0)</f>
        <v>0</v>
      </c>
      <c r="BF366" s="121">
        <f>IF(N366="zákl. přenesená",J366,0)</f>
        <v>0</v>
      </c>
      <c r="BG366" s="121">
        <f>IF(N366="sníž. přenesená",J366,0)</f>
        <v>0</v>
      </c>
      <c r="BH366" s="121">
        <f>IF(N366="nulová",J366,0)</f>
        <v>0</v>
      </c>
      <c r="BI366" s="17" t="s">
        <v>63</v>
      </c>
      <c r="BJ366" s="121">
        <f>ROUND(I366*H366,2)</f>
        <v>0</v>
      </c>
      <c r="BK366" s="17" t="s">
        <v>108</v>
      </c>
      <c r="BL366" s="120" t="s">
        <v>918</v>
      </c>
    </row>
    <row r="367" spans="2:64" s="1" customFormat="1" ht="37.9" customHeight="1" x14ac:dyDescent="0.2">
      <c r="B367" s="109"/>
      <c r="C367" s="110" t="s">
        <v>521</v>
      </c>
      <c r="D367" s="110" t="s">
        <v>103</v>
      </c>
      <c r="E367" s="111" t="s">
        <v>919</v>
      </c>
      <c r="F367" s="112" t="s">
        <v>920</v>
      </c>
      <c r="G367" s="113" t="s">
        <v>314</v>
      </c>
      <c r="H367" s="114">
        <v>1</v>
      </c>
      <c r="I367" s="115">
        <v>0</v>
      </c>
      <c r="J367" s="115">
        <f>ROUND(I367*H367,2)</f>
        <v>0</v>
      </c>
      <c r="K367" s="112" t="s">
        <v>107</v>
      </c>
      <c r="L367" s="28"/>
      <c r="M367" s="116"/>
      <c r="N367" s="117"/>
      <c r="O367" s="118"/>
      <c r="P367" s="118"/>
      <c r="Q367" s="118"/>
      <c r="R367" s="118"/>
      <c r="S367" s="118"/>
      <c r="T367" s="119"/>
      <c r="V367" s="414">
        <v>1</v>
      </c>
      <c r="W367" s="424">
        <v>5</v>
      </c>
      <c r="AQ367" s="120" t="s">
        <v>108</v>
      </c>
      <c r="AS367" s="120" t="s">
        <v>103</v>
      </c>
      <c r="AT367" s="120" t="s">
        <v>65</v>
      </c>
      <c r="AX367" s="17" t="s">
        <v>101</v>
      </c>
      <c r="BD367" s="121">
        <f>IF(N367="základní",J367,0)</f>
        <v>0</v>
      </c>
      <c r="BE367" s="121">
        <f>IF(N367="snížená",J367,0)</f>
        <v>0</v>
      </c>
      <c r="BF367" s="121">
        <f>IF(N367="zákl. přenesená",J367,0)</f>
        <v>0</v>
      </c>
      <c r="BG367" s="121">
        <f>IF(N367="sníž. přenesená",J367,0)</f>
        <v>0</v>
      </c>
      <c r="BH367" s="121">
        <f>IF(N367="nulová",J367,0)</f>
        <v>0</v>
      </c>
      <c r="BI367" s="17" t="s">
        <v>63</v>
      </c>
      <c r="BJ367" s="121">
        <f>ROUND(I367*H367,2)</f>
        <v>0</v>
      </c>
      <c r="BK367" s="17" t="s">
        <v>108</v>
      </c>
      <c r="BL367" s="120" t="s">
        <v>921</v>
      </c>
    </row>
    <row r="368" spans="2:64" s="1" customFormat="1" x14ac:dyDescent="0.2">
      <c r="B368" s="28"/>
      <c r="D368" s="122" t="s">
        <v>110</v>
      </c>
      <c r="F368" s="412" t="s">
        <v>922</v>
      </c>
      <c r="L368" s="28"/>
      <c r="M368" s="124"/>
      <c r="T368" s="48"/>
      <c r="V368" s="414"/>
      <c r="W368" s="424"/>
      <c r="AS368" s="17" t="s">
        <v>110</v>
      </c>
      <c r="AT368" s="17" t="s">
        <v>65</v>
      </c>
    </row>
    <row r="369" spans="2:64" s="1" customFormat="1" ht="16.5" customHeight="1" x14ac:dyDescent="0.2">
      <c r="B369" s="109"/>
      <c r="C369" s="143" t="s">
        <v>525</v>
      </c>
      <c r="D369" s="143" t="s">
        <v>252</v>
      </c>
      <c r="E369" s="144" t="s">
        <v>491</v>
      </c>
      <c r="F369" s="145" t="s">
        <v>492</v>
      </c>
      <c r="G369" s="146" t="s">
        <v>314</v>
      </c>
      <c r="H369" s="147">
        <v>1</v>
      </c>
      <c r="I369" s="148">
        <v>0</v>
      </c>
      <c r="J369" s="148">
        <f>ROUND(I369*H369,2)</f>
        <v>0</v>
      </c>
      <c r="K369" s="145" t="s">
        <v>107</v>
      </c>
      <c r="L369" s="149"/>
      <c r="M369" s="150"/>
      <c r="N369" s="151"/>
      <c r="O369" s="118"/>
      <c r="P369" s="118"/>
      <c r="Q369" s="118"/>
      <c r="R369" s="118"/>
      <c r="S369" s="118"/>
      <c r="T369" s="119"/>
      <c r="V369" s="414">
        <v>1</v>
      </c>
      <c r="W369" s="424">
        <v>5</v>
      </c>
      <c r="AQ369" s="120" t="s">
        <v>171</v>
      </c>
      <c r="AS369" s="120" t="s">
        <v>252</v>
      </c>
      <c r="AT369" s="120" t="s">
        <v>65</v>
      </c>
      <c r="AX369" s="17" t="s">
        <v>101</v>
      </c>
      <c r="BD369" s="121">
        <f>IF(N369="základní",J369,0)</f>
        <v>0</v>
      </c>
      <c r="BE369" s="121">
        <f>IF(N369="snížená",J369,0)</f>
        <v>0</v>
      </c>
      <c r="BF369" s="121">
        <f>IF(N369="zákl. přenesená",J369,0)</f>
        <v>0</v>
      </c>
      <c r="BG369" s="121">
        <f>IF(N369="sníž. přenesená",J369,0)</f>
        <v>0</v>
      </c>
      <c r="BH369" s="121">
        <f>IF(N369="nulová",J369,0)</f>
        <v>0</v>
      </c>
      <c r="BI369" s="17" t="s">
        <v>63</v>
      </c>
      <c r="BJ369" s="121">
        <f>ROUND(I369*H369,2)</f>
        <v>0</v>
      </c>
      <c r="BK369" s="17" t="s">
        <v>108</v>
      </c>
      <c r="BL369" s="120" t="s">
        <v>923</v>
      </c>
    </row>
    <row r="370" spans="2:64" s="1" customFormat="1" ht="37.9" customHeight="1" x14ac:dyDescent="0.2">
      <c r="B370" s="109"/>
      <c r="C370" s="110" t="s">
        <v>529</v>
      </c>
      <c r="D370" s="110" t="s">
        <v>103</v>
      </c>
      <c r="E370" s="111" t="s">
        <v>924</v>
      </c>
      <c r="F370" s="112" t="s">
        <v>925</v>
      </c>
      <c r="G370" s="113" t="s">
        <v>314</v>
      </c>
      <c r="H370" s="114">
        <v>1</v>
      </c>
      <c r="I370" s="115">
        <v>0</v>
      </c>
      <c r="J370" s="115">
        <f>ROUND(I370*H370,2)</f>
        <v>0</v>
      </c>
      <c r="K370" s="112" t="s">
        <v>107</v>
      </c>
      <c r="L370" s="28"/>
      <c r="M370" s="116"/>
      <c r="N370" s="117"/>
      <c r="O370" s="118"/>
      <c r="P370" s="118"/>
      <c r="Q370" s="118"/>
      <c r="R370" s="118"/>
      <c r="S370" s="118"/>
      <c r="T370" s="119"/>
      <c r="V370" s="414">
        <v>1</v>
      </c>
      <c r="W370" s="424">
        <v>1</v>
      </c>
      <c r="AQ370" s="120" t="s">
        <v>108</v>
      </c>
      <c r="AS370" s="120" t="s">
        <v>103</v>
      </c>
      <c r="AT370" s="120" t="s">
        <v>65</v>
      </c>
      <c r="AX370" s="17" t="s">
        <v>101</v>
      </c>
      <c r="BD370" s="121">
        <f>IF(N370="základní",J370,0)</f>
        <v>0</v>
      </c>
      <c r="BE370" s="121">
        <f>IF(N370="snížená",J370,0)</f>
        <v>0</v>
      </c>
      <c r="BF370" s="121">
        <f>IF(N370="zákl. přenesená",J370,0)</f>
        <v>0</v>
      </c>
      <c r="BG370" s="121">
        <f>IF(N370="sníž. přenesená",J370,0)</f>
        <v>0</v>
      </c>
      <c r="BH370" s="121">
        <f>IF(N370="nulová",J370,0)</f>
        <v>0</v>
      </c>
      <c r="BI370" s="17" t="s">
        <v>63</v>
      </c>
      <c r="BJ370" s="121">
        <f>ROUND(I370*H370,2)</f>
        <v>0</v>
      </c>
      <c r="BK370" s="17" t="s">
        <v>108</v>
      </c>
      <c r="BL370" s="120" t="s">
        <v>926</v>
      </c>
    </row>
    <row r="371" spans="2:64" s="1" customFormat="1" x14ac:dyDescent="0.2">
      <c r="B371" s="28"/>
      <c r="D371" s="122" t="s">
        <v>110</v>
      </c>
      <c r="F371" s="412" t="s">
        <v>927</v>
      </c>
      <c r="L371" s="28"/>
      <c r="M371" s="124"/>
      <c r="T371" s="48"/>
      <c r="V371" s="414"/>
      <c r="W371" s="424"/>
      <c r="AS371" s="17" t="s">
        <v>110</v>
      </c>
      <c r="AT371" s="17" t="s">
        <v>65</v>
      </c>
    </row>
    <row r="372" spans="2:64" s="1" customFormat="1" ht="16.5" customHeight="1" x14ac:dyDescent="0.2">
      <c r="B372" s="109"/>
      <c r="C372" s="143" t="s">
        <v>534</v>
      </c>
      <c r="D372" s="143" t="s">
        <v>252</v>
      </c>
      <c r="E372" s="144" t="s">
        <v>928</v>
      </c>
      <c r="F372" s="145" t="s">
        <v>929</v>
      </c>
      <c r="G372" s="146" t="s">
        <v>314</v>
      </c>
      <c r="H372" s="147">
        <v>1</v>
      </c>
      <c r="I372" s="148">
        <v>0</v>
      </c>
      <c r="J372" s="148">
        <f>ROUND(I372*H372,2)</f>
        <v>0</v>
      </c>
      <c r="K372" s="145" t="s">
        <v>107</v>
      </c>
      <c r="L372" s="149"/>
      <c r="M372" s="150"/>
      <c r="N372" s="151"/>
      <c r="O372" s="118"/>
      <c r="P372" s="118"/>
      <c r="Q372" s="118"/>
      <c r="R372" s="118"/>
      <c r="S372" s="118"/>
      <c r="T372" s="119"/>
      <c r="V372" s="414">
        <v>1</v>
      </c>
      <c r="W372" s="424">
        <v>1</v>
      </c>
      <c r="AQ372" s="120" t="s">
        <v>171</v>
      </c>
      <c r="AS372" s="120" t="s">
        <v>252</v>
      </c>
      <c r="AT372" s="120" t="s">
        <v>65</v>
      </c>
      <c r="AX372" s="17" t="s">
        <v>101</v>
      </c>
      <c r="BD372" s="121">
        <f>IF(N372="základní",J372,0)</f>
        <v>0</v>
      </c>
      <c r="BE372" s="121">
        <f>IF(N372="snížená",J372,0)</f>
        <v>0</v>
      </c>
      <c r="BF372" s="121">
        <f>IF(N372="zákl. přenesená",J372,0)</f>
        <v>0</v>
      </c>
      <c r="BG372" s="121">
        <f>IF(N372="sníž. přenesená",J372,0)</f>
        <v>0</v>
      </c>
      <c r="BH372" s="121">
        <f>IF(N372="nulová",J372,0)</f>
        <v>0</v>
      </c>
      <c r="BI372" s="17" t="s">
        <v>63</v>
      </c>
      <c r="BJ372" s="121">
        <f>ROUND(I372*H372,2)</f>
        <v>0</v>
      </c>
      <c r="BK372" s="17" t="s">
        <v>108</v>
      </c>
      <c r="BL372" s="120" t="s">
        <v>930</v>
      </c>
    </row>
    <row r="373" spans="2:64" s="1" customFormat="1" ht="37.9" customHeight="1" x14ac:dyDescent="0.2">
      <c r="B373" s="109"/>
      <c r="C373" s="110" t="s">
        <v>538</v>
      </c>
      <c r="D373" s="110" t="s">
        <v>103</v>
      </c>
      <c r="E373" s="111" t="s">
        <v>931</v>
      </c>
      <c r="F373" s="112" t="s">
        <v>932</v>
      </c>
      <c r="G373" s="113" t="s">
        <v>314</v>
      </c>
      <c r="H373" s="114">
        <v>1</v>
      </c>
      <c r="I373" s="115">
        <v>0</v>
      </c>
      <c r="J373" s="115">
        <f>ROUND(I373*H373,2)</f>
        <v>0</v>
      </c>
      <c r="K373" s="112" t="s">
        <v>107</v>
      </c>
      <c r="L373" s="28"/>
      <c r="M373" s="116"/>
      <c r="N373" s="117"/>
      <c r="O373" s="118"/>
      <c r="P373" s="118"/>
      <c r="Q373" s="118"/>
      <c r="R373" s="118"/>
      <c r="S373" s="118"/>
      <c r="T373" s="119"/>
      <c r="V373" s="414"/>
      <c r="W373" s="424"/>
      <c r="AQ373" s="120" t="s">
        <v>108</v>
      </c>
      <c r="AS373" s="120" t="s">
        <v>103</v>
      </c>
      <c r="AT373" s="120" t="s">
        <v>65</v>
      </c>
      <c r="AX373" s="17" t="s">
        <v>101</v>
      </c>
      <c r="BD373" s="121">
        <f>IF(N373="základní",J373,0)</f>
        <v>0</v>
      </c>
      <c r="BE373" s="121">
        <f>IF(N373="snížená",J373,0)</f>
        <v>0</v>
      </c>
      <c r="BF373" s="121">
        <f>IF(N373="zákl. přenesená",J373,0)</f>
        <v>0</v>
      </c>
      <c r="BG373" s="121">
        <f>IF(N373="sníž. přenesená",J373,0)</f>
        <v>0</v>
      </c>
      <c r="BH373" s="121">
        <f>IF(N373="nulová",J373,0)</f>
        <v>0</v>
      </c>
      <c r="BI373" s="17" t="s">
        <v>63</v>
      </c>
      <c r="BJ373" s="121">
        <f>ROUND(I373*H373,2)</f>
        <v>0</v>
      </c>
      <c r="BK373" s="17" t="s">
        <v>108</v>
      </c>
      <c r="BL373" s="120" t="s">
        <v>933</v>
      </c>
    </row>
    <row r="374" spans="2:64" s="1" customFormat="1" x14ac:dyDescent="0.2">
      <c r="B374" s="28"/>
      <c r="D374" s="122" t="s">
        <v>110</v>
      </c>
      <c r="F374" s="412" t="s">
        <v>934</v>
      </c>
      <c r="L374" s="28"/>
      <c r="M374" s="124"/>
      <c r="T374" s="48"/>
      <c r="V374" s="414"/>
      <c r="W374" s="424"/>
      <c r="AS374" s="17" t="s">
        <v>110</v>
      </c>
      <c r="AT374" s="17" t="s">
        <v>65</v>
      </c>
    </row>
    <row r="375" spans="2:64" s="1" customFormat="1" ht="16.5" customHeight="1" x14ac:dyDescent="0.2">
      <c r="B375" s="109"/>
      <c r="C375" s="143" t="s">
        <v>542</v>
      </c>
      <c r="D375" s="143" t="s">
        <v>252</v>
      </c>
      <c r="E375" s="144" t="s">
        <v>935</v>
      </c>
      <c r="F375" s="145" t="s">
        <v>936</v>
      </c>
      <c r="G375" s="146" t="s">
        <v>314</v>
      </c>
      <c r="H375" s="147">
        <v>1</v>
      </c>
      <c r="I375" s="148">
        <v>0</v>
      </c>
      <c r="J375" s="148">
        <f>ROUND(I375*H375,2)</f>
        <v>0</v>
      </c>
      <c r="K375" s="145" t="s">
        <v>107</v>
      </c>
      <c r="L375" s="149"/>
      <c r="M375" s="150"/>
      <c r="N375" s="151"/>
      <c r="O375" s="118"/>
      <c r="P375" s="118"/>
      <c r="Q375" s="118"/>
      <c r="R375" s="118"/>
      <c r="S375" s="118"/>
      <c r="T375" s="119"/>
      <c r="V375" s="414"/>
      <c r="W375" s="424"/>
      <c r="AQ375" s="120" t="s">
        <v>171</v>
      </c>
      <c r="AS375" s="120" t="s">
        <v>252</v>
      </c>
      <c r="AT375" s="120" t="s">
        <v>65</v>
      </c>
      <c r="AX375" s="17" t="s">
        <v>101</v>
      </c>
      <c r="BD375" s="121">
        <f>IF(N375="základní",J375,0)</f>
        <v>0</v>
      </c>
      <c r="BE375" s="121">
        <f>IF(N375="snížená",J375,0)</f>
        <v>0</v>
      </c>
      <c r="BF375" s="121">
        <f>IF(N375="zákl. přenesená",J375,0)</f>
        <v>0</v>
      </c>
      <c r="BG375" s="121">
        <f>IF(N375="sníž. přenesená",J375,0)</f>
        <v>0</v>
      </c>
      <c r="BH375" s="121">
        <f>IF(N375="nulová",J375,0)</f>
        <v>0</v>
      </c>
      <c r="BI375" s="17" t="s">
        <v>63</v>
      </c>
      <c r="BJ375" s="121">
        <f>ROUND(I375*H375,2)</f>
        <v>0</v>
      </c>
      <c r="BK375" s="17" t="s">
        <v>108</v>
      </c>
      <c r="BL375" s="120" t="s">
        <v>937</v>
      </c>
    </row>
    <row r="376" spans="2:64" s="1" customFormat="1" ht="37.9" customHeight="1" x14ac:dyDescent="0.2">
      <c r="B376" s="109"/>
      <c r="C376" s="110" t="s">
        <v>547</v>
      </c>
      <c r="D376" s="110" t="s">
        <v>103</v>
      </c>
      <c r="E376" s="111" t="s">
        <v>938</v>
      </c>
      <c r="F376" s="112" t="s">
        <v>939</v>
      </c>
      <c r="G376" s="113" t="s">
        <v>314</v>
      </c>
      <c r="H376" s="114">
        <v>1</v>
      </c>
      <c r="I376" s="115">
        <v>0</v>
      </c>
      <c r="J376" s="115">
        <f>ROUND(I376*H376,2)</f>
        <v>0</v>
      </c>
      <c r="K376" s="112" t="s">
        <v>107</v>
      </c>
      <c r="L376" s="28"/>
      <c r="M376" s="116"/>
      <c r="N376" s="117"/>
      <c r="O376" s="118"/>
      <c r="P376" s="118"/>
      <c r="Q376" s="118"/>
      <c r="R376" s="118"/>
      <c r="S376" s="118"/>
      <c r="T376" s="119"/>
      <c r="V376" s="414"/>
      <c r="W376" s="424"/>
      <c r="AQ376" s="120" t="s">
        <v>108</v>
      </c>
      <c r="AS376" s="120" t="s">
        <v>103</v>
      </c>
      <c r="AT376" s="120" t="s">
        <v>65</v>
      </c>
      <c r="AX376" s="17" t="s">
        <v>101</v>
      </c>
      <c r="BD376" s="121">
        <f>IF(N376="základní",J376,0)</f>
        <v>0</v>
      </c>
      <c r="BE376" s="121">
        <f>IF(N376="snížená",J376,0)</f>
        <v>0</v>
      </c>
      <c r="BF376" s="121">
        <f>IF(N376="zákl. přenesená",J376,0)</f>
        <v>0</v>
      </c>
      <c r="BG376" s="121">
        <f>IF(N376="sníž. přenesená",J376,0)</f>
        <v>0</v>
      </c>
      <c r="BH376" s="121">
        <f>IF(N376="nulová",J376,0)</f>
        <v>0</v>
      </c>
      <c r="BI376" s="17" t="s">
        <v>63</v>
      </c>
      <c r="BJ376" s="121">
        <f>ROUND(I376*H376,2)</f>
        <v>0</v>
      </c>
      <c r="BK376" s="17" t="s">
        <v>108</v>
      </c>
      <c r="BL376" s="120" t="s">
        <v>940</v>
      </c>
    </row>
    <row r="377" spans="2:64" s="1" customFormat="1" x14ac:dyDescent="0.2">
      <c r="B377" s="28"/>
      <c r="D377" s="122" t="s">
        <v>110</v>
      </c>
      <c r="F377" s="412" t="s">
        <v>941</v>
      </c>
      <c r="L377" s="28"/>
      <c r="M377" s="124"/>
      <c r="T377" s="48"/>
      <c r="V377" s="414"/>
      <c r="W377" s="424"/>
      <c r="AS377" s="17" t="s">
        <v>110</v>
      </c>
      <c r="AT377" s="17" t="s">
        <v>65</v>
      </c>
    </row>
    <row r="378" spans="2:64" s="1" customFormat="1" ht="16.5" customHeight="1" x14ac:dyDescent="0.2">
      <c r="B378" s="109"/>
      <c r="C378" s="143" t="s">
        <v>551</v>
      </c>
      <c r="D378" s="143" t="s">
        <v>252</v>
      </c>
      <c r="E378" s="144" t="s">
        <v>500</v>
      </c>
      <c r="F378" s="145" t="s">
        <v>501</v>
      </c>
      <c r="G378" s="146" t="s">
        <v>314</v>
      </c>
      <c r="H378" s="147">
        <v>1</v>
      </c>
      <c r="I378" s="148">
        <v>0</v>
      </c>
      <c r="J378" s="148">
        <f>ROUND(I378*H378,2)</f>
        <v>0</v>
      </c>
      <c r="K378" s="145" t="s">
        <v>107</v>
      </c>
      <c r="L378" s="149"/>
      <c r="M378" s="150"/>
      <c r="N378" s="151"/>
      <c r="O378" s="118"/>
      <c r="P378" s="118"/>
      <c r="Q378" s="118"/>
      <c r="R378" s="118"/>
      <c r="S378" s="118"/>
      <c r="T378" s="119"/>
      <c r="V378" s="414"/>
      <c r="W378" s="424"/>
      <c r="AQ378" s="120" t="s">
        <v>171</v>
      </c>
      <c r="AS378" s="120" t="s">
        <v>252</v>
      </c>
      <c r="AT378" s="120" t="s">
        <v>65</v>
      </c>
      <c r="AX378" s="17" t="s">
        <v>101</v>
      </c>
      <c r="BD378" s="121">
        <f>IF(N378="základní",J378,0)</f>
        <v>0</v>
      </c>
      <c r="BE378" s="121">
        <f>IF(N378="snížená",J378,0)</f>
        <v>0</v>
      </c>
      <c r="BF378" s="121">
        <f>IF(N378="zákl. přenesená",J378,0)</f>
        <v>0</v>
      </c>
      <c r="BG378" s="121">
        <f>IF(N378="sníž. přenesená",J378,0)</f>
        <v>0</v>
      </c>
      <c r="BH378" s="121">
        <f>IF(N378="nulová",J378,0)</f>
        <v>0</v>
      </c>
      <c r="BI378" s="17" t="s">
        <v>63</v>
      </c>
      <c r="BJ378" s="121">
        <f>ROUND(I378*H378,2)</f>
        <v>0</v>
      </c>
      <c r="BK378" s="17" t="s">
        <v>108</v>
      </c>
      <c r="BL378" s="120" t="s">
        <v>942</v>
      </c>
    </row>
    <row r="379" spans="2:64" s="1" customFormat="1" ht="44.25" customHeight="1" x14ac:dyDescent="0.2">
      <c r="B379" s="109"/>
      <c r="C379" s="110" t="s">
        <v>555</v>
      </c>
      <c r="D379" s="110" t="s">
        <v>103</v>
      </c>
      <c r="E379" s="111" t="s">
        <v>943</v>
      </c>
      <c r="F379" s="112" t="s">
        <v>944</v>
      </c>
      <c r="G379" s="113" t="s">
        <v>314</v>
      </c>
      <c r="H379" s="114">
        <v>1</v>
      </c>
      <c r="I379" s="115">
        <v>0</v>
      </c>
      <c r="J379" s="115">
        <f>ROUND(I379*H379,2)</f>
        <v>0</v>
      </c>
      <c r="K379" s="112" t="s">
        <v>107</v>
      </c>
      <c r="L379" s="28"/>
      <c r="M379" s="116"/>
      <c r="N379" s="117"/>
      <c r="O379" s="118"/>
      <c r="P379" s="118"/>
      <c r="Q379" s="118"/>
      <c r="R379" s="118"/>
      <c r="S379" s="118"/>
      <c r="T379" s="119"/>
      <c r="V379" s="414">
        <v>1</v>
      </c>
      <c r="W379" s="424">
        <v>2</v>
      </c>
      <c r="AQ379" s="120" t="s">
        <v>108</v>
      </c>
      <c r="AS379" s="120" t="s">
        <v>103</v>
      </c>
      <c r="AT379" s="120" t="s">
        <v>65</v>
      </c>
      <c r="AX379" s="17" t="s">
        <v>101</v>
      </c>
      <c r="BD379" s="121">
        <f>IF(N379="základní",J379,0)</f>
        <v>0</v>
      </c>
      <c r="BE379" s="121">
        <f>IF(N379="snížená",J379,0)</f>
        <v>0</v>
      </c>
      <c r="BF379" s="121">
        <f>IF(N379="zákl. přenesená",J379,0)</f>
        <v>0</v>
      </c>
      <c r="BG379" s="121">
        <f>IF(N379="sníž. přenesená",J379,0)</f>
        <v>0</v>
      </c>
      <c r="BH379" s="121">
        <f>IF(N379="nulová",J379,0)</f>
        <v>0</v>
      </c>
      <c r="BI379" s="17" t="s">
        <v>63</v>
      </c>
      <c r="BJ379" s="121">
        <f>ROUND(I379*H379,2)</f>
        <v>0</v>
      </c>
      <c r="BK379" s="17" t="s">
        <v>108</v>
      </c>
      <c r="BL379" s="120" t="s">
        <v>945</v>
      </c>
    </row>
    <row r="380" spans="2:64" s="1" customFormat="1" x14ac:dyDescent="0.2">
      <c r="B380" s="28"/>
      <c r="D380" s="122" t="s">
        <v>110</v>
      </c>
      <c r="F380" s="412" t="s">
        <v>946</v>
      </c>
      <c r="L380" s="28"/>
      <c r="M380" s="124"/>
      <c r="T380" s="48"/>
      <c r="V380" s="414"/>
      <c r="W380" s="424"/>
      <c r="AS380" s="17" t="s">
        <v>110</v>
      </c>
      <c r="AT380" s="17" t="s">
        <v>65</v>
      </c>
    </row>
    <row r="381" spans="2:64" s="1" customFormat="1" ht="24.2" customHeight="1" x14ac:dyDescent="0.2">
      <c r="B381" s="109"/>
      <c r="C381" s="143" t="s">
        <v>557</v>
      </c>
      <c r="D381" s="143" t="s">
        <v>252</v>
      </c>
      <c r="E381" s="144" t="s">
        <v>947</v>
      </c>
      <c r="F381" s="145" t="s">
        <v>948</v>
      </c>
      <c r="G381" s="146" t="s">
        <v>314</v>
      </c>
      <c r="H381" s="147">
        <v>1</v>
      </c>
      <c r="I381" s="148">
        <v>0</v>
      </c>
      <c r="J381" s="148">
        <f>ROUND(I381*H381,2)</f>
        <v>0</v>
      </c>
      <c r="K381" s="145" t="s">
        <v>107</v>
      </c>
      <c r="L381" s="149"/>
      <c r="M381" s="150"/>
      <c r="N381" s="151"/>
      <c r="O381" s="118"/>
      <c r="P381" s="118"/>
      <c r="Q381" s="118"/>
      <c r="R381" s="118"/>
      <c r="S381" s="118"/>
      <c r="T381" s="119"/>
      <c r="V381" s="414">
        <v>1</v>
      </c>
      <c r="W381" s="424">
        <v>2</v>
      </c>
      <c r="AQ381" s="120" t="s">
        <v>171</v>
      </c>
      <c r="AS381" s="120" t="s">
        <v>252</v>
      </c>
      <c r="AT381" s="120" t="s">
        <v>65</v>
      </c>
      <c r="AX381" s="17" t="s">
        <v>101</v>
      </c>
      <c r="BD381" s="121">
        <f>IF(N381="základní",J381,0)</f>
        <v>0</v>
      </c>
      <c r="BE381" s="121">
        <f>IF(N381="snížená",J381,0)</f>
        <v>0</v>
      </c>
      <c r="BF381" s="121">
        <f>IF(N381="zákl. přenesená",J381,0)</f>
        <v>0</v>
      </c>
      <c r="BG381" s="121">
        <f>IF(N381="sníž. přenesená",J381,0)</f>
        <v>0</v>
      </c>
      <c r="BH381" s="121">
        <f>IF(N381="nulová",J381,0)</f>
        <v>0</v>
      </c>
      <c r="BI381" s="17" t="s">
        <v>63</v>
      </c>
      <c r="BJ381" s="121">
        <f>ROUND(I381*H381,2)</f>
        <v>0</v>
      </c>
      <c r="BK381" s="17" t="s">
        <v>108</v>
      </c>
      <c r="BL381" s="120" t="s">
        <v>949</v>
      </c>
    </row>
    <row r="382" spans="2:64" s="1" customFormat="1" ht="21.75" customHeight="1" x14ac:dyDescent="0.2">
      <c r="B382" s="109"/>
      <c r="C382" s="143" t="s">
        <v>562</v>
      </c>
      <c r="D382" s="143" t="s">
        <v>252</v>
      </c>
      <c r="E382" s="144" t="s">
        <v>950</v>
      </c>
      <c r="F382" s="145" t="s">
        <v>951</v>
      </c>
      <c r="G382" s="146" t="s">
        <v>314</v>
      </c>
      <c r="H382" s="147">
        <v>1</v>
      </c>
      <c r="I382" s="148">
        <v>0</v>
      </c>
      <c r="J382" s="148">
        <f>ROUND(I382*H382,2)</f>
        <v>0</v>
      </c>
      <c r="K382" s="145" t="s">
        <v>107</v>
      </c>
      <c r="L382" s="149"/>
      <c r="M382" s="150"/>
      <c r="N382" s="151"/>
      <c r="O382" s="118"/>
      <c r="P382" s="118"/>
      <c r="Q382" s="118"/>
      <c r="R382" s="118"/>
      <c r="S382" s="118"/>
      <c r="T382" s="119"/>
      <c r="V382" s="414">
        <v>1</v>
      </c>
      <c r="W382" s="424">
        <v>2</v>
      </c>
      <c r="AQ382" s="120" t="s">
        <v>171</v>
      </c>
      <c r="AS382" s="120" t="s">
        <v>252</v>
      </c>
      <c r="AT382" s="120" t="s">
        <v>65</v>
      </c>
      <c r="AX382" s="17" t="s">
        <v>101</v>
      </c>
      <c r="BD382" s="121">
        <f>IF(N382="základní",J382,0)</f>
        <v>0</v>
      </c>
      <c r="BE382" s="121">
        <f>IF(N382="snížená",J382,0)</f>
        <v>0</v>
      </c>
      <c r="BF382" s="121">
        <f>IF(N382="zákl. přenesená",J382,0)</f>
        <v>0</v>
      </c>
      <c r="BG382" s="121">
        <f>IF(N382="sníž. přenesená",J382,0)</f>
        <v>0</v>
      </c>
      <c r="BH382" s="121">
        <f>IF(N382="nulová",J382,0)</f>
        <v>0</v>
      </c>
      <c r="BI382" s="17" t="s">
        <v>63</v>
      </c>
      <c r="BJ382" s="121">
        <f>ROUND(I382*H382,2)</f>
        <v>0</v>
      </c>
      <c r="BK382" s="17" t="s">
        <v>108</v>
      </c>
      <c r="BL382" s="120" t="s">
        <v>952</v>
      </c>
    </row>
    <row r="383" spans="2:64" s="1" customFormat="1" ht="44.25" customHeight="1" x14ac:dyDescent="0.2">
      <c r="B383" s="109"/>
      <c r="C383" s="110" t="s">
        <v>567</v>
      </c>
      <c r="D383" s="110" t="s">
        <v>103</v>
      </c>
      <c r="E383" s="111" t="s">
        <v>953</v>
      </c>
      <c r="F383" s="112" t="s">
        <v>954</v>
      </c>
      <c r="G383" s="113" t="s">
        <v>314</v>
      </c>
      <c r="H383" s="114">
        <v>1</v>
      </c>
      <c r="I383" s="115">
        <v>0</v>
      </c>
      <c r="J383" s="115">
        <f>ROUND(I383*H383,2)</f>
        <v>0</v>
      </c>
      <c r="K383" s="112" t="s">
        <v>107</v>
      </c>
      <c r="L383" s="28"/>
      <c r="M383" s="116"/>
      <c r="N383" s="117"/>
      <c r="O383" s="118"/>
      <c r="P383" s="118"/>
      <c r="Q383" s="118"/>
      <c r="R383" s="118"/>
      <c r="S383" s="118"/>
      <c r="T383" s="119"/>
      <c r="V383" s="414">
        <v>1</v>
      </c>
      <c r="W383" s="424">
        <v>2</v>
      </c>
      <c r="AQ383" s="120" t="s">
        <v>108</v>
      </c>
      <c r="AS383" s="120" t="s">
        <v>103</v>
      </c>
      <c r="AT383" s="120" t="s">
        <v>65</v>
      </c>
      <c r="AX383" s="17" t="s">
        <v>101</v>
      </c>
      <c r="BD383" s="121">
        <f>IF(N383="základní",J383,0)</f>
        <v>0</v>
      </c>
      <c r="BE383" s="121">
        <f>IF(N383="snížená",J383,0)</f>
        <v>0</v>
      </c>
      <c r="BF383" s="121">
        <f>IF(N383="zákl. přenesená",J383,0)</f>
        <v>0</v>
      </c>
      <c r="BG383" s="121">
        <f>IF(N383="sníž. přenesená",J383,0)</f>
        <v>0</v>
      </c>
      <c r="BH383" s="121">
        <f>IF(N383="nulová",J383,0)</f>
        <v>0</v>
      </c>
      <c r="BI383" s="17" t="s">
        <v>63</v>
      </c>
      <c r="BJ383" s="121">
        <f>ROUND(I383*H383,2)</f>
        <v>0</v>
      </c>
      <c r="BK383" s="17" t="s">
        <v>108</v>
      </c>
      <c r="BL383" s="120" t="s">
        <v>955</v>
      </c>
    </row>
    <row r="384" spans="2:64" s="1" customFormat="1" x14ac:dyDescent="0.2">
      <c r="B384" s="28"/>
      <c r="D384" s="122" t="s">
        <v>110</v>
      </c>
      <c r="F384" s="412" t="s">
        <v>956</v>
      </c>
      <c r="L384" s="28"/>
      <c r="M384" s="124"/>
      <c r="T384" s="48"/>
      <c r="V384" s="414"/>
      <c r="W384" s="424"/>
      <c r="AS384" s="17" t="s">
        <v>110</v>
      </c>
      <c r="AT384" s="17" t="s">
        <v>65</v>
      </c>
    </row>
    <row r="385" spans="2:64" s="1" customFormat="1" ht="24.2" customHeight="1" x14ac:dyDescent="0.2">
      <c r="B385" s="109"/>
      <c r="C385" s="143" t="s">
        <v>572</v>
      </c>
      <c r="D385" s="143" t="s">
        <v>252</v>
      </c>
      <c r="E385" s="144" t="s">
        <v>957</v>
      </c>
      <c r="F385" s="145" t="s">
        <v>958</v>
      </c>
      <c r="G385" s="146" t="s">
        <v>314</v>
      </c>
      <c r="H385" s="147">
        <v>1</v>
      </c>
      <c r="I385" s="148">
        <v>0</v>
      </c>
      <c r="J385" s="148">
        <f>ROUND(I385*H385,2)</f>
        <v>0</v>
      </c>
      <c r="K385" s="145" t="s">
        <v>107</v>
      </c>
      <c r="L385" s="149"/>
      <c r="M385" s="150"/>
      <c r="N385" s="151"/>
      <c r="O385" s="118"/>
      <c r="P385" s="118"/>
      <c r="Q385" s="118"/>
      <c r="R385" s="118"/>
      <c r="S385" s="118"/>
      <c r="T385" s="119"/>
      <c r="V385" s="414">
        <v>1</v>
      </c>
      <c r="W385" s="424">
        <v>2</v>
      </c>
      <c r="AQ385" s="120" t="s">
        <v>171</v>
      </c>
      <c r="AS385" s="120" t="s">
        <v>252</v>
      </c>
      <c r="AT385" s="120" t="s">
        <v>65</v>
      </c>
      <c r="AX385" s="17" t="s">
        <v>101</v>
      </c>
      <c r="BD385" s="121">
        <f>IF(N385="základní",J385,0)</f>
        <v>0</v>
      </c>
      <c r="BE385" s="121">
        <f>IF(N385="snížená",J385,0)</f>
        <v>0</v>
      </c>
      <c r="BF385" s="121">
        <f>IF(N385="zákl. přenesená",J385,0)</f>
        <v>0</v>
      </c>
      <c r="BG385" s="121">
        <f>IF(N385="sníž. přenesená",J385,0)</f>
        <v>0</v>
      </c>
      <c r="BH385" s="121">
        <f>IF(N385="nulová",J385,0)</f>
        <v>0</v>
      </c>
      <c r="BI385" s="17" t="s">
        <v>63</v>
      </c>
      <c r="BJ385" s="121">
        <f>ROUND(I385*H385,2)</f>
        <v>0</v>
      </c>
      <c r="BK385" s="17" t="s">
        <v>108</v>
      </c>
      <c r="BL385" s="120" t="s">
        <v>959</v>
      </c>
    </row>
    <row r="386" spans="2:64" s="1" customFormat="1" ht="21.75" customHeight="1" x14ac:dyDescent="0.2">
      <c r="B386" s="109"/>
      <c r="C386" s="143" t="s">
        <v>579</v>
      </c>
      <c r="D386" s="143" t="s">
        <v>252</v>
      </c>
      <c r="E386" s="144" t="s">
        <v>513</v>
      </c>
      <c r="F386" s="145" t="s">
        <v>514</v>
      </c>
      <c r="G386" s="146" t="s">
        <v>314</v>
      </c>
      <c r="H386" s="147">
        <v>1</v>
      </c>
      <c r="I386" s="148">
        <v>0</v>
      </c>
      <c r="J386" s="148">
        <f>ROUND(I386*H386,2)</f>
        <v>0</v>
      </c>
      <c r="K386" s="145" t="s">
        <v>107</v>
      </c>
      <c r="L386" s="149"/>
      <c r="M386" s="150"/>
      <c r="N386" s="151"/>
      <c r="O386" s="118"/>
      <c r="P386" s="118"/>
      <c r="Q386" s="118"/>
      <c r="R386" s="118"/>
      <c r="S386" s="118"/>
      <c r="T386" s="119"/>
      <c r="V386" s="414">
        <v>1</v>
      </c>
      <c r="W386" s="424">
        <v>2</v>
      </c>
      <c r="AQ386" s="120" t="s">
        <v>171</v>
      </c>
      <c r="AS386" s="120" t="s">
        <v>252</v>
      </c>
      <c r="AT386" s="120" t="s">
        <v>65</v>
      </c>
      <c r="AX386" s="17" t="s">
        <v>101</v>
      </c>
      <c r="BD386" s="121">
        <f>IF(N386="základní",J386,0)</f>
        <v>0</v>
      </c>
      <c r="BE386" s="121">
        <f>IF(N386="snížená",J386,0)</f>
        <v>0</v>
      </c>
      <c r="BF386" s="121">
        <f>IF(N386="zákl. přenesená",J386,0)</f>
        <v>0</v>
      </c>
      <c r="BG386" s="121">
        <f>IF(N386="sníž. přenesená",J386,0)</f>
        <v>0</v>
      </c>
      <c r="BH386" s="121">
        <f>IF(N386="nulová",J386,0)</f>
        <v>0</v>
      </c>
      <c r="BI386" s="17" t="s">
        <v>63</v>
      </c>
      <c r="BJ386" s="121">
        <f>ROUND(I386*H386,2)</f>
        <v>0</v>
      </c>
      <c r="BK386" s="17" t="s">
        <v>108</v>
      </c>
      <c r="BL386" s="120" t="s">
        <v>960</v>
      </c>
    </row>
    <row r="387" spans="2:64" s="1" customFormat="1" ht="44.25" customHeight="1" x14ac:dyDescent="0.2">
      <c r="B387" s="109"/>
      <c r="C387" s="110" t="s">
        <v>584</v>
      </c>
      <c r="D387" s="110" t="s">
        <v>103</v>
      </c>
      <c r="E387" s="111" t="s">
        <v>961</v>
      </c>
      <c r="F387" s="112" t="s">
        <v>962</v>
      </c>
      <c r="G387" s="113" t="s">
        <v>314</v>
      </c>
      <c r="H387" s="114">
        <v>1</v>
      </c>
      <c r="I387" s="115">
        <v>0</v>
      </c>
      <c r="J387" s="115">
        <f>ROUND(I387*H387,2)</f>
        <v>0</v>
      </c>
      <c r="K387" s="112" t="s">
        <v>107</v>
      </c>
      <c r="L387" s="28"/>
      <c r="M387" s="116"/>
      <c r="N387" s="117"/>
      <c r="O387" s="118"/>
      <c r="P387" s="118"/>
      <c r="Q387" s="118"/>
      <c r="R387" s="118"/>
      <c r="S387" s="118"/>
      <c r="T387" s="119"/>
      <c r="V387" s="414">
        <v>1</v>
      </c>
      <c r="W387" s="424">
        <v>1</v>
      </c>
      <c r="AQ387" s="120" t="s">
        <v>108</v>
      </c>
      <c r="AS387" s="120" t="s">
        <v>103</v>
      </c>
      <c r="AT387" s="120" t="s">
        <v>65</v>
      </c>
      <c r="AX387" s="17" t="s">
        <v>101</v>
      </c>
      <c r="BD387" s="121">
        <f>IF(N387="základní",J387,0)</f>
        <v>0</v>
      </c>
      <c r="BE387" s="121">
        <f>IF(N387="snížená",J387,0)</f>
        <v>0</v>
      </c>
      <c r="BF387" s="121">
        <f>IF(N387="zákl. přenesená",J387,0)</f>
        <v>0</v>
      </c>
      <c r="BG387" s="121">
        <f>IF(N387="sníž. přenesená",J387,0)</f>
        <v>0</v>
      </c>
      <c r="BH387" s="121">
        <f>IF(N387="nulová",J387,0)</f>
        <v>0</v>
      </c>
      <c r="BI387" s="17" t="s">
        <v>63</v>
      </c>
      <c r="BJ387" s="121">
        <f>ROUND(I387*H387,2)</f>
        <v>0</v>
      </c>
      <c r="BK387" s="17" t="s">
        <v>108</v>
      </c>
      <c r="BL387" s="120" t="s">
        <v>963</v>
      </c>
    </row>
    <row r="388" spans="2:64" s="1" customFormat="1" x14ac:dyDescent="0.2">
      <c r="B388" s="28"/>
      <c r="D388" s="122" t="s">
        <v>110</v>
      </c>
      <c r="F388" s="412" t="s">
        <v>964</v>
      </c>
      <c r="L388" s="28"/>
      <c r="M388" s="124"/>
      <c r="T388" s="48"/>
      <c r="V388" s="414"/>
      <c r="W388" s="424"/>
      <c r="AS388" s="17" t="s">
        <v>110</v>
      </c>
      <c r="AT388" s="17" t="s">
        <v>65</v>
      </c>
    </row>
    <row r="389" spans="2:64" s="1" customFormat="1" ht="24.2" customHeight="1" x14ac:dyDescent="0.2">
      <c r="B389" s="109"/>
      <c r="C389" s="143" t="s">
        <v>589</v>
      </c>
      <c r="D389" s="143" t="s">
        <v>252</v>
      </c>
      <c r="E389" s="144" t="s">
        <v>965</v>
      </c>
      <c r="F389" s="145" t="s">
        <v>966</v>
      </c>
      <c r="G389" s="146" t="s">
        <v>314</v>
      </c>
      <c r="H389" s="147">
        <v>1</v>
      </c>
      <c r="I389" s="148">
        <v>0</v>
      </c>
      <c r="J389" s="148">
        <f>ROUND(I389*H389,2)</f>
        <v>0</v>
      </c>
      <c r="K389" s="145" t="s">
        <v>107</v>
      </c>
      <c r="L389" s="149"/>
      <c r="M389" s="150"/>
      <c r="N389" s="151"/>
      <c r="O389" s="118"/>
      <c r="P389" s="118"/>
      <c r="Q389" s="118"/>
      <c r="R389" s="118"/>
      <c r="S389" s="118"/>
      <c r="T389" s="119"/>
      <c r="V389" s="414">
        <v>1</v>
      </c>
      <c r="W389" s="424">
        <v>1</v>
      </c>
      <c r="AQ389" s="120" t="s">
        <v>171</v>
      </c>
      <c r="AS389" s="120" t="s">
        <v>252</v>
      </c>
      <c r="AT389" s="120" t="s">
        <v>65</v>
      </c>
      <c r="AX389" s="17" t="s">
        <v>101</v>
      </c>
      <c r="BD389" s="121">
        <f>IF(N389="základní",J389,0)</f>
        <v>0</v>
      </c>
      <c r="BE389" s="121">
        <f>IF(N389="snížená",J389,0)</f>
        <v>0</v>
      </c>
      <c r="BF389" s="121">
        <f>IF(N389="zákl. přenesená",J389,0)</f>
        <v>0</v>
      </c>
      <c r="BG389" s="121">
        <f>IF(N389="sníž. přenesená",J389,0)</f>
        <v>0</v>
      </c>
      <c r="BH389" s="121">
        <f>IF(N389="nulová",J389,0)</f>
        <v>0</v>
      </c>
      <c r="BI389" s="17" t="s">
        <v>63</v>
      </c>
      <c r="BJ389" s="121">
        <f>ROUND(I389*H389,2)</f>
        <v>0</v>
      </c>
      <c r="BK389" s="17" t="s">
        <v>108</v>
      </c>
      <c r="BL389" s="120" t="s">
        <v>967</v>
      </c>
    </row>
    <row r="390" spans="2:64" s="13" customFormat="1" ht="22.5" x14ac:dyDescent="0.2">
      <c r="B390" s="131"/>
      <c r="D390" s="126" t="s">
        <v>112</v>
      </c>
      <c r="E390" s="132" t="s">
        <v>1</v>
      </c>
      <c r="F390" s="133" t="s">
        <v>968</v>
      </c>
      <c r="H390" s="134">
        <v>1</v>
      </c>
      <c r="L390" s="131"/>
      <c r="M390" s="135"/>
      <c r="T390" s="136"/>
      <c r="V390" s="414"/>
      <c r="W390" s="424"/>
      <c r="AS390" s="132" t="s">
        <v>112</v>
      </c>
      <c r="AT390" s="132" t="s">
        <v>65</v>
      </c>
      <c r="AU390" s="13" t="s">
        <v>65</v>
      </c>
      <c r="AV390" s="13" t="s">
        <v>30</v>
      </c>
      <c r="AW390" s="13" t="s">
        <v>63</v>
      </c>
      <c r="AX390" s="132" t="s">
        <v>101</v>
      </c>
    </row>
    <row r="391" spans="2:64" s="1" customFormat="1" ht="44.25" customHeight="1" x14ac:dyDescent="0.2">
      <c r="B391" s="109"/>
      <c r="C391" s="110" t="s">
        <v>593</v>
      </c>
      <c r="D391" s="110" t="s">
        <v>103</v>
      </c>
      <c r="E391" s="111" t="s">
        <v>969</v>
      </c>
      <c r="F391" s="112" t="s">
        <v>970</v>
      </c>
      <c r="G391" s="113" t="s">
        <v>314</v>
      </c>
      <c r="H391" s="114">
        <v>1</v>
      </c>
      <c r="I391" s="115">
        <v>0</v>
      </c>
      <c r="J391" s="115">
        <f>ROUND(I391*H391,2)</f>
        <v>0</v>
      </c>
      <c r="K391" s="112" t="s">
        <v>107</v>
      </c>
      <c r="L391" s="28"/>
      <c r="M391" s="116"/>
      <c r="N391" s="117"/>
      <c r="O391" s="118"/>
      <c r="P391" s="118"/>
      <c r="Q391" s="118"/>
      <c r="R391" s="118"/>
      <c r="S391" s="118"/>
      <c r="T391" s="119"/>
      <c r="V391" s="414">
        <v>1</v>
      </c>
      <c r="W391" s="424">
        <v>5</v>
      </c>
      <c r="AQ391" s="120" t="s">
        <v>108</v>
      </c>
      <c r="AS391" s="120" t="s">
        <v>103</v>
      </c>
      <c r="AT391" s="120" t="s">
        <v>65</v>
      </c>
      <c r="AX391" s="17" t="s">
        <v>101</v>
      </c>
      <c r="BD391" s="121">
        <f>IF(N391="základní",J391,0)</f>
        <v>0</v>
      </c>
      <c r="BE391" s="121">
        <f>IF(N391="snížená",J391,0)</f>
        <v>0</v>
      </c>
      <c r="BF391" s="121">
        <f>IF(N391="zákl. přenesená",J391,0)</f>
        <v>0</v>
      </c>
      <c r="BG391" s="121">
        <f>IF(N391="sníž. přenesená",J391,0)</f>
        <v>0</v>
      </c>
      <c r="BH391" s="121">
        <f>IF(N391="nulová",J391,0)</f>
        <v>0</v>
      </c>
      <c r="BI391" s="17" t="s">
        <v>63</v>
      </c>
      <c r="BJ391" s="121">
        <f>ROUND(I391*H391,2)</f>
        <v>0</v>
      </c>
      <c r="BK391" s="17" t="s">
        <v>108</v>
      </c>
      <c r="BL391" s="120" t="s">
        <v>971</v>
      </c>
    </row>
    <row r="392" spans="2:64" s="1" customFormat="1" x14ac:dyDescent="0.2">
      <c r="B392" s="28"/>
      <c r="D392" s="122" t="s">
        <v>110</v>
      </c>
      <c r="F392" s="412" t="s">
        <v>972</v>
      </c>
      <c r="L392" s="28"/>
      <c r="M392" s="124"/>
      <c r="T392" s="48"/>
      <c r="V392" s="414"/>
      <c r="W392" s="424"/>
      <c r="AS392" s="17" t="s">
        <v>110</v>
      </c>
      <c r="AT392" s="17" t="s">
        <v>65</v>
      </c>
    </row>
    <row r="393" spans="2:64" s="1" customFormat="1" ht="24.2" customHeight="1" x14ac:dyDescent="0.2">
      <c r="B393" s="109"/>
      <c r="C393" s="143" t="s">
        <v>597</v>
      </c>
      <c r="D393" s="143" t="s">
        <v>252</v>
      </c>
      <c r="E393" s="144" t="s">
        <v>973</v>
      </c>
      <c r="F393" s="145" t="s">
        <v>974</v>
      </c>
      <c r="G393" s="146" t="s">
        <v>314</v>
      </c>
      <c r="H393" s="147">
        <v>1</v>
      </c>
      <c r="I393" s="148">
        <v>0</v>
      </c>
      <c r="J393" s="148">
        <f>ROUND(I393*H393,2)</f>
        <v>0</v>
      </c>
      <c r="K393" s="145" t="s">
        <v>107</v>
      </c>
      <c r="L393" s="149"/>
      <c r="M393" s="150"/>
      <c r="N393" s="151"/>
      <c r="O393" s="118"/>
      <c r="P393" s="118"/>
      <c r="Q393" s="118"/>
      <c r="R393" s="118"/>
      <c r="S393" s="118"/>
      <c r="T393" s="119"/>
      <c r="V393" s="414">
        <v>1</v>
      </c>
      <c r="W393" s="424">
        <v>5</v>
      </c>
      <c r="AQ393" s="120" t="s">
        <v>171</v>
      </c>
      <c r="AS393" s="120" t="s">
        <v>252</v>
      </c>
      <c r="AT393" s="120" t="s">
        <v>65</v>
      </c>
      <c r="AX393" s="17" t="s">
        <v>101</v>
      </c>
      <c r="BD393" s="121">
        <f>IF(N393="základní",J393,0)</f>
        <v>0</v>
      </c>
      <c r="BE393" s="121">
        <f>IF(N393="snížená",J393,0)</f>
        <v>0</v>
      </c>
      <c r="BF393" s="121">
        <f>IF(N393="zákl. přenesená",J393,0)</f>
        <v>0</v>
      </c>
      <c r="BG393" s="121">
        <f>IF(N393="sníž. přenesená",J393,0)</f>
        <v>0</v>
      </c>
      <c r="BH393" s="121">
        <f>IF(N393="nulová",J393,0)</f>
        <v>0</v>
      </c>
      <c r="BI393" s="17" t="s">
        <v>63</v>
      </c>
      <c r="BJ393" s="121">
        <f>ROUND(I393*H393,2)</f>
        <v>0</v>
      </c>
      <c r="BK393" s="17" t="s">
        <v>108</v>
      </c>
      <c r="BL393" s="120" t="s">
        <v>975</v>
      </c>
    </row>
    <row r="394" spans="2:64" s="1" customFormat="1" ht="21.75" customHeight="1" x14ac:dyDescent="0.2">
      <c r="B394" s="109"/>
      <c r="C394" s="143" t="s">
        <v>602</v>
      </c>
      <c r="D394" s="143" t="s">
        <v>252</v>
      </c>
      <c r="E394" s="144" t="s">
        <v>539</v>
      </c>
      <c r="F394" s="145" t="s">
        <v>540</v>
      </c>
      <c r="G394" s="146" t="s">
        <v>314</v>
      </c>
      <c r="H394" s="147">
        <v>1</v>
      </c>
      <c r="I394" s="148">
        <v>0</v>
      </c>
      <c r="J394" s="148">
        <f>ROUND(I394*H394,2)</f>
        <v>0</v>
      </c>
      <c r="K394" s="145" t="s">
        <v>107</v>
      </c>
      <c r="L394" s="149"/>
      <c r="M394" s="150"/>
      <c r="N394" s="151"/>
      <c r="O394" s="118"/>
      <c r="P394" s="118"/>
      <c r="Q394" s="118"/>
      <c r="R394" s="118"/>
      <c r="S394" s="118"/>
      <c r="T394" s="119"/>
      <c r="V394" s="414">
        <v>1</v>
      </c>
      <c r="W394" s="424">
        <v>5</v>
      </c>
      <c r="AQ394" s="120" t="s">
        <v>171</v>
      </c>
      <c r="AS394" s="120" t="s">
        <v>252</v>
      </c>
      <c r="AT394" s="120" t="s">
        <v>65</v>
      </c>
      <c r="AX394" s="17" t="s">
        <v>101</v>
      </c>
      <c r="BD394" s="121">
        <f>IF(N394="základní",J394,0)</f>
        <v>0</v>
      </c>
      <c r="BE394" s="121">
        <f>IF(N394="snížená",J394,0)</f>
        <v>0</v>
      </c>
      <c r="BF394" s="121">
        <f>IF(N394="zákl. přenesená",J394,0)</f>
        <v>0</v>
      </c>
      <c r="BG394" s="121">
        <f>IF(N394="sníž. přenesená",J394,0)</f>
        <v>0</v>
      </c>
      <c r="BH394" s="121">
        <f>IF(N394="nulová",J394,0)</f>
        <v>0</v>
      </c>
      <c r="BI394" s="17" t="s">
        <v>63</v>
      </c>
      <c r="BJ394" s="121">
        <f>ROUND(I394*H394,2)</f>
        <v>0</v>
      </c>
      <c r="BK394" s="17" t="s">
        <v>108</v>
      </c>
      <c r="BL394" s="120" t="s">
        <v>976</v>
      </c>
    </row>
    <row r="395" spans="2:64" s="1" customFormat="1" ht="16.5" customHeight="1" x14ac:dyDescent="0.2">
      <c r="B395" s="109"/>
      <c r="C395" s="110" t="s">
        <v>606</v>
      </c>
      <c r="D395" s="110" t="s">
        <v>103</v>
      </c>
      <c r="E395" s="111" t="s">
        <v>558</v>
      </c>
      <c r="F395" s="112" t="s">
        <v>559</v>
      </c>
      <c r="G395" s="113" t="s">
        <v>106</v>
      </c>
      <c r="H395" s="114">
        <f>61.9*0.18</f>
        <v>11.141999999999999</v>
      </c>
      <c r="I395" s="115">
        <v>0</v>
      </c>
      <c r="J395" s="115">
        <f>ROUND(I395*H395,2)</f>
        <v>0</v>
      </c>
      <c r="K395" s="112" t="s">
        <v>107</v>
      </c>
      <c r="L395" s="28"/>
      <c r="M395" s="116"/>
      <c r="N395" s="117"/>
      <c r="O395" s="118"/>
      <c r="P395" s="118"/>
      <c r="Q395" s="118"/>
      <c r="R395" s="118"/>
      <c r="S395" s="118"/>
      <c r="T395" s="119"/>
      <c r="V395" s="414"/>
      <c r="W395" s="424"/>
      <c r="AQ395" s="120" t="s">
        <v>108</v>
      </c>
      <c r="AS395" s="120" t="s">
        <v>103</v>
      </c>
      <c r="AT395" s="120" t="s">
        <v>65</v>
      </c>
      <c r="AX395" s="17" t="s">
        <v>101</v>
      </c>
      <c r="BD395" s="121">
        <f>IF(N395="základní",J395,0)</f>
        <v>0</v>
      </c>
      <c r="BE395" s="121">
        <f>IF(N395="snížená",J395,0)</f>
        <v>0</v>
      </c>
      <c r="BF395" s="121">
        <f>IF(N395="zákl. přenesená",J395,0)</f>
        <v>0</v>
      </c>
      <c r="BG395" s="121">
        <f>IF(N395="sníž. přenesená",J395,0)</f>
        <v>0</v>
      </c>
      <c r="BH395" s="121">
        <f>IF(N395="nulová",J395,0)</f>
        <v>0</v>
      </c>
      <c r="BI395" s="17" t="s">
        <v>63</v>
      </c>
      <c r="BJ395" s="121">
        <f>ROUND(I395*H395,2)</f>
        <v>0</v>
      </c>
      <c r="BK395" s="17" t="s">
        <v>108</v>
      </c>
      <c r="BL395" s="120" t="s">
        <v>977</v>
      </c>
    </row>
    <row r="396" spans="2:64" s="1" customFormat="1" x14ac:dyDescent="0.2">
      <c r="B396" s="28"/>
      <c r="D396" s="122" t="s">
        <v>110</v>
      </c>
      <c r="F396" s="412" t="s">
        <v>561</v>
      </c>
      <c r="L396" s="28"/>
      <c r="M396" s="124"/>
      <c r="T396" s="48"/>
      <c r="V396" s="414"/>
      <c r="W396" s="424"/>
      <c r="AS396" s="17" t="s">
        <v>110</v>
      </c>
      <c r="AT396" s="17" t="s">
        <v>65</v>
      </c>
    </row>
    <row r="397" spans="2:64" s="13" customFormat="1" x14ac:dyDescent="0.2">
      <c r="B397" s="131"/>
      <c r="D397" s="126" t="s">
        <v>112</v>
      </c>
      <c r="E397" s="132" t="s">
        <v>1</v>
      </c>
      <c r="F397" s="133" t="s">
        <v>978</v>
      </c>
      <c r="H397" s="134">
        <v>43.5</v>
      </c>
      <c r="L397" s="131"/>
      <c r="M397" s="135"/>
      <c r="T397" s="136"/>
      <c r="V397" s="414"/>
      <c r="W397" s="424"/>
      <c r="AS397" s="132" t="s">
        <v>112</v>
      </c>
      <c r="AT397" s="132" t="s">
        <v>65</v>
      </c>
      <c r="AU397" s="13" t="s">
        <v>65</v>
      </c>
      <c r="AV397" s="13" t="s">
        <v>30</v>
      </c>
      <c r="AW397" s="13" t="s">
        <v>55</v>
      </c>
      <c r="AX397" s="132" t="s">
        <v>101</v>
      </c>
    </row>
    <row r="398" spans="2:64" s="13" customFormat="1" x14ac:dyDescent="0.2">
      <c r="B398" s="131"/>
      <c r="D398" s="126" t="s">
        <v>112</v>
      </c>
      <c r="E398" s="132" t="s">
        <v>1</v>
      </c>
      <c r="F398" s="133" t="s">
        <v>979</v>
      </c>
      <c r="H398" s="134">
        <v>18.399999999999999</v>
      </c>
      <c r="L398" s="131"/>
      <c r="M398" s="135"/>
      <c r="T398" s="136"/>
      <c r="V398" s="414"/>
      <c r="W398" s="424"/>
      <c r="AS398" s="132" t="s">
        <v>112</v>
      </c>
      <c r="AT398" s="132" t="s">
        <v>65</v>
      </c>
      <c r="AU398" s="13" t="s">
        <v>65</v>
      </c>
      <c r="AV398" s="13" t="s">
        <v>30</v>
      </c>
      <c r="AW398" s="13" t="s">
        <v>55</v>
      </c>
      <c r="AX398" s="132" t="s">
        <v>101</v>
      </c>
    </row>
    <row r="399" spans="2:64" s="14" customFormat="1" x14ac:dyDescent="0.2">
      <c r="B399" s="137"/>
      <c r="D399" s="126" t="s">
        <v>112</v>
      </c>
      <c r="E399" s="138" t="s">
        <v>1</v>
      </c>
      <c r="F399" s="139" t="s">
        <v>127</v>
      </c>
      <c r="H399" s="140">
        <v>61.9</v>
      </c>
      <c r="L399" s="137"/>
      <c r="M399" s="141"/>
      <c r="T399" s="142"/>
      <c r="V399" s="414"/>
      <c r="W399" s="424"/>
      <c r="AS399" s="138" t="s">
        <v>112</v>
      </c>
      <c r="AT399" s="138" t="s">
        <v>65</v>
      </c>
      <c r="AU399" s="14" t="s">
        <v>108</v>
      </c>
      <c r="AV399" s="14" t="s">
        <v>30</v>
      </c>
      <c r="AW399" s="14" t="s">
        <v>63</v>
      </c>
      <c r="AX399" s="138" t="s">
        <v>101</v>
      </c>
    </row>
    <row r="400" spans="2:64" s="14" customFormat="1" x14ac:dyDescent="0.2">
      <c r="B400" s="137"/>
      <c r="D400" s="126"/>
      <c r="E400" s="138"/>
      <c r="F400" s="139" t="s">
        <v>1842</v>
      </c>
      <c r="H400" s="140">
        <f>H399*0.18</f>
        <v>11.141999999999999</v>
      </c>
      <c r="L400" s="137"/>
      <c r="M400" s="141"/>
      <c r="T400" s="142"/>
      <c r="V400" s="414"/>
      <c r="W400" s="424"/>
      <c r="AS400" s="138"/>
      <c r="AT400" s="138"/>
      <c r="AX400" s="138"/>
    </row>
    <row r="401" spans="2:64" s="1" customFormat="1" ht="21.75" customHeight="1" x14ac:dyDescent="0.2">
      <c r="B401" s="109"/>
      <c r="C401" s="110" t="s">
        <v>610</v>
      </c>
      <c r="D401" s="110" t="s">
        <v>103</v>
      </c>
      <c r="E401" s="111" t="s">
        <v>568</v>
      </c>
      <c r="F401" s="112" t="s">
        <v>569</v>
      </c>
      <c r="G401" s="113" t="s">
        <v>106</v>
      </c>
      <c r="H401" s="114">
        <f>377.1*0.18</f>
        <v>67.878</v>
      </c>
      <c r="I401" s="115">
        <v>0</v>
      </c>
      <c r="J401" s="115">
        <f>ROUND(I401*H401,2)</f>
        <v>0</v>
      </c>
      <c r="K401" s="112" t="s">
        <v>107</v>
      </c>
      <c r="L401" s="28"/>
      <c r="M401" s="116"/>
      <c r="N401" s="117"/>
      <c r="O401" s="118"/>
      <c r="P401" s="118"/>
      <c r="Q401" s="118"/>
      <c r="R401" s="118"/>
      <c r="S401" s="118"/>
      <c r="T401" s="119"/>
      <c r="V401" s="414"/>
      <c r="W401" s="424"/>
      <c r="AQ401" s="120" t="s">
        <v>108</v>
      </c>
      <c r="AS401" s="120" t="s">
        <v>103</v>
      </c>
      <c r="AT401" s="120" t="s">
        <v>65</v>
      </c>
      <c r="AX401" s="17" t="s">
        <v>101</v>
      </c>
      <c r="BD401" s="121">
        <f>IF(N401="základní",J401,0)</f>
        <v>0</v>
      </c>
      <c r="BE401" s="121">
        <f>IF(N401="snížená",J401,0)</f>
        <v>0</v>
      </c>
      <c r="BF401" s="121">
        <f>IF(N401="zákl. přenesená",J401,0)</f>
        <v>0</v>
      </c>
      <c r="BG401" s="121">
        <f>IF(N401="sníž. přenesená",J401,0)</f>
        <v>0</v>
      </c>
      <c r="BH401" s="121">
        <f>IF(N401="nulová",J401,0)</f>
        <v>0</v>
      </c>
      <c r="BI401" s="17" t="s">
        <v>63</v>
      </c>
      <c r="BJ401" s="121">
        <f>ROUND(I401*H401,2)</f>
        <v>0</v>
      </c>
      <c r="BK401" s="17" t="s">
        <v>108</v>
      </c>
      <c r="BL401" s="120" t="s">
        <v>980</v>
      </c>
    </row>
    <row r="402" spans="2:64" s="1" customFormat="1" x14ac:dyDescent="0.2">
      <c r="B402" s="28"/>
      <c r="D402" s="122" t="s">
        <v>110</v>
      </c>
      <c r="F402" s="412" t="s">
        <v>571</v>
      </c>
      <c r="L402" s="28"/>
      <c r="M402" s="124"/>
      <c r="T402" s="48"/>
      <c r="V402" s="414"/>
      <c r="W402" s="424"/>
      <c r="AS402" s="17" t="s">
        <v>110</v>
      </c>
      <c r="AT402" s="17" t="s">
        <v>65</v>
      </c>
    </row>
    <row r="403" spans="2:64" s="1" customFormat="1" ht="24.2" customHeight="1" x14ac:dyDescent="0.2">
      <c r="B403" s="109"/>
      <c r="C403" s="110" t="s">
        <v>615</v>
      </c>
      <c r="D403" s="110" t="s">
        <v>103</v>
      </c>
      <c r="E403" s="111" t="s">
        <v>981</v>
      </c>
      <c r="F403" s="112" t="s">
        <v>982</v>
      </c>
      <c r="G403" s="113" t="s">
        <v>314</v>
      </c>
      <c r="H403" s="114">
        <v>3</v>
      </c>
      <c r="I403" s="115">
        <v>0</v>
      </c>
      <c r="J403" s="115">
        <f>ROUND(I403*H403,2)</f>
        <v>0</v>
      </c>
      <c r="K403" s="112" t="s">
        <v>107</v>
      </c>
      <c r="L403" s="28"/>
      <c r="M403" s="116"/>
      <c r="N403" s="117"/>
      <c r="O403" s="118"/>
      <c r="P403" s="118"/>
      <c r="Q403" s="118"/>
      <c r="R403" s="118"/>
      <c r="S403" s="118"/>
      <c r="T403" s="119"/>
      <c r="V403" s="414">
        <v>3</v>
      </c>
      <c r="W403" s="424">
        <v>11</v>
      </c>
      <c r="AQ403" s="120" t="s">
        <v>108</v>
      </c>
      <c r="AS403" s="120" t="s">
        <v>103</v>
      </c>
      <c r="AT403" s="120" t="s">
        <v>65</v>
      </c>
      <c r="AX403" s="17" t="s">
        <v>101</v>
      </c>
      <c r="BD403" s="121">
        <f>IF(N403="základní",J403,0)</f>
        <v>0</v>
      </c>
      <c r="BE403" s="121">
        <f>IF(N403="snížená",J403,0)</f>
        <v>0</v>
      </c>
      <c r="BF403" s="121">
        <f>IF(N403="zákl. přenesená",J403,0)</f>
        <v>0</v>
      </c>
      <c r="BG403" s="121">
        <f>IF(N403="sníž. přenesená",J403,0)</f>
        <v>0</v>
      </c>
      <c r="BH403" s="121">
        <f>IF(N403="nulová",J403,0)</f>
        <v>0</v>
      </c>
      <c r="BI403" s="17" t="s">
        <v>63</v>
      </c>
      <c r="BJ403" s="121">
        <f>ROUND(I403*H403,2)</f>
        <v>0</v>
      </c>
      <c r="BK403" s="17" t="s">
        <v>108</v>
      </c>
      <c r="BL403" s="120" t="s">
        <v>983</v>
      </c>
    </row>
    <row r="404" spans="2:64" s="1" customFormat="1" x14ac:dyDescent="0.2">
      <c r="B404" s="28"/>
      <c r="D404" s="122" t="s">
        <v>110</v>
      </c>
      <c r="F404" s="412" t="s">
        <v>984</v>
      </c>
      <c r="L404" s="28"/>
      <c r="M404" s="124"/>
      <c r="T404" s="48"/>
      <c r="V404" s="414"/>
      <c r="W404" s="424"/>
      <c r="AS404" s="17" t="s">
        <v>110</v>
      </c>
      <c r="AT404" s="17" t="s">
        <v>65</v>
      </c>
    </row>
    <row r="405" spans="2:64" s="1" customFormat="1" ht="24.2" customHeight="1" x14ac:dyDescent="0.2">
      <c r="B405" s="109"/>
      <c r="C405" s="143" t="s">
        <v>620</v>
      </c>
      <c r="D405" s="143" t="s">
        <v>252</v>
      </c>
      <c r="E405" s="144" t="s">
        <v>985</v>
      </c>
      <c r="F405" s="145" t="s">
        <v>986</v>
      </c>
      <c r="G405" s="146" t="s">
        <v>314</v>
      </c>
      <c r="H405" s="147">
        <v>1</v>
      </c>
      <c r="I405" s="148">
        <v>0</v>
      </c>
      <c r="J405" s="148">
        <f>ROUND(I405*H405,2)</f>
        <v>0</v>
      </c>
      <c r="K405" s="145" t="s">
        <v>987</v>
      </c>
      <c r="L405" s="149"/>
      <c r="M405" s="150"/>
      <c r="N405" s="151"/>
      <c r="O405" s="118"/>
      <c r="P405" s="118"/>
      <c r="Q405" s="118"/>
      <c r="R405" s="118"/>
      <c r="S405" s="118"/>
      <c r="T405" s="119"/>
      <c r="V405" s="414">
        <v>1</v>
      </c>
      <c r="W405" s="424">
        <v>1</v>
      </c>
      <c r="AQ405" s="120" t="s">
        <v>171</v>
      </c>
      <c r="AS405" s="120" t="s">
        <v>252</v>
      </c>
      <c r="AT405" s="120" t="s">
        <v>65</v>
      </c>
      <c r="AX405" s="17" t="s">
        <v>101</v>
      </c>
      <c r="BD405" s="121">
        <f>IF(N405="základní",J405,0)</f>
        <v>0</v>
      </c>
      <c r="BE405" s="121">
        <f>IF(N405="snížená",J405,0)</f>
        <v>0</v>
      </c>
      <c r="BF405" s="121">
        <f>IF(N405="zákl. přenesená",J405,0)</f>
        <v>0</v>
      </c>
      <c r="BG405" s="121">
        <f>IF(N405="sníž. přenesená",J405,0)</f>
        <v>0</v>
      </c>
      <c r="BH405" s="121">
        <f>IF(N405="nulová",J405,0)</f>
        <v>0</v>
      </c>
      <c r="BI405" s="17" t="s">
        <v>63</v>
      </c>
      <c r="BJ405" s="121">
        <f>ROUND(I405*H405,2)</f>
        <v>0</v>
      </c>
      <c r="BK405" s="17" t="s">
        <v>108</v>
      </c>
      <c r="BL405" s="120" t="s">
        <v>988</v>
      </c>
    </row>
    <row r="406" spans="2:64" s="1" customFormat="1" ht="24.2" customHeight="1" x14ac:dyDescent="0.2">
      <c r="B406" s="109"/>
      <c r="C406" s="143" t="s">
        <v>627</v>
      </c>
      <c r="D406" s="143" t="s">
        <v>252</v>
      </c>
      <c r="E406" s="144" t="s">
        <v>989</v>
      </c>
      <c r="F406" s="145" t="s">
        <v>990</v>
      </c>
      <c r="G406" s="146" t="s">
        <v>314</v>
      </c>
      <c r="H406" s="147">
        <v>1</v>
      </c>
      <c r="I406" s="148">
        <v>0</v>
      </c>
      <c r="J406" s="148">
        <f>ROUND(I406*H406,2)</f>
        <v>0</v>
      </c>
      <c r="K406" s="145" t="s">
        <v>107</v>
      </c>
      <c r="L406" s="149"/>
      <c r="M406" s="150"/>
      <c r="N406" s="151"/>
      <c r="O406" s="118"/>
      <c r="P406" s="118"/>
      <c r="Q406" s="118"/>
      <c r="R406" s="118"/>
      <c r="S406" s="118"/>
      <c r="T406" s="119"/>
      <c r="V406" s="414"/>
      <c r="W406" s="424"/>
      <c r="AQ406" s="120" t="s">
        <v>171</v>
      </c>
      <c r="AS406" s="120" t="s">
        <v>252</v>
      </c>
      <c r="AT406" s="120" t="s">
        <v>65</v>
      </c>
      <c r="AX406" s="17" t="s">
        <v>101</v>
      </c>
      <c r="BD406" s="121">
        <f>IF(N406="základní",J406,0)</f>
        <v>0</v>
      </c>
      <c r="BE406" s="121">
        <f>IF(N406="snížená",J406,0)</f>
        <v>0</v>
      </c>
      <c r="BF406" s="121">
        <f>IF(N406="zákl. přenesená",J406,0)</f>
        <v>0</v>
      </c>
      <c r="BG406" s="121">
        <f>IF(N406="sníž. přenesená",J406,0)</f>
        <v>0</v>
      </c>
      <c r="BH406" s="121">
        <f>IF(N406="nulová",J406,0)</f>
        <v>0</v>
      </c>
      <c r="BI406" s="17" t="s">
        <v>63</v>
      </c>
      <c r="BJ406" s="121">
        <f>ROUND(I406*H406,2)</f>
        <v>0</v>
      </c>
      <c r="BK406" s="17" t="s">
        <v>108</v>
      </c>
      <c r="BL406" s="120" t="s">
        <v>991</v>
      </c>
    </row>
    <row r="407" spans="2:64" s="1" customFormat="1" ht="24.2" customHeight="1" x14ac:dyDescent="0.2">
      <c r="B407" s="109"/>
      <c r="C407" s="143" t="s">
        <v>632</v>
      </c>
      <c r="D407" s="143" t="s">
        <v>252</v>
      </c>
      <c r="E407" s="144" t="s">
        <v>992</v>
      </c>
      <c r="F407" s="145" t="s">
        <v>993</v>
      </c>
      <c r="G407" s="146" t="s">
        <v>314</v>
      </c>
      <c r="H407" s="147">
        <v>1</v>
      </c>
      <c r="I407" s="148">
        <v>0</v>
      </c>
      <c r="J407" s="148">
        <f>ROUND(I407*H407,2)</f>
        <v>0</v>
      </c>
      <c r="K407" s="145" t="s">
        <v>107</v>
      </c>
      <c r="L407" s="149"/>
      <c r="M407" s="150"/>
      <c r="N407" s="151"/>
      <c r="O407" s="118"/>
      <c r="P407" s="118"/>
      <c r="Q407" s="118"/>
      <c r="R407" s="118"/>
      <c r="S407" s="118"/>
      <c r="T407" s="119"/>
      <c r="V407" s="414">
        <v>1</v>
      </c>
      <c r="W407" s="424">
        <v>1</v>
      </c>
      <c r="AQ407" s="120" t="s">
        <v>171</v>
      </c>
      <c r="AS407" s="120" t="s">
        <v>252</v>
      </c>
      <c r="AT407" s="120" t="s">
        <v>65</v>
      </c>
      <c r="AX407" s="17" t="s">
        <v>101</v>
      </c>
      <c r="BD407" s="121">
        <f>IF(N407="základní",J407,0)</f>
        <v>0</v>
      </c>
      <c r="BE407" s="121">
        <f>IF(N407="snížená",J407,0)</f>
        <v>0</v>
      </c>
      <c r="BF407" s="121">
        <f>IF(N407="zákl. přenesená",J407,0)</f>
        <v>0</v>
      </c>
      <c r="BG407" s="121">
        <f>IF(N407="sníž. přenesená",J407,0)</f>
        <v>0</v>
      </c>
      <c r="BH407" s="121">
        <f>IF(N407="nulová",J407,0)</f>
        <v>0</v>
      </c>
      <c r="BI407" s="17" t="s">
        <v>63</v>
      </c>
      <c r="BJ407" s="121">
        <f>ROUND(I407*H407,2)</f>
        <v>0</v>
      </c>
      <c r="BK407" s="17" t="s">
        <v>108</v>
      </c>
      <c r="BL407" s="120" t="s">
        <v>994</v>
      </c>
    </row>
    <row r="408" spans="2:64" s="1" customFormat="1" ht="24.2" customHeight="1" x14ac:dyDescent="0.2">
      <c r="B408" s="109"/>
      <c r="C408" s="143" t="s">
        <v>641</v>
      </c>
      <c r="D408" s="143" t="s">
        <v>252</v>
      </c>
      <c r="E408" s="144" t="s">
        <v>995</v>
      </c>
      <c r="F408" s="145" t="s">
        <v>996</v>
      </c>
      <c r="G408" s="146" t="s">
        <v>314</v>
      </c>
      <c r="H408" s="147">
        <v>2</v>
      </c>
      <c r="I408" s="148">
        <v>0</v>
      </c>
      <c r="J408" s="148">
        <f>ROUND(I408*H408,2)</f>
        <v>0</v>
      </c>
      <c r="K408" s="145" t="s">
        <v>107</v>
      </c>
      <c r="L408" s="149"/>
      <c r="M408" s="150"/>
      <c r="N408" s="151"/>
      <c r="O408" s="118"/>
      <c r="P408" s="118"/>
      <c r="Q408" s="118"/>
      <c r="R408" s="118"/>
      <c r="S408" s="118"/>
      <c r="T408" s="119"/>
      <c r="V408" s="414">
        <v>2</v>
      </c>
      <c r="W408" s="424">
        <v>7</v>
      </c>
      <c r="AQ408" s="120" t="s">
        <v>171</v>
      </c>
      <c r="AS408" s="120" t="s">
        <v>252</v>
      </c>
      <c r="AT408" s="120" t="s">
        <v>65</v>
      </c>
      <c r="AX408" s="17" t="s">
        <v>101</v>
      </c>
      <c r="BD408" s="121">
        <f>IF(N408="základní",J408,0)</f>
        <v>0</v>
      </c>
      <c r="BE408" s="121">
        <f>IF(N408="snížená",J408,0)</f>
        <v>0</v>
      </c>
      <c r="BF408" s="121">
        <f>IF(N408="zákl. přenesená",J408,0)</f>
        <v>0</v>
      </c>
      <c r="BG408" s="121">
        <f>IF(N408="sníž. přenesená",J408,0)</f>
        <v>0</v>
      </c>
      <c r="BH408" s="121">
        <f>IF(N408="nulová",J408,0)</f>
        <v>0</v>
      </c>
      <c r="BI408" s="17" t="s">
        <v>63</v>
      </c>
      <c r="BJ408" s="121">
        <f>ROUND(I408*H408,2)</f>
        <v>0</v>
      </c>
      <c r="BK408" s="17" t="s">
        <v>108</v>
      </c>
      <c r="BL408" s="120" t="s">
        <v>997</v>
      </c>
    </row>
    <row r="409" spans="2:64" s="1" customFormat="1" ht="24.2" customHeight="1" x14ac:dyDescent="0.2">
      <c r="B409" s="109"/>
      <c r="C409" s="110" t="s">
        <v>998</v>
      </c>
      <c r="D409" s="110" t="s">
        <v>103</v>
      </c>
      <c r="E409" s="111" t="s">
        <v>999</v>
      </c>
      <c r="F409" s="112" t="s">
        <v>1000</v>
      </c>
      <c r="G409" s="113" t="s">
        <v>314</v>
      </c>
      <c r="H409" s="114">
        <v>1</v>
      </c>
      <c r="I409" s="115">
        <v>0</v>
      </c>
      <c r="J409" s="115">
        <f>ROUND(I409*H409,2)</f>
        <v>0</v>
      </c>
      <c r="K409" s="112" t="s">
        <v>107</v>
      </c>
      <c r="L409" s="28"/>
      <c r="M409" s="116"/>
      <c r="N409" s="117"/>
      <c r="O409" s="118"/>
      <c r="P409" s="118"/>
      <c r="Q409" s="118"/>
      <c r="R409" s="118"/>
      <c r="S409" s="118"/>
      <c r="T409" s="119"/>
      <c r="V409" s="414">
        <v>1</v>
      </c>
      <c r="W409" s="424">
        <v>3</v>
      </c>
      <c r="AQ409" s="120" t="s">
        <v>108</v>
      </c>
      <c r="AS409" s="120" t="s">
        <v>103</v>
      </c>
      <c r="AT409" s="120" t="s">
        <v>65</v>
      </c>
      <c r="AX409" s="17" t="s">
        <v>101</v>
      </c>
      <c r="BD409" s="121">
        <f>IF(N409="základní",J409,0)</f>
        <v>0</v>
      </c>
      <c r="BE409" s="121">
        <f>IF(N409="snížená",J409,0)</f>
        <v>0</v>
      </c>
      <c r="BF409" s="121">
        <f>IF(N409="zákl. přenesená",J409,0)</f>
        <v>0</v>
      </c>
      <c r="BG409" s="121">
        <f>IF(N409="sníž. přenesená",J409,0)</f>
        <v>0</v>
      </c>
      <c r="BH409" s="121">
        <f>IF(N409="nulová",J409,0)</f>
        <v>0</v>
      </c>
      <c r="BI409" s="17" t="s">
        <v>63</v>
      </c>
      <c r="BJ409" s="121">
        <f>ROUND(I409*H409,2)</f>
        <v>0</v>
      </c>
      <c r="BK409" s="17" t="s">
        <v>108</v>
      </c>
      <c r="BL409" s="120" t="s">
        <v>1001</v>
      </c>
    </row>
    <row r="410" spans="2:64" s="1" customFormat="1" x14ac:dyDescent="0.2">
      <c r="B410" s="28"/>
      <c r="D410" s="122" t="s">
        <v>110</v>
      </c>
      <c r="F410" s="412" t="s">
        <v>1002</v>
      </c>
      <c r="L410" s="28"/>
      <c r="M410" s="124"/>
      <c r="T410" s="48"/>
      <c r="V410" s="414"/>
      <c r="W410" s="424"/>
      <c r="AS410" s="17" t="s">
        <v>110</v>
      </c>
      <c r="AT410" s="17" t="s">
        <v>65</v>
      </c>
    </row>
    <row r="411" spans="2:64" s="1" customFormat="1" ht="24.2" customHeight="1" x14ac:dyDescent="0.2">
      <c r="B411" s="109"/>
      <c r="C411" s="143" t="s">
        <v>1003</v>
      </c>
      <c r="D411" s="143" t="s">
        <v>252</v>
      </c>
      <c r="E411" s="144" t="s">
        <v>1004</v>
      </c>
      <c r="F411" s="145" t="s">
        <v>1005</v>
      </c>
      <c r="G411" s="146" t="s">
        <v>314</v>
      </c>
      <c r="H411" s="147">
        <v>1</v>
      </c>
      <c r="I411" s="148">
        <v>0</v>
      </c>
      <c r="J411" s="148">
        <f>ROUND(I411*H411,2)</f>
        <v>0</v>
      </c>
      <c r="K411" s="145" t="s">
        <v>1</v>
      </c>
      <c r="L411" s="149"/>
      <c r="M411" s="150"/>
      <c r="N411" s="151"/>
      <c r="O411" s="118"/>
      <c r="P411" s="118"/>
      <c r="Q411" s="118"/>
      <c r="R411" s="118"/>
      <c r="S411" s="118"/>
      <c r="T411" s="119"/>
      <c r="V411" s="414"/>
      <c r="W411" s="424"/>
      <c r="AQ411" s="120" t="s">
        <v>171</v>
      </c>
      <c r="AS411" s="120" t="s">
        <v>252</v>
      </c>
      <c r="AT411" s="120" t="s">
        <v>65</v>
      </c>
      <c r="AX411" s="17" t="s">
        <v>101</v>
      </c>
      <c r="BD411" s="121">
        <f>IF(N411="základní",J411,0)</f>
        <v>0</v>
      </c>
      <c r="BE411" s="121">
        <f>IF(N411="snížená",J411,0)</f>
        <v>0</v>
      </c>
      <c r="BF411" s="121">
        <f>IF(N411="zákl. přenesená",J411,0)</f>
        <v>0</v>
      </c>
      <c r="BG411" s="121">
        <f>IF(N411="sníž. přenesená",J411,0)</f>
        <v>0</v>
      </c>
      <c r="BH411" s="121">
        <f>IF(N411="nulová",J411,0)</f>
        <v>0</v>
      </c>
      <c r="BI411" s="17" t="s">
        <v>63</v>
      </c>
      <c r="BJ411" s="121">
        <f>ROUND(I411*H411,2)</f>
        <v>0</v>
      </c>
      <c r="BK411" s="17" t="s">
        <v>108</v>
      </c>
      <c r="BL411" s="120" t="s">
        <v>1006</v>
      </c>
    </row>
    <row r="412" spans="2:64" s="1" customFormat="1" ht="16.5" customHeight="1" x14ac:dyDescent="0.2">
      <c r="B412" s="109"/>
      <c r="C412" s="143" t="s">
        <v>1011</v>
      </c>
      <c r="D412" s="143" t="s">
        <v>252</v>
      </c>
      <c r="E412" s="144" t="s">
        <v>1012</v>
      </c>
      <c r="F412" s="145" t="s">
        <v>1013</v>
      </c>
      <c r="G412" s="146" t="s">
        <v>314</v>
      </c>
      <c r="H412" s="147">
        <v>1</v>
      </c>
      <c r="I412" s="148">
        <v>0</v>
      </c>
      <c r="J412" s="148">
        <f>ROUND(I412*H412,2)</f>
        <v>0</v>
      </c>
      <c r="K412" s="145" t="s">
        <v>1</v>
      </c>
      <c r="L412" s="149"/>
      <c r="M412" s="150"/>
      <c r="N412" s="151"/>
      <c r="O412" s="118"/>
      <c r="P412" s="118"/>
      <c r="Q412" s="118"/>
      <c r="R412" s="118"/>
      <c r="S412" s="118"/>
      <c r="T412" s="119"/>
      <c r="V412" s="414">
        <v>1</v>
      </c>
      <c r="W412" s="424">
        <v>1</v>
      </c>
      <c r="AQ412" s="120" t="s">
        <v>171</v>
      </c>
      <c r="AS412" s="120" t="s">
        <v>252</v>
      </c>
      <c r="AT412" s="120" t="s">
        <v>65</v>
      </c>
      <c r="AX412" s="17" t="s">
        <v>101</v>
      </c>
      <c r="BD412" s="121">
        <f>IF(N412="základní",J412,0)</f>
        <v>0</v>
      </c>
      <c r="BE412" s="121">
        <f>IF(N412="snížená",J412,0)</f>
        <v>0</v>
      </c>
      <c r="BF412" s="121">
        <f>IF(N412="zákl. přenesená",J412,0)</f>
        <v>0</v>
      </c>
      <c r="BG412" s="121">
        <f>IF(N412="sníž. přenesená",J412,0)</f>
        <v>0</v>
      </c>
      <c r="BH412" s="121">
        <f>IF(N412="nulová",J412,0)</f>
        <v>0</v>
      </c>
      <c r="BI412" s="17" t="s">
        <v>63</v>
      </c>
      <c r="BJ412" s="121">
        <f>ROUND(I412*H412,2)</f>
        <v>0</v>
      </c>
      <c r="BK412" s="17" t="s">
        <v>108</v>
      </c>
      <c r="BL412" s="120" t="s">
        <v>1014</v>
      </c>
    </row>
    <row r="413" spans="2:64" s="1" customFormat="1" ht="24.2" customHeight="1" x14ac:dyDescent="0.2">
      <c r="B413" s="109"/>
      <c r="C413" s="110" t="s">
        <v>1015</v>
      </c>
      <c r="D413" s="110" t="s">
        <v>103</v>
      </c>
      <c r="E413" s="111" t="s">
        <v>1016</v>
      </c>
      <c r="F413" s="112" t="s">
        <v>1017</v>
      </c>
      <c r="G413" s="113" t="s">
        <v>314</v>
      </c>
      <c r="H413" s="114">
        <v>1</v>
      </c>
      <c r="I413" s="115">
        <v>0</v>
      </c>
      <c r="J413" s="115">
        <f>ROUND(I413*H413,2)</f>
        <v>0</v>
      </c>
      <c r="K413" s="112" t="s">
        <v>107</v>
      </c>
      <c r="L413" s="28"/>
      <c r="M413" s="116"/>
      <c r="N413" s="117"/>
      <c r="O413" s="118"/>
      <c r="P413" s="118"/>
      <c r="Q413" s="118"/>
      <c r="R413" s="118"/>
      <c r="S413" s="118"/>
      <c r="T413" s="119"/>
      <c r="V413" s="414">
        <v>1</v>
      </c>
      <c r="W413" s="424">
        <v>3</v>
      </c>
      <c r="AQ413" s="120" t="s">
        <v>108</v>
      </c>
      <c r="AS413" s="120" t="s">
        <v>103</v>
      </c>
      <c r="AT413" s="120" t="s">
        <v>65</v>
      </c>
      <c r="AX413" s="17" t="s">
        <v>101</v>
      </c>
      <c r="BD413" s="121">
        <f>IF(N413="základní",J413,0)</f>
        <v>0</v>
      </c>
      <c r="BE413" s="121">
        <f>IF(N413="snížená",J413,0)</f>
        <v>0</v>
      </c>
      <c r="BF413" s="121">
        <f>IF(N413="zákl. přenesená",J413,0)</f>
        <v>0</v>
      </c>
      <c r="BG413" s="121">
        <f>IF(N413="sníž. přenesená",J413,0)</f>
        <v>0</v>
      </c>
      <c r="BH413" s="121">
        <f>IF(N413="nulová",J413,0)</f>
        <v>0</v>
      </c>
      <c r="BI413" s="17" t="s">
        <v>63</v>
      </c>
      <c r="BJ413" s="121">
        <f>ROUND(I413*H413,2)</f>
        <v>0</v>
      </c>
      <c r="BK413" s="17" t="s">
        <v>108</v>
      </c>
      <c r="BL413" s="120" t="s">
        <v>1018</v>
      </c>
    </row>
    <row r="414" spans="2:64" s="1" customFormat="1" x14ac:dyDescent="0.2">
      <c r="B414" s="28"/>
      <c r="D414" s="122" t="s">
        <v>110</v>
      </c>
      <c r="F414" s="412" t="s">
        <v>1019</v>
      </c>
      <c r="L414" s="28"/>
      <c r="M414" s="124"/>
      <c r="T414" s="48"/>
      <c r="V414" s="414"/>
      <c r="W414" s="424"/>
      <c r="AS414" s="17" t="s">
        <v>110</v>
      </c>
      <c r="AT414" s="17" t="s">
        <v>65</v>
      </c>
    </row>
    <row r="415" spans="2:64" s="1" customFormat="1" ht="16.5" customHeight="1" x14ac:dyDescent="0.2">
      <c r="B415" s="109"/>
      <c r="C415" s="143" t="s">
        <v>1020</v>
      </c>
      <c r="D415" s="143" t="s">
        <v>252</v>
      </c>
      <c r="E415" s="144" t="s">
        <v>1021</v>
      </c>
      <c r="F415" s="145" t="s">
        <v>1022</v>
      </c>
      <c r="G415" s="146" t="s">
        <v>314</v>
      </c>
      <c r="H415" s="147">
        <v>1</v>
      </c>
      <c r="I415" s="148">
        <v>0</v>
      </c>
      <c r="J415" s="148">
        <f>ROUND(I415*H415,2)</f>
        <v>0</v>
      </c>
      <c r="K415" s="145" t="s">
        <v>1</v>
      </c>
      <c r="L415" s="149"/>
      <c r="M415" s="150"/>
      <c r="N415" s="151"/>
      <c r="O415" s="118"/>
      <c r="P415" s="118"/>
      <c r="Q415" s="118"/>
      <c r="R415" s="118"/>
      <c r="S415" s="118"/>
      <c r="T415" s="119"/>
      <c r="V415" s="414">
        <v>1</v>
      </c>
      <c r="W415" s="424">
        <v>3</v>
      </c>
      <c r="AQ415" s="120" t="s">
        <v>171</v>
      </c>
      <c r="AS415" s="120" t="s">
        <v>252</v>
      </c>
      <c r="AT415" s="120" t="s">
        <v>65</v>
      </c>
      <c r="AX415" s="17" t="s">
        <v>101</v>
      </c>
      <c r="BD415" s="121">
        <f>IF(N415="základní",J415,0)</f>
        <v>0</v>
      </c>
      <c r="BE415" s="121">
        <f>IF(N415="snížená",J415,0)</f>
        <v>0</v>
      </c>
      <c r="BF415" s="121">
        <f>IF(N415="zákl. přenesená",J415,0)</f>
        <v>0</v>
      </c>
      <c r="BG415" s="121">
        <f>IF(N415="sníž. přenesená",J415,0)</f>
        <v>0</v>
      </c>
      <c r="BH415" s="121">
        <f>IF(N415="nulová",J415,0)</f>
        <v>0</v>
      </c>
      <c r="BI415" s="17" t="s">
        <v>63</v>
      </c>
      <c r="BJ415" s="121">
        <f>ROUND(I415*H415,2)</f>
        <v>0</v>
      </c>
      <c r="BK415" s="17" t="s">
        <v>108</v>
      </c>
      <c r="BL415" s="120" t="s">
        <v>1023</v>
      </c>
    </row>
    <row r="416" spans="2:64" s="1" customFormat="1" ht="37.9" customHeight="1" x14ac:dyDescent="0.2">
      <c r="B416" s="109"/>
      <c r="C416" s="110" t="s">
        <v>1024</v>
      </c>
      <c r="D416" s="110" t="s">
        <v>103</v>
      </c>
      <c r="E416" s="111" t="s">
        <v>1025</v>
      </c>
      <c r="F416" s="112" t="s">
        <v>1026</v>
      </c>
      <c r="G416" s="113" t="s">
        <v>314</v>
      </c>
      <c r="H416" s="114">
        <v>1</v>
      </c>
      <c r="I416" s="115">
        <v>0</v>
      </c>
      <c r="J416" s="115">
        <f>ROUND(I416*H416,2)</f>
        <v>0</v>
      </c>
      <c r="K416" s="112" t="s">
        <v>107</v>
      </c>
      <c r="L416" s="28"/>
      <c r="M416" s="116"/>
      <c r="N416" s="117"/>
      <c r="O416" s="118"/>
      <c r="P416" s="118"/>
      <c r="Q416" s="118"/>
      <c r="R416" s="118"/>
      <c r="S416" s="118"/>
      <c r="T416" s="119"/>
      <c r="V416" s="414">
        <v>1</v>
      </c>
      <c r="W416" s="424">
        <v>4</v>
      </c>
      <c r="AQ416" s="120" t="s">
        <v>108</v>
      </c>
      <c r="AS416" s="120" t="s">
        <v>103</v>
      </c>
      <c r="AT416" s="120" t="s">
        <v>65</v>
      </c>
      <c r="AX416" s="17" t="s">
        <v>101</v>
      </c>
      <c r="BD416" s="121">
        <f>IF(N416="základní",J416,0)</f>
        <v>0</v>
      </c>
      <c r="BE416" s="121">
        <f>IF(N416="snížená",J416,0)</f>
        <v>0</v>
      </c>
      <c r="BF416" s="121">
        <f>IF(N416="zákl. přenesená",J416,0)</f>
        <v>0</v>
      </c>
      <c r="BG416" s="121">
        <f>IF(N416="sníž. přenesená",J416,0)</f>
        <v>0</v>
      </c>
      <c r="BH416" s="121">
        <f>IF(N416="nulová",J416,0)</f>
        <v>0</v>
      </c>
      <c r="BI416" s="17" t="s">
        <v>63</v>
      </c>
      <c r="BJ416" s="121">
        <f>ROUND(I416*H416,2)</f>
        <v>0</v>
      </c>
      <c r="BK416" s="17" t="s">
        <v>108</v>
      </c>
      <c r="BL416" s="120" t="s">
        <v>1027</v>
      </c>
    </row>
    <row r="417" spans="2:64" s="1" customFormat="1" x14ac:dyDescent="0.2">
      <c r="B417" s="28"/>
      <c r="D417" s="122" t="s">
        <v>110</v>
      </c>
      <c r="F417" s="412" t="s">
        <v>1028</v>
      </c>
      <c r="L417" s="28"/>
      <c r="M417" s="124"/>
      <c r="T417" s="48"/>
      <c r="V417" s="414"/>
      <c r="W417" s="424"/>
      <c r="AS417" s="17" t="s">
        <v>110</v>
      </c>
      <c r="AT417" s="17" t="s">
        <v>65</v>
      </c>
    </row>
    <row r="418" spans="2:64" s="1" customFormat="1" ht="33" customHeight="1" x14ac:dyDescent="0.2">
      <c r="B418" s="109"/>
      <c r="C418" s="143" t="s">
        <v>1029</v>
      </c>
      <c r="D418" s="143" t="s">
        <v>252</v>
      </c>
      <c r="E418" s="144" t="s">
        <v>1030</v>
      </c>
      <c r="F418" s="145" t="s">
        <v>1031</v>
      </c>
      <c r="G418" s="146" t="s">
        <v>314</v>
      </c>
      <c r="H418" s="147">
        <v>1</v>
      </c>
      <c r="I418" s="148">
        <v>0</v>
      </c>
      <c r="J418" s="148">
        <f>ROUND(I418*H418,2)</f>
        <v>0</v>
      </c>
      <c r="K418" s="145" t="s">
        <v>107</v>
      </c>
      <c r="L418" s="149"/>
      <c r="M418" s="150"/>
      <c r="N418" s="151"/>
      <c r="O418" s="118"/>
      <c r="P418" s="118"/>
      <c r="Q418" s="118"/>
      <c r="R418" s="118"/>
      <c r="S418" s="118"/>
      <c r="T418" s="119"/>
      <c r="V418" s="414">
        <v>1</v>
      </c>
      <c r="W418" s="424">
        <v>3</v>
      </c>
      <c r="AQ418" s="120" t="s">
        <v>171</v>
      </c>
      <c r="AS418" s="120" t="s">
        <v>252</v>
      </c>
      <c r="AT418" s="120" t="s">
        <v>65</v>
      </c>
      <c r="AX418" s="17" t="s">
        <v>101</v>
      </c>
      <c r="BD418" s="121">
        <f>IF(N418="základní",J418,0)</f>
        <v>0</v>
      </c>
      <c r="BE418" s="121">
        <f>IF(N418="snížená",J418,0)</f>
        <v>0</v>
      </c>
      <c r="BF418" s="121">
        <f>IF(N418="zákl. přenesená",J418,0)</f>
        <v>0</v>
      </c>
      <c r="BG418" s="121">
        <f>IF(N418="sníž. přenesená",J418,0)</f>
        <v>0</v>
      </c>
      <c r="BH418" s="121">
        <f>IF(N418="nulová",J418,0)</f>
        <v>0</v>
      </c>
      <c r="BI418" s="17" t="s">
        <v>63</v>
      </c>
      <c r="BJ418" s="121">
        <f>ROUND(I418*H418,2)</f>
        <v>0</v>
      </c>
      <c r="BK418" s="17" t="s">
        <v>108</v>
      </c>
      <c r="BL418" s="120" t="s">
        <v>1032</v>
      </c>
    </row>
    <row r="419" spans="2:64" s="1" customFormat="1" ht="16.5" customHeight="1" x14ac:dyDescent="0.2">
      <c r="B419" s="109"/>
      <c r="C419" s="143" t="s">
        <v>1033</v>
      </c>
      <c r="D419" s="143" t="s">
        <v>252</v>
      </c>
      <c r="E419" s="144" t="s">
        <v>1034</v>
      </c>
      <c r="F419" s="145" t="s">
        <v>1035</v>
      </c>
      <c r="G419" s="146" t="s">
        <v>314</v>
      </c>
      <c r="H419" s="147">
        <v>1</v>
      </c>
      <c r="I419" s="148">
        <v>0</v>
      </c>
      <c r="J419" s="148">
        <f>ROUND(I419*H419,2)</f>
        <v>0</v>
      </c>
      <c r="K419" s="145" t="s">
        <v>1</v>
      </c>
      <c r="L419" s="149"/>
      <c r="M419" s="150"/>
      <c r="N419" s="151"/>
      <c r="O419" s="118"/>
      <c r="P419" s="118"/>
      <c r="Q419" s="118"/>
      <c r="R419" s="118"/>
      <c r="S419" s="118"/>
      <c r="T419" s="119"/>
      <c r="V419" s="414"/>
      <c r="W419" s="424"/>
      <c r="AQ419" s="120" t="s">
        <v>171</v>
      </c>
      <c r="AS419" s="120" t="s">
        <v>252</v>
      </c>
      <c r="AT419" s="120" t="s">
        <v>65</v>
      </c>
      <c r="AX419" s="17" t="s">
        <v>101</v>
      </c>
      <c r="BD419" s="121">
        <f>IF(N419="základní",J419,0)</f>
        <v>0</v>
      </c>
      <c r="BE419" s="121">
        <f>IF(N419="snížená",J419,0)</f>
        <v>0</v>
      </c>
      <c r="BF419" s="121">
        <f>IF(N419="zákl. přenesená",J419,0)</f>
        <v>0</v>
      </c>
      <c r="BG419" s="121">
        <f>IF(N419="sníž. přenesená",J419,0)</f>
        <v>0</v>
      </c>
      <c r="BH419" s="121">
        <f>IF(N419="nulová",J419,0)</f>
        <v>0</v>
      </c>
      <c r="BI419" s="17" t="s">
        <v>63</v>
      </c>
      <c r="BJ419" s="121">
        <f>ROUND(I419*H419,2)</f>
        <v>0</v>
      </c>
      <c r="BK419" s="17" t="s">
        <v>108</v>
      </c>
      <c r="BL419" s="120" t="s">
        <v>1036</v>
      </c>
    </row>
    <row r="420" spans="2:64" s="1" customFormat="1" ht="16.5" customHeight="1" x14ac:dyDescent="0.2">
      <c r="B420" s="109"/>
      <c r="C420" s="110" t="s">
        <v>1037</v>
      </c>
      <c r="D420" s="110" t="s">
        <v>103</v>
      </c>
      <c r="E420" s="111" t="s">
        <v>585</v>
      </c>
      <c r="F420" s="112" t="s">
        <v>586</v>
      </c>
      <c r="G420" s="113" t="s">
        <v>314</v>
      </c>
      <c r="H420" s="114">
        <v>2</v>
      </c>
      <c r="I420" s="115">
        <v>0</v>
      </c>
      <c r="J420" s="115">
        <f>ROUND(I420*H420,2)</f>
        <v>0</v>
      </c>
      <c r="K420" s="112" t="s">
        <v>107</v>
      </c>
      <c r="L420" s="28"/>
      <c r="M420" s="116"/>
      <c r="N420" s="117"/>
      <c r="O420" s="118"/>
      <c r="P420" s="118"/>
      <c r="Q420" s="118"/>
      <c r="R420" s="118"/>
      <c r="S420" s="118"/>
      <c r="T420" s="119"/>
      <c r="V420" s="414">
        <v>2</v>
      </c>
      <c r="W420" s="424">
        <v>7</v>
      </c>
      <c r="AQ420" s="120" t="s">
        <v>108</v>
      </c>
      <c r="AS420" s="120" t="s">
        <v>103</v>
      </c>
      <c r="AT420" s="120" t="s">
        <v>65</v>
      </c>
      <c r="AX420" s="17" t="s">
        <v>101</v>
      </c>
      <c r="BD420" s="121">
        <f>IF(N420="základní",J420,0)</f>
        <v>0</v>
      </c>
      <c r="BE420" s="121">
        <f>IF(N420="snížená",J420,0)</f>
        <v>0</v>
      </c>
      <c r="BF420" s="121">
        <f>IF(N420="zákl. přenesená",J420,0)</f>
        <v>0</v>
      </c>
      <c r="BG420" s="121">
        <f>IF(N420="sníž. přenesená",J420,0)</f>
        <v>0</v>
      </c>
      <c r="BH420" s="121">
        <f>IF(N420="nulová",J420,0)</f>
        <v>0</v>
      </c>
      <c r="BI420" s="17" t="s">
        <v>63</v>
      </c>
      <c r="BJ420" s="121">
        <f>ROUND(I420*H420,2)</f>
        <v>0</v>
      </c>
      <c r="BK420" s="17" t="s">
        <v>108</v>
      </c>
      <c r="BL420" s="120" t="s">
        <v>1038</v>
      </c>
    </row>
    <row r="421" spans="2:64" s="1" customFormat="1" x14ac:dyDescent="0.2">
      <c r="B421" s="28"/>
      <c r="D421" s="122" t="s">
        <v>110</v>
      </c>
      <c r="F421" s="412" t="s">
        <v>588</v>
      </c>
      <c r="L421" s="28"/>
      <c r="M421" s="124"/>
      <c r="T421" s="48"/>
      <c r="V421" s="414"/>
      <c r="W421" s="424"/>
      <c r="AS421" s="17" t="s">
        <v>110</v>
      </c>
      <c r="AT421" s="17" t="s">
        <v>65</v>
      </c>
    </row>
    <row r="422" spans="2:64" s="1" customFormat="1" ht="24.2" customHeight="1" x14ac:dyDescent="0.2">
      <c r="B422" s="109"/>
      <c r="C422" s="143" t="s">
        <v>1039</v>
      </c>
      <c r="D422" s="143" t="s">
        <v>252</v>
      </c>
      <c r="E422" s="144" t="s">
        <v>590</v>
      </c>
      <c r="F422" s="145" t="s">
        <v>591</v>
      </c>
      <c r="G422" s="146" t="s">
        <v>314</v>
      </c>
      <c r="H422" s="147">
        <v>2</v>
      </c>
      <c r="I422" s="148">
        <v>0</v>
      </c>
      <c r="J422" s="148">
        <f>ROUND(I422*H422,2)</f>
        <v>0</v>
      </c>
      <c r="K422" s="145" t="s">
        <v>107</v>
      </c>
      <c r="L422" s="149"/>
      <c r="M422" s="150"/>
      <c r="N422" s="151"/>
      <c r="O422" s="118"/>
      <c r="P422" s="118"/>
      <c r="Q422" s="118"/>
      <c r="R422" s="118"/>
      <c r="S422" s="118"/>
      <c r="T422" s="119"/>
      <c r="V422" s="414">
        <v>2</v>
      </c>
      <c r="W422" s="424">
        <v>7</v>
      </c>
      <c r="AQ422" s="120" t="s">
        <v>171</v>
      </c>
      <c r="AS422" s="120" t="s">
        <v>252</v>
      </c>
      <c r="AT422" s="120" t="s">
        <v>65</v>
      </c>
      <c r="AX422" s="17" t="s">
        <v>101</v>
      </c>
      <c r="BD422" s="121">
        <f>IF(N422="základní",J422,0)</f>
        <v>0</v>
      </c>
      <c r="BE422" s="121">
        <f>IF(N422="snížená",J422,0)</f>
        <v>0</v>
      </c>
      <c r="BF422" s="121">
        <f>IF(N422="zákl. přenesená",J422,0)</f>
        <v>0</v>
      </c>
      <c r="BG422" s="121">
        <f>IF(N422="sníž. přenesená",J422,0)</f>
        <v>0</v>
      </c>
      <c r="BH422" s="121">
        <f>IF(N422="nulová",J422,0)</f>
        <v>0</v>
      </c>
      <c r="BI422" s="17" t="s">
        <v>63</v>
      </c>
      <c r="BJ422" s="121">
        <f>ROUND(I422*H422,2)</f>
        <v>0</v>
      </c>
      <c r="BK422" s="17" t="s">
        <v>108</v>
      </c>
      <c r="BL422" s="120" t="s">
        <v>1040</v>
      </c>
    </row>
    <row r="423" spans="2:64" s="13" customFormat="1" ht="22.5" x14ac:dyDescent="0.2">
      <c r="B423" s="131"/>
      <c r="D423" s="126" t="s">
        <v>112</v>
      </c>
      <c r="E423" s="132" t="s">
        <v>1</v>
      </c>
      <c r="F423" s="133" t="s">
        <v>1041</v>
      </c>
      <c r="H423" s="134">
        <v>2</v>
      </c>
      <c r="L423" s="131"/>
      <c r="M423" s="135"/>
      <c r="T423" s="136"/>
      <c r="V423" s="414"/>
      <c r="W423" s="424"/>
      <c r="AS423" s="132" t="s">
        <v>112</v>
      </c>
      <c r="AT423" s="132" t="s">
        <v>65</v>
      </c>
      <c r="AU423" s="13" t="s">
        <v>65</v>
      </c>
      <c r="AV423" s="13" t="s">
        <v>30</v>
      </c>
      <c r="AW423" s="13" t="s">
        <v>63</v>
      </c>
      <c r="AX423" s="132" t="s">
        <v>101</v>
      </c>
    </row>
    <row r="424" spans="2:64" s="1" customFormat="1" ht="24.2" customHeight="1" x14ac:dyDescent="0.2">
      <c r="B424" s="109"/>
      <c r="C424" s="143" t="s">
        <v>1042</v>
      </c>
      <c r="D424" s="143" t="s">
        <v>252</v>
      </c>
      <c r="E424" s="144" t="s">
        <v>594</v>
      </c>
      <c r="F424" s="145" t="s">
        <v>595</v>
      </c>
      <c r="G424" s="146" t="s">
        <v>314</v>
      </c>
      <c r="H424" s="147">
        <v>2</v>
      </c>
      <c r="I424" s="148">
        <v>0</v>
      </c>
      <c r="J424" s="148">
        <f>ROUND(I424*H424,2)</f>
        <v>0</v>
      </c>
      <c r="K424" s="145" t="s">
        <v>107</v>
      </c>
      <c r="L424" s="149"/>
      <c r="M424" s="150"/>
      <c r="N424" s="151"/>
      <c r="O424" s="118"/>
      <c r="P424" s="118"/>
      <c r="Q424" s="118"/>
      <c r="R424" s="118"/>
      <c r="S424" s="118"/>
      <c r="T424" s="119"/>
      <c r="V424" s="414">
        <v>2</v>
      </c>
      <c r="W424" s="424">
        <v>7</v>
      </c>
      <c r="AQ424" s="120" t="s">
        <v>171</v>
      </c>
      <c r="AS424" s="120" t="s">
        <v>252</v>
      </c>
      <c r="AT424" s="120" t="s">
        <v>65</v>
      </c>
      <c r="AX424" s="17" t="s">
        <v>101</v>
      </c>
      <c r="BD424" s="121">
        <f>IF(N424="základní",J424,0)</f>
        <v>0</v>
      </c>
      <c r="BE424" s="121">
        <f>IF(N424="snížená",J424,0)</f>
        <v>0</v>
      </c>
      <c r="BF424" s="121">
        <f>IF(N424="zákl. přenesená",J424,0)</f>
        <v>0</v>
      </c>
      <c r="BG424" s="121">
        <f>IF(N424="sníž. přenesená",J424,0)</f>
        <v>0</v>
      </c>
      <c r="BH424" s="121">
        <f>IF(N424="nulová",J424,0)</f>
        <v>0</v>
      </c>
      <c r="BI424" s="17" t="s">
        <v>63</v>
      </c>
      <c r="BJ424" s="121">
        <f>ROUND(I424*H424,2)</f>
        <v>0</v>
      </c>
      <c r="BK424" s="17" t="s">
        <v>108</v>
      </c>
      <c r="BL424" s="120" t="s">
        <v>1043</v>
      </c>
    </row>
    <row r="425" spans="2:64" s="1" customFormat="1" ht="33" customHeight="1" x14ac:dyDescent="0.2">
      <c r="B425" s="109"/>
      <c r="C425" s="110" t="s">
        <v>1044</v>
      </c>
      <c r="D425" s="110" t="s">
        <v>103</v>
      </c>
      <c r="E425" s="111" t="s">
        <v>611</v>
      </c>
      <c r="F425" s="112" t="s">
        <v>612</v>
      </c>
      <c r="G425" s="113" t="s">
        <v>314</v>
      </c>
      <c r="H425" s="114">
        <v>2</v>
      </c>
      <c r="I425" s="115">
        <v>0</v>
      </c>
      <c r="J425" s="115">
        <f>ROUND(I425*H425,2)</f>
        <v>0</v>
      </c>
      <c r="K425" s="112" t="s">
        <v>107</v>
      </c>
      <c r="L425" s="28"/>
      <c r="M425" s="116"/>
      <c r="N425" s="117"/>
      <c r="O425" s="118"/>
      <c r="P425" s="118"/>
      <c r="Q425" s="118"/>
      <c r="R425" s="118"/>
      <c r="S425" s="118"/>
      <c r="T425" s="119"/>
      <c r="V425" s="414">
        <v>2</v>
      </c>
      <c r="W425" s="424">
        <v>10</v>
      </c>
      <c r="AQ425" s="120" t="s">
        <v>108</v>
      </c>
      <c r="AS425" s="120" t="s">
        <v>103</v>
      </c>
      <c r="AT425" s="120" t="s">
        <v>65</v>
      </c>
      <c r="AX425" s="17" t="s">
        <v>101</v>
      </c>
      <c r="BD425" s="121">
        <f>IF(N425="základní",J425,0)</f>
        <v>0</v>
      </c>
      <c r="BE425" s="121">
        <f>IF(N425="snížená",J425,0)</f>
        <v>0</v>
      </c>
      <c r="BF425" s="121">
        <f>IF(N425="zákl. přenesená",J425,0)</f>
        <v>0</v>
      </c>
      <c r="BG425" s="121">
        <f>IF(N425="sníž. přenesená",J425,0)</f>
        <v>0</v>
      </c>
      <c r="BH425" s="121">
        <f>IF(N425="nulová",J425,0)</f>
        <v>0</v>
      </c>
      <c r="BI425" s="17" t="s">
        <v>63</v>
      </c>
      <c r="BJ425" s="121">
        <f>ROUND(I425*H425,2)</f>
        <v>0</v>
      </c>
      <c r="BK425" s="17" t="s">
        <v>108</v>
      </c>
      <c r="BL425" s="120" t="s">
        <v>1045</v>
      </c>
    </row>
    <row r="426" spans="2:64" s="1" customFormat="1" x14ac:dyDescent="0.2">
      <c r="B426" s="28"/>
      <c r="D426" s="122" t="s">
        <v>110</v>
      </c>
      <c r="F426" s="412" t="s">
        <v>614</v>
      </c>
      <c r="L426" s="28"/>
      <c r="M426" s="124"/>
      <c r="T426" s="48"/>
      <c r="V426" s="414"/>
      <c r="W426" s="424"/>
      <c r="AS426" s="17" t="s">
        <v>110</v>
      </c>
      <c r="AT426" s="17" t="s">
        <v>65</v>
      </c>
    </row>
    <row r="427" spans="2:64" s="1" customFormat="1" ht="16.5" customHeight="1" x14ac:dyDescent="0.2">
      <c r="B427" s="109"/>
      <c r="C427" s="110" t="s">
        <v>1046</v>
      </c>
      <c r="D427" s="110" t="s">
        <v>103</v>
      </c>
      <c r="E427" s="111" t="s">
        <v>616</v>
      </c>
      <c r="F427" s="112" t="s">
        <v>617</v>
      </c>
      <c r="G427" s="113" t="s">
        <v>106</v>
      </c>
      <c r="H427" s="114">
        <f>439*0.18</f>
        <v>79.02</v>
      </c>
      <c r="I427" s="115">
        <v>0</v>
      </c>
      <c r="J427" s="115">
        <f>ROUND(I427*H427,2)</f>
        <v>0</v>
      </c>
      <c r="K427" s="112" t="s">
        <v>107</v>
      </c>
      <c r="L427" s="28"/>
      <c r="M427" s="116"/>
      <c r="N427" s="117"/>
      <c r="O427" s="118"/>
      <c r="P427" s="118"/>
      <c r="Q427" s="118"/>
      <c r="R427" s="118"/>
      <c r="S427" s="118"/>
      <c r="T427" s="119"/>
      <c r="V427" s="414"/>
      <c r="W427" s="424"/>
      <c r="AQ427" s="120" t="s">
        <v>108</v>
      </c>
      <c r="AS427" s="120" t="s">
        <v>103</v>
      </c>
      <c r="AT427" s="120" t="s">
        <v>65</v>
      </c>
      <c r="AX427" s="17" t="s">
        <v>101</v>
      </c>
      <c r="BD427" s="121">
        <f>IF(N427="základní",J427,0)</f>
        <v>0</v>
      </c>
      <c r="BE427" s="121">
        <f>IF(N427="snížená",J427,0)</f>
        <v>0</v>
      </c>
      <c r="BF427" s="121">
        <f>IF(N427="zákl. přenesená",J427,0)</f>
        <v>0</v>
      </c>
      <c r="BG427" s="121">
        <f>IF(N427="sníž. přenesená",J427,0)</f>
        <v>0</v>
      </c>
      <c r="BH427" s="121">
        <f>IF(N427="nulová",J427,0)</f>
        <v>0</v>
      </c>
      <c r="BI427" s="17" t="s">
        <v>63</v>
      </c>
      <c r="BJ427" s="121">
        <f>ROUND(I427*H427,2)</f>
        <v>0</v>
      </c>
      <c r="BK427" s="17" t="s">
        <v>108</v>
      </c>
      <c r="BL427" s="120" t="s">
        <v>1047</v>
      </c>
    </row>
    <row r="428" spans="2:64" s="1" customFormat="1" x14ac:dyDescent="0.2">
      <c r="B428" s="28"/>
      <c r="D428" s="122" t="s">
        <v>110</v>
      </c>
      <c r="F428" s="412" t="s">
        <v>619</v>
      </c>
      <c r="L428" s="28"/>
      <c r="M428" s="124"/>
      <c r="T428" s="48"/>
      <c r="V428" s="414"/>
      <c r="W428" s="424"/>
      <c r="AS428" s="17" t="s">
        <v>110</v>
      </c>
      <c r="AT428" s="17" t="s">
        <v>65</v>
      </c>
    </row>
    <row r="429" spans="2:64" s="1" customFormat="1" ht="21.75" customHeight="1" x14ac:dyDescent="0.2">
      <c r="B429" s="109"/>
      <c r="C429" s="110" t="s">
        <v>1048</v>
      </c>
      <c r="D429" s="110" t="s">
        <v>103</v>
      </c>
      <c r="E429" s="111" t="s">
        <v>1049</v>
      </c>
      <c r="F429" s="112" t="s">
        <v>1050</v>
      </c>
      <c r="G429" s="113" t="s">
        <v>106</v>
      </c>
      <c r="H429" s="114">
        <f>450.2*0.18</f>
        <v>81.036000000000001</v>
      </c>
      <c r="I429" s="115">
        <v>0</v>
      </c>
      <c r="J429" s="115">
        <f>ROUND(I429*H429,2)</f>
        <v>0</v>
      </c>
      <c r="K429" s="112" t="s">
        <v>107</v>
      </c>
      <c r="L429" s="28"/>
      <c r="M429" s="116"/>
      <c r="N429" s="117"/>
      <c r="O429" s="118"/>
      <c r="P429" s="118"/>
      <c r="Q429" s="118"/>
      <c r="R429" s="118"/>
      <c r="S429" s="118"/>
      <c r="T429" s="119"/>
      <c r="V429" s="414"/>
      <c r="W429" s="424"/>
      <c r="AQ429" s="120" t="s">
        <v>108</v>
      </c>
      <c r="AS429" s="120" t="s">
        <v>103</v>
      </c>
      <c r="AT429" s="120" t="s">
        <v>65</v>
      </c>
      <c r="AX429" s="17" t="s">
        <v>101</v>
      </c>
      <c r="BD429" s="121">
        <f>IF(N429="základní",J429,0)</f>
        <v>0</v>
      </c>
      <c r="BE429" s="121">
        <f>IF(N429="snížená",J429,0)</f>
        <v>0</v>
      </c>
      <c r="BF429" s="121">
        <f>IF(N429="zákl. přenesená",J429,0)</f>
        <v>0</v>
      </c>
      <c r="BG429" s="121">
        <f>IF(N429="sníž. přenesená",J429,0)</f>
        <v>0</v>
      </c>
      <c r="BH429" s="121">
        <f>IF(N429="nulová",J429,0)</f>
        <v>0</v>
      </c>
      <c r="BI429" s="17" t="s">
        <v>63</v>
      </c>
      <c r="BJ429" s="121">
        <f>ROUND(I429*H429,2)</f>
        <v>0</v>
      </c>
      <c r="BK429" s="17" t="s">
        <v>108</v>
      </c>
      <c r="BL429" s="120" t="s">
        <v>1051</v>
      </c>
    </row>
    <row r="430" spans="2:64" s="1" customFormat="1" x14ac:dyDescent="0.2">
      <c r="B430" s="28"/>
      <c r="D430" s="122" t="s">
        <v>110</v>
      </c>
      <c r="F430" s="412" t="s">
        <v>1052</v>
      </c>
      <c r="L430" s="28"/>
      <c r="M430" s="124"/>
      <c r="T430" s="48"/>
      <c r="V430" s="414"/>
      <c r="W430" s="424"/>
      <c r="AS430" s="17" t="s">
        <v>110</v>
      </c>
      <c r="AT430" s="17" t="s">
        <v>65</v>
      </c>
    </row>
    <row r="431" spans="2:64" s="1" customFormat="1" ht="37.9" customHeight="1" x14ac:dyDescent="0.2">
      <c r="B431" s="109"/>
      <c r="C431" s="110" t="s">
        <v>1053</v>
      </c>
      <c r="D431" s="110" t="s">
        <v>103</v>
      </c>
      <c r="E431" s="111" t="s">
        <v>431</v>
      </c>
      <c r="F431" s="112" t="s">
        <v>1054</v>
      </c>
      <c r="G431" s="113" t="s">
        <v>314</v>
      </c>
      <c r="H431" s="114">
        <v>1</v>
      </c>
      <c r="I431" s="115">
        <v>0</v>
      </c>
      <c r="J431" s="115">
        <f>ROUND(I431*H431,2)</f>
        <v>0</v>
      </c>
      <c r="K431" s="112" t="s">
        <v>107</v>
      </c>
      <c r="L431" s="28"/>
      <c r="M431" s="116"/>
      <c r="N431" s="117"/>
      <c r="O431" s="118"/>
      <c r="P431" s="118"/>
      <c r="Q431" s="118"/>
      <c r="R431" s="118"/>
      <c r="S431" s="118"/>
      <c r="T431" s="119"/>
      <c r="V431" s="414">
        <v>1</v>
      </c>
      <c r="W431" s="424">
        <v>5</v>
      </c>
      <c r="AQ431" s="120" t="s">
        <v>108</v>
      </c>
      <c r="AS431" s="120" t="s">
        <v>103</v>
      </c>
      <c r="AT431" s="120" t="s">
        <v>65</v>
      </c>
      <c r="AX431" s="17" t="s">
        <v>101</v>
      </c>
      <c r="BD431" s="121">
        <f>IF(N431="základní",J431,0)</f>
        <v>0</v>
      </c>
      <c r="BE431" s="121">
        <f>IF(N431="snížená",J431,0)</f>
        <v>0</v>
      </c>
      <c r="BF431" s="121">
        <f>IF(N431="zákl. přenesená",J431,0)</f>
        <v>0</v>
      </c>
      <c r="BG431" s="121">
        <f>IF(N431="sníž. přenesená",J431,0)</f>
        <v>0</v>
      </c>
      <c r="BH431" s="121">
        <f>IF(N431="nulová",J431,0)</f>
        <v>0</v>
      </c>
      <c r="BI431" s="17" t="s">
        <v>63</v>
      </c>
      <c r="BJ431" s="121">
        <f>ROUND(I431*H431,2)</f>
        <v>0</v>
      </c>
      <c r="BK431" s="17" t="s">
        <v>108</v>
      </c>
      <c r="BL431" s="120" t="s">
        <v>1055</v>
      </c>
    </row>
    <row r="432" spans="2:64" s="1" customFormat="1" x14ac:dyDescent="0.2">
      <c r="B432" s="28"/>
      <c r="D432" s="122" t="s">
        <v>110</v>
      </c>
      <c r="F432" s="412" t="s">
        <v>434</v>
      </c>
      <c r="L432" s="28"/>
      <c r="M432" s="124"/>
      <c r="T432" s="48"/>
      <c r="V432" s="414"/>
      <c r="W432" s="424"/>
      <c r="AS432" s="17" t="s">
        <v>110</v>
      </c>
      <c r="AT432" s="17" t="s">
        <v>65</v>
      </c>
    </row>
    <row r="433" spans="2:64" s="1" customFormat="1" ht="24.2" customHeight="1" x14ac:dyDescent="0.2">
      <c r="B433" s="109"/>
      <c r="C433" s="110" t="s">
        <v>1056</v>
      </c>
      <c r="D433" s="110" t="s">
        <v>103</v>
      </c>
      <c r="E433" s="111" t="s">
        <v>1057</v>
      </c>
      <c r="F433" s="112" t="s">
        <v>1058</v>
      </c>
      <c r="G433" s="113" t="s">
        <v>314</v>
      </c>
      <c r="H433" s="114">
        <v>1</v>
      </c>
      <c r="I433" s="115">
        <v>0</v>
      </c>
      <c r="J433" s="115">
        <f>ROUND(I433*H433,2)</f>
        <v>0</v>
      </c>
      <c r="K433" s="112" t="s">
        <v>107</v>
      </c>
      <c r="L433" s="28"/>
      <c r="M433" s="116"/>
      <c r="N433" s="117"/>
      <c r="O433" s="118"/>
      <c r="P433" s="118"/>
      <c r="Q433" s="118"/>
      <c r="R433" s="118"/>
      <c r="S433" s="118"/>
      <c r="T433" s="119"/>
      <c r="V433" s="414">
        <v>1</v>
      </c>
      <c r="W433" s="424">
        <v>1</v>
      </c>
      <c r="AQ433" s="120" t="s">
        <v>108</v>
      </c>
      <c r="AS433" s="120" t="s">
        <v>103</v>
      </c>
      <c r="AT433" s="120" t="s">
        <v>65</v>
      </c>
      <c r="AX433" s="17" t="s">
        <v>101</v>
      </c>
      <c r="BD433" s="121">
        <f>IF(N433="základní",J433,0)</f>
        <v>0</v>
      </c>
      <c r="BE433" s="121">
        <f>IF(N433="snížená",J433,0)</f>
        <v>0</v>
      </c>
      <c r="BF433" s="121">
        <f>IF(N433="zákl. přenesená",J433,0)</f>
        <v>0</v>
      </c>
      <c r="BG433" s="121">
        <f>IF(N433="sníž. přenesená",J433,0)</f>
        <v>0</v>
      </c>
      <c r="BH433" s="121">
        <f>IF(N433="nulová",J433,0)</f>
        <v>0</v>
      </c>
      <c r="BI433" s="17" t="s">
        <v>63</v>
      </c>
      <c r="BJ433" s="121">
        <f>ROUND(I433*H433,2)</f>
        <v>0</v>
      </c>
      <c r="BK433" s="17" t="s">
        <v>108</v>
      </c>
      <c r="BL433" s="120" t="s">
        <v>1059</v>
      </c>
    </row>
    <row r="434" spans="2:64" s="1" customFormat="1" x14ac:dyDescent="0.2">
      <c r="B434" s="28"/>
      <c r="D434" s="122" t="s">
        <v>110</v>
      </c>
      <c r="F434" s="412" t="s">
        <v>1060</v>
      </c>
      <c r="L434" s="28"/>
      <c r="M434" s="124"/>
      <c r="T434" s="48"/>
      <c r="V434" s="414"/>
      <c r="W434" s="424"/>
      <c r="AS434" s="17" t="s">
        <v>110</v>
      </c>
      <c r="AT434" s="17" t="s">
        <v>65</v>
      </c>
    </row>
    <row r="435" spans="2:64" s="11" customFormat="1" ht="22.9" customHeight="1" x14ac:dyDescent="0.2">
      <c r="B435" s="98"/>
      <c r="D435" s="99" t="s">
        <v>54</v>
      </c>
      <c r="E435" s="107" t="s">
        <v>625</v>
      </c>
      <c r="F435" s="107" t="s">
        <v>626</v>
      </c>
      <c r="J435" s="108">
        <f>BJ435</f>
        <v>0</v>
      </c>
      <c r="L435" s="98"/>
      <c r="M435" s="102"/>
      <c r="P435" s="103"/>
      <c r="R435" s="103"/>
      <c r="T435" s="104"/>
      <c r="V435" s="414"/>
      <c r="W435" s="423"/>
      <c r="AQ435" s="99" t="s">
        <v>63</v>
      </c>
      <c r="AS435" s="105" t="s">
        <v>54</v>
      </c>
      <c r="AT435" s="105" t="s">
        <v>63</v>
      </c>
      <c r="AX435" s="99" t="s">
        <v>101</v>
      </c>
      <c r="BJ435" s="106">
        <f>SUM(BJ436:BJ439)</f>
        <v>0</v>
      </c>
    </row>
    <row r="436" spans="2:64" s="1" customFormat="1" ht="49.15" customHeight="1" x14ac:dyDescent="0.2">
      <c r="B436" s="109"/>
      <c r="C436" s="110" t="s">
        <v>1061</v>
      </c>
      <c r="D436" s="110" t="s">
        <v>103</v>
      </c>
      <c r="E436" s="111" t="s">
        <v>628</v>
      </c>
      <c r="F436" s="112" t="s">
        <v>629</v>
      </c>
      <c r="G436" s="113" t="s">
        <v>231</v>
      </c>
      <c r="H436" s="114">
        <f>21.133*0.18</f>
        <v>3.8039399999999999</v>
      </c>
      <c r="I436" s="115">
        <v>0</v>
      </c>
      <c r="J436" s="115">
        <f>ROUND(I436*H436,2)</f>
        <v>0</v>
      </c>
      <c r="K436" s="112" t="s">
        <v>107</v>
      </c>
      <c r="L436" s="28"/>
      <c r="M436" s="116"/>
      <c r="N436" s="117"/>
      <c r="O436" s="118"/>
      <c r="P436" s="118"/>
      <c r="Q436" s="118"/>
      <c r="R436" s="118"/>
      <c r="S436" s="118"/>
      <c r="T436" s="119"/>
      <c r="V436" s="414"/>
      <c r="W436" s="424"/>
      <c r="AQ436" s="120" t="s">
        <v>108</v>
      </c>
      <c r="AS436" s="120" t="s">
        <v>103</v>
      </c>
      <c r="AT436" s="120" t="s">
        <v>65</v>
      </c>
      <c r="AX436" s="17" t="s">
        <v>101</v>
      </c>
      <c r="BD436" s="121">
        <f>IF(N436="základní",J436,0)</f>
        <v>0</v>
      </c>
      <c r="BE436" s="121">
        <f>IF(N436="snížená",J436,0)</f>
        <v>0</v>
      </c>
      <c r="BF436" s="121">
        <f>IF(N436="zákl. přenesená",J436,0)</f>
        <v>0</v>
      </c>
      <c r="BG436" s="121">
        <f>IF(N436="sníž. přenesená",J436,0)</f>
        <v>0</v>
      </c>
      <c r="BH436" s="121">
        <f>IF(N436="nulová",J436,0)</f>
        <v>0</v>
      </c>
      <c r="BI436" s="17" t="s">
        <v>63</v>
      </c>
      <c r="BJ436" s="121">
        <f>ROUND(I436*H436,2)</f>
        <v>0</v>
      </c>
      <c r="BK436" s="17" t="s">
        <v>108</v>
      </c>
      <c r="BL436" s="120" t="s">
        <v>1062</v>
      </c>
    </row>
    <row r="437" spans="2:64" s="1" customFormat="1" x14ac:dyDescent="0.2">
      <c r="B437" s="28"/>
      <c r="D437" s="122" t="s">
        <v>110</v>
      </c>
      <c r="F437" s="412" t="s">
        <v>631</v>
      </c>
      <c r="L437" s="28"/>
      <c r="M437" s="124"/>
      <c r="T437" s="48"/>
      <c r="V437" s="414"/>
      <c r="W437" s="424"/>
      <c r="AS437" s="17" t="s">
        <v>110</v>
      </c>
      <c r="AT437" s="17" t="s">
        <v>65</v>
      </c>
    </row>
    <row r="438" spans="2:64" s="1" customFormat="1" ht="55.5" customHeight="1" x14ac:dyDescent="0.2">
      <c r="B438" s="109"/>
      <c r="C438" s="110" t="s">
        <v>1063</v>
      </c>
      <c r="D438" s="110" t="s">
        <v>103</v>
      </c>
      <c r="E438" s="111" t="s">
        <v>633</v>
      </c>
      <c r="F438" s="112" t="s">
        <v>634</v>
      </c>
      <c r="G438" s="113" t="s">
        <v>231</v>
      </c>
      <c r="H438" s="114">
        <f>21.133*0.18</f>
        <v>3.8039399999999999</v>
      </c>
      <c r="I438" s="115">
        <v>0</v>
      </c>
      <c r="J438" s="115">
        <f>ROUND(I438*H438,2)</f>
        <v>0</v>
      </c>
      <c r="K438" s="112" t="s">
        <v>107</v>
      </c>
      <c r="L438" s="28"/>
      <c r="M438" s="116"/>
      <c r="N438" s="117"/>
      <c r="O438" s="118"/>
      <c r="P438" s="118"/>
      <c r="Q438" s="118"/>
      <c r="R438" s="118"/>
      <c r="S438" s="118"/>
      <c r="T438" s="119"/>
      <c r="V438" s="414"/>
      <c r="W438" s="424"/>
      <c r="AQ438" s="120" t="s">
        <v>108</v>
      </c>
      <c r="AS438" s="120" t="s">
        <v>103</v>
      </c>
      <c r="AT438" s="120" t="s">
        <v>65</v>
      </c>
      <c r="AX438" s="17" t="s">
        <v>101</v>
      </c>
      <c r="BD438" s="121">
        <f>IF(N438="základní",J438,0)</f>
        <v>0</v>
      </c>
      <c r="BE438" s="121">
        <f>IF(N438="snížená",J438,0)</f>
        <v>0</v>
      </c>
      <c r="BF438" s="121">
        <f>IF(N438="zákl. přenesená",J438,0)</f>
        <v>0</v>
      </c>
      <c r="BG438" s="121">
        <f>IF(N438="sníž. přenesená",J438,0)</f>
        <v>0</v>
      </c>
      <c r="BH438" s="121">
        <f>IF(N438="nulová",J438,0)</f>
        <v>0</v>
      </c>
      <c r="BI438" s="17" t="s">
        <v>63</v>
      </c>
      <c r="BJ438" s="121">
        <f>ROUND(I438*H438,2)</f>
        <v>0</v>
      </c>
      <c r="BK438" s="17" t="s">
        <v>108</v>
      </c>
      <c r="BL438" s="120" t="s">
        <v>1064</v>
      </c>
    </row>
    <row r="439" spans="2:64" s="1" customFormat="1" x14ac:dyDescent="0.2">
      <c r="B439" s="28"/>
      <c r="D439" s="122" t="s">
        <v>110</v>
      </c>
      <c r="F439" s="412" t="s">
        <v>636</v>
      </c>
      <c r="L439" s="28"/>
      <c r="M439" s="124"/>
      <c r="T439" s="48"/>
      <c r="V439" s="414"/>
      <c r="W439" s="424"/>
      <c r="AS439" s="17" t="s">
        <v>110</v>
      </c>
      <c r="AT439" s="17" t="s">
        <v>65</v>
      </c>
    </row>
    <row r="440" spans="2:64" s="11" customFormat="1" ht="25.9" customHeight="1" x14ac:dyDescent="0.2">
      <c r="B440" s="98"/>
      <c r="D440" s="99" t="s">
        <v>54</v>
      </c>
      <c r="E440" s="100" t="s">
        <v>1065</v>
      </c>
      <c r="F440" s="100" t="s">
        <v>1066</v>
      </c>
      <c r="J440" s="101">
        <f>BJ440</f>
        <v>0</v>
      </c>
      <c r="L440" s="98"/>
      <c r="M440" s="102"/>
      <c r="P440" s="103"/>
      <c r="R440" s="103"/>
      <c r="T440" s="104"/>
      <c r="V440" s="414"/>
      <c r="W440" s="423"/>
      <c r="AQ440" s="99" t="s">
        <v>65</v>
      </c>
      <c r="AS440" s="105" t="s">
        <v>54</v>
      </c>
      <c r="AT440" s="105" t="s">
        <v>55</v>
      </c>
      <c r="AX440" s="99" t="s">
        <v>101</v>
      </c>
      <c r="BJ440" s="106">
        <f>BJ441+BJ445</f>
        <v>0</v>
      </c>
    </row>
    <row r="441" spans="2:64" s="11" customFormat="1" ht="22.9" customHeight="1" x14ac:dyDescent="0.2">
      <c r="B441" s="98"/>
      <c r="D441" s="99" t="s">
        <v>54</v>
      </c>
      <c r="E441" s="107" t="s">
        <v>1067</v>
      </c>
      <c r="F441" s="107" t="s">
        <v>1068</v>
      </c>
      <c r="J441" s="108">
        <f>BJ441</f>
        <v>0</v>
      </c>
      <c r="L441" s="98"/>
      <c r="M441" s="102"/>
      <c r="P441" s="103"/>
      <c r="R441" s="103"/>
      <c r="T441" s="104"/>
      <c r="V441" s="414"/>
      <c r="W441" s="423"/>
      <c r="AQ441" s="99" t="s">
        <v>65</v>
      </c>
      <c r="AS441" s="105" t="s">
        <v>54</v>
      </c>
      <c r="AT441" s="105" t="s">
        <v>63</v>
      </c>
      <c r="AX441" s="99" t="s">
        <v>101</v>
      </c>
      <c r="BJ441" s="106">
        <f>SUM(BJ442:BJ444)</f>
        <v>0</v>
      </c>
    </row>
    <row r="442" spans="2:64" s="1" customFormat="1" ht="37.9" customHeight="1" x14ac:dyDescent="0.2">
      <c r="B442" s="109"/>
      <c r="C442" s="110" t="s">
        <v>1069</v>
      </c>
      <c r="D442" s="110" t="s">
        <v>103</v>
      </c>
      <c r="E442" s="111" t="s">
        <v>1070</v>
      </c>
      <c r="F442" s="112" t="s">
        <v>1071</v>
      </c>
      <c r="G442" s="113" t="s">
        <v>314</v>
      </c>
      <c r="H442" s="114">
        <v>1</v>
      </c>
      <c r="I442" s="115">
        <v>0</v>
      </c>
      <c r="J442" s="115">
        <f>ROUND(I442*H442,2)</f>
        <v>0</v>
      </c>
      <c r="K442" s="112" t="s">
        <v>107</v>
      </c>
      <c r="L442" s="28"/>
      <c r="M442" s="116"/>
      <c r="N442" s="117"/>
      <c r="O442" s="118"/>
      <c r="P442" s="118"/>
      <c r="Q442" s="118"/>
      <c r="R442" s="118"/>
      <c r="S442" s="118"/>
      <c r="T442" s="119"/>
      <c r="V442" s="414">
        <v>1</v>
      </c>
      <c r="W442" s="424">
        <v>3</v>
      </c>
      <c r="AQ442" s="120" t="s">
        <v>218</v>
      </c>
      <c r="AS442" s="120" t="s">
        <v>103</v>
      </c>
      <c r="AT442" s="120" t="s">
        <v>65</v>
      </c>
      <c r="AX442" s="17" t="s">
        <v>101</v>
      </c>
      <c r="BD442" s="121">
        <f>IF(N442="základní",J442,0)</f>
        <v>0</v>
      </c>
      <c r="BE442" s="121">
        <f>IF(N442="snížená",J442,0)</f>
        <v>0</v>
      </c>
      <c r="BF442" s="121">
        <f>IF(N442="zákl. přenesená",J442,0)</f>
        <v>0</v>
      </c>
      <c r="BG442" s="121">
        <f>IF(N442="sníž. přenesená",J442,0)</f>
        <v>0</v>
      </c>
      <c r="BH442" s="121">
        <f>IF(N442="nulová",J442,0)</f>
        <v>0</v>
      </c>
      <c r="BI442" s="17" t="s">
        <v>63</v>
      </c>
      <c r="BJ442" s="121">
        <f>ROUND(I442*H442,2)</f>
        <v>0</v>
      </c>
      <c r="BK442" s="17" t="s">
        <v>218</v>
      </c>
      <c r="BL442" s="120" t="s">
        <v>1072</v>
      </c>
    </row>
    <row r="443" spans="2:64" s="1" customFormat="1" x14ac:dyDescent="0.2">
      <c r="B443" s="28"/>
      <c r="D443" s="122" t="s">
        <v>110</v>
      </c>
      <c r="F443" s="412" t="s">
        <v>1073</v>
      </c>
      <c r="L443" s="28"/>
      <c r="M443" s="124"/>
      <c r="T443" s="48"/>
      <c r="V443" s="414"/>
      <c r="W443" s="424"/>
      <c r="AS443" s="17" t="s">
        <v>110</v>
      </c>
      <c r="AT443" s="17" t="s">
        <v>65</v>
      </c>
    </row>
    <row r="444" spans="2:64" s="1" customFormat="1" ht="16.5" customHeight="1" x14ac:dyDescent="0.2">
      <c r="B444" s="109"/>
      <c r="C444" s="143" t="s">
        <v>1074</v>
      </c>
      <c r="D444" s="143" t="s">
        <v>252</v>
      </c>
      <c r="E444" s="144" t="s">
        <v>1075</v>
      </c>
      <c r="F444" s="145" t="s">
        <v>1076</v>
      </c>
      <c r="G444" s="146" t="s">
        <v>1077</v>
      </c>
      <c r="H444" s="147">
        <f>4*0.18</f>
        <v>0.72</v>
      </c>
      <c r="I444" s="148">
        <v>0</v>
      </c>
      <c r="J444" s="148">
        <f>ROUND(I444*H444,2)</f>
        <v>0</v>
      </c>
      <c r="K444" s="145" t="s">
        <v>107</v>
      </c>
      <c r="L444" s="149"/>
      <c r="M444" s="150"/>
      <c r="N444" s="151"/>
      <c r="O444" s="118"/>
      <c r="P444" s="118"/>
      <c r="Q444" s="118"/>
      <c r="R444" s="118"/>
      <c r="S444" s="118"/>
      <c r="T444" s="119"/>
      <c r="V444" s="414"/>
      <c r="W444" s="424"/>
      <c r="AQ444" s="120" t="s">
        <v>329</v>
      </c>
      <c r="AS444" s="120" t="s">
        <v>252</v>
      </c>
      <c r="AT444" s="120" t="s">
        <v>65</v>
      </c>
      <c r="AX444" s="17" t="s">
        <v>101</v>
      </c>
      <c r="BD444" s="121">
        <f>IF(N444="základní",J444,0)</f>
        <v>0</v>
      </c>
      <c r="BE444" s="121">
        <f>IF(N444="snížená",J444,0)</f>
        <v>0</v>
      </c>
      <c r="BF444" s="121">
        <f>IF(N444="zákl. přenesená",J444,0)</f>
        <v>0</v>
      </c>
      <c r="BG444" s="121">
        <f>IF(N444="sníž. přenesená",J444,0)</f>
        <v>0</v>
      </c>
      <c r="BH444" s="121">
        <f>IF(N444="nulová",J444,0)</f>
        <v>0</v>
      </c>
      <c r="BI444" s="17" t="s">
        <v>63</v>
      </c>
      <c r="BJ444" s="121">
        <f>ROUND(I444*H444,2)</f>
        <v>0</v>
      </c>
      <c r="BK444" s="17" t="s">
        <v>218</v>
      </c>
      <c r="BL444" s="120" t="s">
        <v>1078</v>
      </c>
    </row>
    <row r="445" spans="2:64" s="11" customFormat="1" ht="22.9" customHeight="1" x14ac:dyDescent="0.2">
      <c r="B445" s="98"/>
      <c r="D445" s="99" t="s">
        <v>54</v>
      </c>
      <c r="E445" s="107" t="s">
        <v>1079</v>
      </c>
      <c r="F445" s="107" t="s">
        <v>1080</v>
      </c>
      <c r="J445" s="108">
        <f>BJ445</f>
        <v>0</v>
      </c>
      <c r="L445" s="98"/>
      <c r="M445" s="102"/>
      <c r="P445" s="103"/>
      <c r="R445" s="103"/>
      <c r="T445" s="104"/>
      <c r="V445" s="414"/>
      <c r="W445" s="423"/>
      <c r="AQ445" s="99" t="s">
        <v>65</v>
      </c>
      <c r="AS445" s="105" t="s">
        <v>54</v>
      </c>
      <c r="AT445" s="105" t="s">
        <v>63</v>
      </c>
      <c r="AX445" s="99" t="s">
        <v>101</v>
      </c>
      <c r="BJ445" s="106">
        <f>SUM(BJ446:BJ454)</f>
        <v>0</v>
      </c>
    </row>
    <row r="446" spans="2:64" s="1" customFormat="1" ht="37.9" customHeight="1" x14ac:dyDescent="0.2">
      <c r="B446" s="109"/>
      <c r="C446" s="110" t="s">
        <v>1081</v>
      </c>
      <c r="D446" s="110" t="s">
        <v>103</v>
      </c>
      <c r="E446" s="111" t="s">
        <v>1082</v>
      </c>
      <c r="F446" s="112" t="s">
        <v>1083</v>
      </c>
      <c r="G446" s="113" t="s">
        <v>174</v>
      </c>
      <c r="H446" s="114">
        <f>2.53*0.18</f>
        <v>0.45539999999999997</v>
      </c>
      <c r="I446" s="115">
        <v>0</v>
      </c>
      <c r="J446" s="115">
        <f>ROUND(I446*H446,2)</f>
        <v>0</v>
      </c>
      <c r="K446" s="112" t="s">
        <v>107</v>
      </c>
      <c r="L446" s="28"/>
      <c r="M446" s="116"/>
      <c r="N446" s="117"/>
      <c r="O446" s="118"/>
      <c r="P446" s="118"/>
      <c r="Q446" s="118"/>
      <c r="R446" s="118"/>
      <c r="S446" s="118"/>
      <c r="T446" s="119"/>
      <c r="V446" s="414"/>
      <c r="W446" s="424"/>
      <c r="AQ446" s="120" t="s">
        <v>218</v>
      </c>
      <c r="AS446" s="120" t="s">
        <v>103</v>
      </c>
      <c r="AT446" s="120" t="s">
        <v>65</v>
      </c>
      <c r="AX446" s="17" t="s">
        <v>101</v>
      </c>
      <c r="BD446" s="121">
        <f>IF(N446="základní",J446,0)</f>
        <v>0</v>
      </c>
      <c r="BE446" s="121">
        <f>IF(N446="snížená",J446,0)</f>
        <v>0</v>
      </c>
      <c r="BF446" s="121">
        <f>IF(N446="zákl. přenesená",J446,0)</f>
        <v>0</v>
      </c>
      <c r="BG446" s="121">
        <f>IF(N446="sníž. přenesená",J446,0)</f>
        <v>0</v>
      </c>
      <c r="BH446" s="121">
        <f>IF(N446="nulová",J446,0)</f>
        <v>0</v>
      </c>
      <c r="BI446" s="17" t="s">
        <v>63</v>
      </c>
      <c r="BJ446" s="121">
        <f>ROUND(I446*H446,2)</f>
        <v>0</v>
      </c>
      <c r="BK446" s="17" t="s">
        <v>218</v>
      </c>
      <c r="BL446" s="120" t="s">
        <v>1084</v>
      </c>
    </row>
    <row r="447" spans="2:64" s="1" customFormat="1" x14ac:dyDescent="0.2">
      <c r="B447" s="28"/>
      <c r="D447" s="122" t="s">
        <v>110</v>
      </c>
      <c r="F447" s="412" t="s">
        <v>1085</v>
      </c>
      <c r="L447" s="28"/>
      <c r="M447" s="124"/>
      <c r="T447" s="48"/>
      <c r="V447" s="414"/>
      <c r="W447" s="424"/>
      <c r="AS447" s="17" t="s">
        <v>110</v>
      </c>
      <c r="AT447" s="17" t="s">
        <v>65</v>
      </c>
    </row>
    <row r="448" spans="2:64" s="1" customFormat="1" ht="24.2" customHeight="1" x14ac:dyDescent="0.2">
      <c r="B448" s="109"/>
      <c r="C448" s="143" t="s">
        <v>1086</v>
      </c>
      <c r="D448" s="143" t="s">
        <v>252</v>
      </c>
      <c r="E448" s="144" t="s">
        <v>1087</v>
      </c>
      <c r="F448" s="145" t="s">
        <v>1088</v>
      </c>
      <c r="G448" s="146" t="s">
        <v>106</v>
      </c>
      <c r="H448" s="147">
        <f>1*0.18</f>
        <v>0.18</v>
      </c>
      <c r="I448" s="148">
        <v>0</v>
      </c>
      <c r="J448" s="148">
        <f>ROUND(I448*H448,2)</f>
        <v>0</v>
      </c>
      <c r="K448" s="145" t="s">
        <v>107</v>
      </c>
      <c r="L448" s="149"/>
      <c r="M448" s="150"/>
      <c r="N448" s="151"/>
      <c r="O448" s="118"/>
      <c r="P448" s="118"/>
      <c r="Q448" s="118"/>
      <c r="R448" s="118"/>
      <c r="S448" s="118"/>
      <c r="T448" s="119"/>
      <c r="V448" s="414"/>
      <c r="W448" s="424"/>
      <c r="AQ448" s="120" t="s">
        <v>329</v>
      </c>
      <c r="AS448" s="120" t="s">
        <v>252</v>
      </c>
      <c r="AT448" s="120" t="s">
        <v>65</v>
      </c>
      <c r="AX448" s="17" t="s">
        <v>101</v>
      </c>
      <c r="BD448" s="121">
        <f>IF(N448="základní",J448,0)</f>
        <v>0</v>
      </c>
      <c r="BE448" s="121">
        <f>IF(N448="snížená",J448,0)</f>
        <v>0</v>
      </c>
      <c r="BF448" s="121">
        <f>IF(N448="zákl. přenesená",J448,0)</f>
        <v>0</v>
      </c>
      <c r="BG448" s="121">
        <f>IF(N448="sníž. přenesená",J448,0)</f>
        <v>0</v>
      </c>
      <c r="BH448" s="121">
        <f>IF(N448="nulová",J448,0)</f>
        <v>0</v>
      </c>
      <c r="BI448" s="17" t="s">
        <v>63</v>
      </c>
      <c r="BJ448" s="121">
        <f>ROUND(I448*H448,2)</f>
        <v>0</v>
      </c>
      <c r="BK448" s="17" t="s">
        <v>218</v>
      </c>
      <c r="BL448" s="120" t="s">
        <v>1089</v>
      </c>
    </row>
    <row r="449" spans="2:64" s="1" customFormat="1" ht="24.2" customHeight="1" x14ac:dyDescent="0.2">
      <c r="B449" s="109"/>
      <c r="C449" s="143" t="s">
        <v>1090</v>
      </c>
      <c r="D449" s="143" t="s">
        <v>252</v>
      </c>
      <c r="E449" s="144" t="s">
        <v>1091</v>
      </c>
      <c r="F449" s="145" t="s">
        <v>1092</v>
      </c>
      <c r="G449" s="146" t="s">
        <v>174</v>
      </c>
      <c r="H449" s="147">
        <f>2.53*0.18</f>
        <v>0.45539999999999997</v>
      </c>
      <c r="I449" s="148">
        <v>0</v>
      </c>
      <c r="J449" s="148">
        <f>ROUND(I449*H449,2)</f>
        <v>0</v>
      </c>
      <c r="K449" s="145" t="s">
        <v>107</v>
      </c>
      <c r="L449" s="149"/>
      <c r="M449" s="150"/>
      <c r="N449" s="151"/>
      <c r="O449" s="118"/>
      <c r="P449" s="118"/>
      <c r="Q449" s="118"/>
      <c r="R449" s="118"/>
      <c r="S449" s="118"/>
      <c r="T449" s="119"/>
      <c r="V449" s="414"/>
      <c r="W449" s="424"/>
      <c r="AQ449" s="120" t="s">
        <v>329</v>
      </c>
      <c r="AS449" s="120" t="s">
        <v>252</v>
      </c>
      <c r="AT449" s="120" t="s">
        <v>65</v>
      </c>
      <c r="AX449" s="17" t="s">
        <v>101</v>
      </c>
      <c r="BD449" s="121">
        <f>IF(N449="základní",J449,0)</f>
        <v>0</v>
      </c>
      <c r="BE449" s="121">
        <f>IF(N449="snížená",J449,0)</f>
        <v>0</v>
      </c>
      <c r="BF449" s="121">
        <f>IF(N449="zákl. přenesená",J449,0)</f>
        <v>0</v>
      </c>
      <c r="BG449" s="121">
        <f>IF(N449="sníž. přenesená",J449,0)</f>
        <v>0</v>
      </c>
      <c r="BH449" s="121">
        <f>IF(N449="nulová",J449,0)</f>
        <v>0</v>
      </c>
      <c r="BI449" s="17" t="s">
        <v>63</v>
      </c>
      <c r="BJ449" s="121">
        <f>ROUND(I449*H449,2)</f>
        <v>0</v>
      </c>
      <c r="BK449" s="17" t="s">
        <v>218</v>
      </c>
      <c r="BL449" s="120" t="s">
        <v>1093</v>
      </c>
    </row>
    <row r="450" spans="2:64" s="13" customFormat="1" ht="22.5" x14ac:dyDescent="0.2">
      <c r="B450" s="131"/>
      <c r="D450" s="126" t="s">
        <v>112</v>
      </c>
      <c r="F450" s="133" t="s">
        <v>1852</v>
      </c>
      <c r="H450" s="134">
        <f>2.53*0.18</f>
        <v>0.45539999999999997</v>
      </c>
      <c r="L450" s="131"/>
      <c r="M450" s="135"/>
      <c r="T450" s="136"/>
      <c r="V450" s="414"/>
      <c r="W450" s="424"/>
      <c r="AS450" s="132" t="s">
        <v>112</v>
      </c>
      <c r="AT450" s="132" t="s">
        <v>65</v>
      </c>
      <c r="AU450" s="13" t="s">
        <v>65</v>
      </c>
      <c r="AV450" s="13" t="s">
        <v>2</v>
      </c>
      <c r="AW450" s="13" t="s">
        <v>63</v>
      </c>
      <c r="AX450" s="132" t="s">
        <v>101</v>
      </c>
    </row>
    <row r="451" spans="2:64" s="1" customFormat="1" ht="49.15" customHeight="1" x14ac:dyDescent="0.2">
      <c r="B451" s="109"/>
      <c r="C451" s="110" t="s">
        <v>1094</v>
      </c>
      <c r="D451" s="110" t="s">
        <v>103</v>
      </c>
      <c r="E451" s="111" t="s">
        <v>1095</v>
      </c>
      <c r="F451" s="112" t="s">
        <v>1096</v>
      </c>
      <c r="G451" s="113" t="s">
        <v>231</v>
      </c>
      <c r="H451" s="114">
        <f>0.239*0.18</f>
        <v>4.3019999999999996E-2</v>
      </c>
      <c r="I451" s="115">
        <v>0</v>
      </c>
      <c r="J451" s="115">
        <f>ROUND(I451*H451,2)</f>
        <v>0</v>
      </c>
      <c r="K451" s="112" t="s">
        <v>107</v>
      </c>
      <c r="L451" s="28"/>
      <c r="M451" s="116"/>
      <c r="N451" s="117"/>
      <c r="O451" s="118"/>
      <c r="P451" s="118"/>
      <c r="Q451" s="118"/>
      <c r="R451" s="118"/>
      <c r="S451" s="118"/>
      <c r="T451" s="119"/>
      <c r="V451" s="414"/>
      <c r="W451" s="424"/>
      <c r="AQ451" s="120" t="s">
        <v>218</v>
      </c>
      <c r="AS451" s="120" t="s">
        <v>103</v>
      </c>
      <c r="AT451" s="120" t="s">
        <v>65</v>
      </c>
      <c r="AX451" s="17" t="s">
        <v>101</v>
      </c>
      <c r="BD451" s="121">
        <f>IF(N451="základní",J451,0)</f>
        <v>0</v>
      </c>
      <c r="BE451" s="121">
        <f>IF(N451="snížená",J451,0)</f>
        <v>0</v>
      </c>
      <c r="BF451" s="121">
        <f>IF(N451="zákl. přenesená",J451,0)</f>
        <v>0</v>
      </c>
      <c r="BG451" s="121">
        <f>IF(N451="sníž. přenesená",J451,0)</f>
        <v>0</v>
      </c>
      <c r="BH451" s="121">
        <f>IF(N451="nulová",J451,0)</f>
        <v>0</v>
      </c>
      <c r="BI451" s="17" t="s">
        <v>63</v>
      </c>
      <c r="BJ451" s="121">
        <f>ROUND(I451*H451,2)</f>
        <v>0</v>
      </c>
      <c r="BK451" s="17" t="s">
        <v>218</v>
      </c>
      <c r="BL451" s="120" t="s">
        <v>1097</v>
      </c>
    </row>
    <row r="452" spans="2:64" s="1" customFormat="1" x14ac:dyDescent="0.2">
      <c r="B452" s="28"/>
      <c r="D452" s="122" t="s">
        <v>110</v>
      </c>
      <c r="F452" s="412" t="s">
        <v>1098</v>
      </c>
      <c r="L452" s="28"/>
      <c r="M452" s="124"/>
      <c r="T452" s="48"/>
      <c r="V452" s="414"/>
      <c r="W452" s="424"/>
      <c r="AS452" s="17" t="s">
        <v>110</v>
      </c>
      <c r="AT452" s="17" t="s">
        <v>65</v>
      </c>
    </row>
    <row r="453" spans="2:64" s="1" customFormat="1" ht="55.5" customHeight="1" x14ac:dyDescent="0.2">
      <c r="B453" s="109"/>
      <c r="C453" s="110" t="s">
        <v>1099</v>
      </c>
      <c r="D453" s="110" t="s">
        <v>103</v>
      </c>
      <c r="E453" s="111" t="s">
        <v>1100</v>
      </c>
      <c r="F453" s="112" t="s">
        <v>1101</v>
      </c>
      <c r="G453" s="113" t="s">
        <v>231</v>
      </c>
      <c r="H453" s="114">
        <f>0.239*0.18</f>
        <v>4.3019999999999996E-2</v>
      </c>
      <c r="I453" s="115">
        <v>0</v>
      </c>
      <c r="J453" s="115">
        <f>ROUND(I453*H453,2)</f>
        <v>0</v>
      </c>
      <c r="K453" s="112" t="s">
        <v>107</v>
      </c>
      <c r="L453" s="28"/>
      <c r="M453" s="116"/>
      <c r="N453" s="117"/>
      <c r="O453" s="118"/>
      <c r="P453" s="118"/>
      <c r="Q453" s="118"/>
      <c r="R453" s="118"/>
      <c r="S453" s="118"/>
      <c r="T453" s="119"/>
      <c r="V453" s="414"/>
      <c r="W453" s="424"/>
      <c r="AQ453" s="120" t="s">
        <v>218</v>
      </c>
      <c r="AS453" s="120" t="s">
        <v>103</v>
      </c>
      <c r="AT453" s="120" t="s">
        <v>65</v>
      </c>
      <c r="AX453" s="17" t="s">
        <v>101</v>
      </c>
      <c r="BD453" s="121">
        <f>IF(N453="základní",J453,0)</f>
        <v>0</v>
      </c>
      <c r="BE453" s="121">
        <f>IF(N453="snížená",J453,0)</f>
        <v>0</v>
      </c>
      <c r="BF453" s="121">
        <f>IF(N453="zákl. přenesená",J453,0)</f>
        <v>0</v>
      </c>
      <c r="BG453" s="121">
        <f>IF(N453="sníž. přenesená",J453,0)</f>
        <v>0</v>
      </c>
      <c r="BH453" s="121">
        <f>IF(N453="nulová",J453,0)</f>
        <v>0</v>
      </c>
      <c r="BI453" s="17" t="s">
        <v>63</v>
      </c>
      <c r="BJ453" s="121">
        <f>ROUND(I453*H453,2)</f>
        <v>0</v>
      </c>
      <c r="BK453" s="17" t="s">
        <v>218</v>
      </c>
      <c r="BL453" s="120" t="s">
        <v>1102</v>
      </c>
    </row>
    <row r="454" spans="2:64" s="1" customFormat="1" x14ac:dyDescent="0.2">
      <c r="B454" s="28"/>
      <c r="D454" s="122" t="s">
        <v>110</v>
      </c>
      <c r="F454" s="412" t="s">
        <v>1103</v>
      </c>
      <c r="L454" s="28"/>
      <c r="M454" s="156"/>
      <c r="N454" s="157"/>
      <c r="O454" s="157"/>
      <c r="P454" s="157"/>
      <c r="Q454" s="157"/>
      <c r="R454" s="157"/>
      <c r="S454" s="157"/>
      <c r="T454" s="158"/>
      <c r="V454" s="414"/>
      <c r="W454" s="424"/>
      <c r="AS454" s="17" t="s">
        <v>110</v>
      </c>
      <c r="AT454" s="17" t="s">
        <v>65</v>
      </c>
    </row>
    <row r="455" spans="2:64" s="1" customFormat="1" ht="6.95" customHeight="1" x14ac:dyDescent="0.2">
      <c r="B455" s="37"/>
      <c r="C455" s="38"/>
      <c r="D455" s="38"/>
      <c r="E455" s="38"/>
      <c r="F455" s="38"/>
      <c r="G455" s="38"/>
      <c r="H455" s="38"/>
      <c r="I455" s="38"/>
      <c r="J455" s="38"/>
      <c r="K455" s="38"/>
      <c r="L455" s="28"/>
      <c r="V455" s="414"/>
      <c r="W455" s="424"/>
    </row>
  </sheetData>
  <autoFilter ref="C87:K454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8" r:id="rId2" xr:uid="{00000000-0004-0000-0200-000001000000}"/>
    <hyperlink ref="F102" r:id="rId3" xr:uid="{00000000-0004-0000-0200-000002000000}"/>
    <hyperlink ref="F123" r:id="rId4" xr:uid="{00000000-0004-0000-0200-000003000000}"/>
    <hyperlink ref="F144" r:id="rId5" xr:uid="{00000000-0004-0000-0200-000004000000}"/>
    <hyperlink ref="F165" r:id="rId6" xr:uid="{00000000-0004-0000-0200-000005000000}"/>
    <hyperlink ref="F169" r:id="rId7" xr:uid="{00000000-0004-0000-0200-000006000000}"/>
    <hyperlink ref="F180" r:id="rId8" xr:uid="{00000000-0004-0000-0200-000007000000}"/>
    <hyperlink ref="F182" r:id="rId9" xr:uid="{00000000-0004-0000-0200-000008000000}"/>
    <hyperlink ref="F189" r:id="rId10" xr:uid="{00000000-0004-0000-0200-000009000000}"/>
    <hyperlink ref="F191" r:id="rId11" xr:uid="{00000000-0004-0000-0200-00000A000000}"/>
    <hyperlink ref="F193" r:id="rId12" xr:uid="{00000000-0004-0000-0200-00000B000000}"/>
    <hyperlink ref="F196" r:id="rId13" xr:uid="{00000000-0004-0000-0200-00000C000000}"/>
    <hyperlink ref="F198" r:id="rId14" xr:uid="{00000000-0004-0000-0200-00000D000000}"/>
    <hyperlink ref="F201" r:id="rId15" xr:uid="{00000000-0004-0000-0200-00000E000000}"/>
    <hyperlink ref="F208" r:id="rId16" xr:uid="{00000000-0004-0000-0200-00000F000000}"/>
    <hyperlink ref="F210" r:id="rId17" xr:uid="{00000000-0004-0000-0200-000010000000}"/>
    <hyperlink ref="F213" r:id="rId18" xr:uid="{00000000-0004-0000-0200-000011000000}"/>
    <hyperlink ref="F215" r:id="rId19" xr:uid="{00000000-0004-0000-0200-000012000000}"/>
    <hyperlink ref="F229" r:id="rId20" xr:uid="{00000000-0004-0000-0200-000013000000}"/>
    <hyperlink ref="F244" r:id="rId21" xr:uid="{00000000-0004-0000-0200-000014000000}"/>
    <hyperlink ref="F247" r:id="rId22" xr:uid="{00000000-0004-0000-0200-000015000000}"/>
    <hyperlink ref="F255" r:id="rId23" xr:uid="{00000000-0004-0000-0200-000016000000}"/>
    <hyperlink ref="F265" r:id="rId24" xr:uid="{00000000-0004-0000-0200-000017000000}"/>
    <hyperlink ref="F272" r:id="rId25" xr:uid="{00000000-0004-0000-0200-000018000000}"/>
    <hyperlink ref="F278" r:id="rId26" xr:uid="{00000000-0004-0000-0200-000019000000}"/>
    <hyperlink ref="F285" r:id="rId27" xr:uid="{00000000-0004-0000-0200-00001A000000}"/>
    <hyperlink ref="F294" r:id="rId28" xr:uid="{00000000-0004-0000-0200-00001B000000}"/>
    <hyperlink ref="F301" r:id="rId29" xr:uid="{00000000-0004-0000-0200-00001C000000}"/>
    <hyperlink ref="F306" r:id="rId30" xr:uid="{00000000-0004-0000-0200-00001D000000}"/>
    <hyperlink ref="F311" r:id="rId31" xr:uid="{00000000-0004-0000-0200-00001E000000}"/>
    <hyperlink ref="F316" r:id="rId32" xr:uid="{00000000-0004-0000-0200-00001F000000}"/>
    <hyperlink ref="F321" r:id="rId33" xr:uid="{00000000-0004-0000-0200-000020000000}"/>
    <hyperlink ref="F325" r:id="rId34" xr:uid="{00000000-0004-0000-0200-000021000000}"/>
    <hyperlink ref="F328" r:id="rId35" xr:uid="{00000000-0004-0000-0200-000022000000}"/>
    <hyperlink ref="F333" r:id="rId36" xr:uid="{00000000-0004-0000-0200-000023000000}"/>
    <hyperlink ref="F337" r:id="rId37" xr:uid="{00000000-0004-0000-0200-000024000000}"/>
    <hyperlink ref="F341" r:id="rId38" xr:uid="{00000000-0004-0000-0200-000025000000}"/>
    <hyperlink ref="F345" r:id="rId39" xr:uid="{00000000-0004-0000-0200-000026000000}"/>
    <hyperlink ref="F349" r:id="rId40" xr:uid="{00000000-0004-0000-0200-000027000000}"/>
    <hyperlink ref="F352" r:id="rId41" xr:uid="{00000000-0004-0000-0200-000028000000}"/>
    <hyperlink ref="F355" r:id="rId42" xr:uid="{00000000-0004-0000-0200-000029000000}"/>
    <hyperlink ref="F358" r:id="rId43" xr:uid="{00000000-0004-0000-0200-00002A000000}"/>
    <hyperlink ref="F365" r:id="rId44" xr:uid="{00000000-0004-0000-0200-00002B000000}"/>
    <hyperlink ref="F368" r:id="rId45" xr:uid="{00000000-0004-0000-0200-00002C000000}"/>
    <hyperlink ref="F371" r:id="rId46" xr:uid="{00000000-0004-0000-0200-00002D000000}"/>
    <hyperlink ref="F374" r:id="rId47" xr:uid="{00000000-0004-0000-0200-00002E000000}"/>
    <hyperlink ref="F377" r:id="rId48" xr:uid="{00000000-0004-0000-0200-00002F000000}"/>
    <hyperlink ref="F380" r:id="rId49" xr:uid="{00000000-0004-0000-0200-000030000000}"/>
    <hyperlink ref="F384" r:id="rId50" xr:uid="{00000000-0004-0000-0200-000031000000}"/>
    <hyperlink ref="F388" r:id="rId51" xr:uid="{00000000-0004-0000-0200-000032000000}"/>
    <hyperlink ref="F392" r:id="rId52" xr:uid="{00000000-0004-0000-0200-000033000000}"/>
    <hyperlink ref="F396" r:id="rId53" xr:uid="{00000000-0004-0000-0200-000034000000}"/>
    <hyperlink ref="F402" r:id="rId54" xr:uid="{00000000-0004-0000-0200-000035000000}"/>
    <hyperlink ref="F404" r:id="rId55" xr:uid="{00000000-0004-0000-0200-000036000000}"/>
    <hyperlink ref="F410" r:id="rId56" xr:uid="{00000000-0004-0000-0200-000037000000}"/>
    <hyperlink ref="F414" r:id="rId57" xr:uid="{00000000-0004-0000-0200-000038000000}"/>
    <hyperlink ref="F417" r:id="rId58" xr:uid="{00000000-0004-0000-0200-000039000000}"/>
    <hyperlink ref="F421" r:id="rId59" xr:uid="{00000000-0004-0000-0200-00003A000000}"/>
    <hyperlink ref="F426" r:id="rId60" xr:uid="{00000000-0004-0000-0200-00003B000000}"/>
    <hyperlink ref="F428" r:id="rId61" xr:uid="{00000000-0004-0000-0200-00003C000000}"/>
    <hyperlink ref="F430" r:id="rId62" xr:uid="{00000000-0004-0000-0200-00003D000000}"/>
    <hyperlink ref="F432" r:id="rId63" xr:uid="{00000000-0004-0000-0200-00003E000000}"/>
    <hyperlink ref="F434" r:id="rId64" xr:uid="{00000000-0004-0000-0200-00003F000000}"/>
    <hyperlink ref="F437" r:id="rId65" xr:uid="{00000000-0004-0000-0200-000040000000}"/>
    <hyperlink ref="F439" r:id="rId66" xr:uid="{00000000-0004-0000-0200-000041000000}"/>
    <hyperlink ref="F443" r:id="rId67" xr:uid="{00000000-0004-0000-0200-000042000000}"/>
    <hyperlink ref="F447" r:id="rId68" xr:uid="{00000000-0004-0000-0200-000043000000}"/>
    <hyperlink ref="F452" r:id="rId69" xr:uid="{00000000-0004-0000-0200-000044000000}"/>
    <hyperlink ref="F454" r:id="rId70" xr:uid="{00000000-0004-0000-0200-00004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2197-F530-4C65-9AC6-35C4CDED0DD6}">
  <sheetPr>
    <pageSetUpPr fitToPage="1"/>
  </sheetPr>
  <dimension ref="B2:BL418"/>
  <sheetViews>
    <sheetView showGridLines="0" topLeftCell="A389" zoomScaleNormal="100" workbookViewId="0">
      <selection activeCell="H431" sqref="H43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19" width="14.1640625" hidden="1" customWidth="1"/>
    <col min="20" max="20" width="8.83203125" hidden="1" customWidth="1"/>
    <col min="21" max="21" width="16.5" customWidth="1"/>
    <col min="22" max="22" width="12.33203125" style="423" customWidth="1"/>
    <col min="23" max="23" width="12.33203125" style="413" customWidth="1"/>
    <col min="24" max="24" width="19.664062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 ht="36.950000000000003" customHeight="1" x14ac:dyDescent="0.2">
      <c r="L2" s="671" t="s">
        <v>4</v>
      </c>
      <c r="M2" s="653"/>
      <c r="N2" s="653"/>
      <c r="O2" s="653"/>
      <c r="P2" s="653"/>
      <c r="Q2" s="653"/>
      <c r="R2" s="653"/>
      <c r="S2" s="653"/>
      <c r="T2" s="653"/>
      <c r="U2" s="653"/>
      <c r="V2" s="653"/>
      <c r="AS2" s="17" t="s">
        <v>68</v>
      </c>
    </row>
    <row r="3" spans="2:45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S3" s="17" t="s">
        <v>65</v>
      </c>
    </row>
    <row r="4" spans="2:45" ht="24.95" customHeight="1" x14ac:dyDescent="0.2">
      <c r="B4" s="20"/>
      <c r="D4" s="21" t="s">
        <v>72</v>
      </c>
      <c r="L4" s="20"/>
      <c r="M4" s="68" t="s">
        <v>9</v>
      </c>
      <c r="AS4" s="17" t="s">
        <v>2</v>
      </c>
    </row>
    <row r="5" spans="2:45" ht="6.95" customHeight="1" x14ac:dyDescent="0.2">
      <c r="B5" s="20"/>
      <c r="L5" s="20"/>
    </row>
    <row r="6" spans="2:45" ht="12" customHeight="1" x14ac:dyDescent="0.2">
      <c r="B6" s="20"/>
      <c r="D6" s="25" t="s">
        <v>13</v>
      </c>
      <c r="L6" s="20"/>
    </row>
    <row r="7" spans="2:45" ht="16.5" customHeight="1" x14ac:dyDescent="0.2">
      <c r="B7" s="20"/>
      <c r="E7" s="669" t="str">
        <f>Rekapitulace!K6</f>
        <v>Propojení Okružní x Na hroudách</v>
      </c>
      <c r="F7" s="670"/>
      <c r="G7" s="670"/>
      <c r="H7" s="670"/>
      <c r="L7" s="20"/>
    </row>
    <row r="8" spans="2:45" s="1" customFormat="1" ht="12" customHeight="1" x14ac:dyDescent="0.2">
      <c r="B8" s="28"/>
      <c r="D8" s="25" t="s">
        <v>73</v>
      </c>
      <c r="L8" s="28"/>
      <c r="V8" s="424"/>
      <c r="W8" s="414"/>
    </row>
    <row r="9" spans="2:45" s="1" customFormat="1" ht="16.5" customHeight="1" x14ac:dyDescent="0.2">
      <c r="B9" s="28"/>
      <c r="E9" s="638" t="s">
        <v>647</v>
      </c>
      <c r="F9" s="668"/>
      <c r="G9" s="668"/>
      <c r="H9" s="668"/>
      <c r="L9" s="28"/>
      <c r="V9" s="424"/>
      <c r="W9" s="414"/>
    </row>
    <row r="10" spans="2:45" s="1" customFormat="1" x14ac:dyDescent="0.2">
      <c r="B10" s="28"/>
      <c r="L10" s="28"/>
      <c r="V10" s="424"/>
      <c r="W10" s="414"/>
    </row>
    <row r="11" spans="2:45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V11" s="424"/>
      <c r="W11" s="414"/>
    </row>
    <row r="12" spans="2:45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V12" s="424"/>
      <c r="W12" s="414"/>
    </row>
    <row r="13" spans="2:45" s="1" customFormat="1" ht="10.9" customHeight="1" x14ac:dyDescent="0.2">
      <c r="B13" s="28"/>
      <c r="L13" s="28"/>
      <c r="V13" s="424"/>
      <c r="W13" s="414"/>
    </row>
    <row r="14" spans="2:45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V14" s="424"/>
      <c r="W14" s="414"/>
    </row>
    <row r="15" spans="2:45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V15" s="424"/>
      <c r="W15" s="414"/>
    </row>
    <row r="16" spans="2:45" s="1" customFormat="1" ht="6.95" customHeight="1" x14ac:dyDescent="0.2">
      <c r="B16" s="28"/>
      <c r="L16" s="28"/>
      <c r="V16" s="424"/>
      <c r="W16" s="414"/>
    </row>
    <row r="17" spans="2:24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V17" s="424"/>
      <c r="W17" s="414"/>
    </row>
    <row r="18" spans="2:24" s="1" customFormat="1" ht="18" customHeight="1" x14ac:dyDescent="0.2">
      <c r="B18" s="28"/>
      <c r="E18" s="652" t="str">
        <f>Rekapitulace!E14</f>
        <v xml:space="preserve"> </v>
      </c>
      <c r="F18" s="652"/>
      <c r="G18" s="652"/>
      <c r="H18" s="652"/>
      <c r="I18" s="25" t="s">
        <v>24</v>
      </c>
      <c r="J18" s="23" t="str">
        <f>Rekapitulace!AN14</f>
        <v/>
      </c>
      <c r="L18" s="28"/>
      <c r="V18" s="424"/>
      <c r="W18" s="429">
        <f>J30+'SO 320 - Spl. kan. – 0-0,098'!J30</f>
        <v>0</v>
      </c>
      <c r="X18" s="430">
        <v>2257225</v>
      </c>
    </row>
    <row r="19" spans="2:24" s="1" customFormat="1" ht="6.95" customHeight="1" x14ac:dyDescent="0.2">
      <c r="B19" s="28"/>
      <c r="L19" s="28"/>
      <c r="V19" s="424"/>
      <c r="W19" s="414"/>
    </row>
    <row r="20" spans="2:24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V20" s="424"/>
      <c r="W20" s="429">
        <f>W18-X18</f>
        <v>-2257225</v>
      </c>
    </row>
    <row r="21" spans="2:24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V21" s="424"/>
      <c r="W21" s="414"/>
    </row>
    <row r="22" spans="2:24" s="1" customFormat="1" ht="6.95" customHeight="1" x14ac:dyDescent="0.2">
      <c r="B22" s="28"/>
      <c r="L22" s="28"/>
      <c r="V22" s="424"/>
      <c r="W22" s="414"/>
    </row>
    <row r="23" spans="2:24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V23" s="424"/>
      <c r="W23" s="414"/>
    </row>
    <row r="24" spans="2:24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V24" s="424"/>
      <c r="W24" s="414"/>
    </row>
    <row r="25" spans="2:24" s="1" customFormat="1" ht="6.95" customHeight="1" x14ac:dyDescent="0.2">
      <c r="B25" s="28"/>
      <c r="L25" s="28"/>
      <c r="V25" s="424"/>
      <c r="W25" s="414"/>
    </row>
    <row r="26" spans="2:24" s="1" customFormat="1" ht="12" customHeight="1" x14ac:dyDescent="0.2">
      <c r="B26" s="28"/>
      <c r="D26" s="25" t="s">
        <v>32</v>
      </c>
      <c r="L26" s="28"/>
      <c r="V26" s="424"/>
      <c r="W26" s="414"/>
    </row>
    <row r="27" spans="2:24" s="7" customFormat="1" ht="16.5" customHeight="1" x14ac:dyDescent="0.2">
      <c r="B27" s="69"/>
      <c r="E27" s="655" t="s">
        <v>1</v>
      </c>
      <c r="F27" s="655"/>
      <c r="G27" s="655"/>
      <c r="H27" s="655"/>
      <c r="L27" s="69"/>
      <c r="V27" s="425"/>
      <c r="W27" s="415"/>
    </row>
    <row r="28" spans="2:24" s="1" customFormat="1" ht="6.95" customHeight="1" x14ac:dyDescent="0.2">
      <c r="B28" s="28"/>
      <c r="L28" s="28"/>
      <c r="V28" s="424"/>
      <c r="W28" s="414"/>
    </row>
    <row r="29" spans="2:24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V29" s="424"/>
      <c r="W29" s="414"/>
    </row>
    <row r="30" spans="2:24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V30" s="424"/>
      <c r="W30" s="414"/>
    </row>
    <row r="31" spans="2:24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V31" s="424"/>
      <c r="W31" s="414"/>
    </row>
    <row r="32" spans="2:24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V32" s="424"/>
      <c r="W32" s="414"/>
    </row>
    <row r="33" spans="2:23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V33" s="424"/>
      <c r="W33" s="414"/>
    </row>
    <row r="34" spans="2:23" s="1" customFormat="1" ht="14.45" customHeight="1" x14ac:dyDescent="0.2">
      <c r="B34" s="28"/>
      <c r="E34" s="25" t="s">
        <v>40</v>
      </c>
      <c r="F34" s="71">
        <f>ROUND((SUM(BE88:BE417)),  2)</f>
        <v>0</v>
      </c>
      <c r="I34" s="72">
        <v>0.15</v>
      </c>
      <c r="J34" s="71">
        <f>ROUND(((SUM(BE88:BE417))*I34),  2)</f>
        <v>0</v>
      </c>
      <c r="L34" s="28"/>
      <c r="V34" s="424"/>
      <c r="W34" s="414"/>
    </row>
    <row r="35" spans="2:23" s="1" customFormat="1" ht="14.45" hidden="1" customHeight="1" x14ac:dyDescent="0.2">
      <c r="B35" s="28"/>
      <c r="E35" s="25" t="s">
        <v>41</v>
      </c>
      <c r="F35" s="71">
        <f>ROUND((SUM(BF88:BF417)),  2)</f>
        <v>0</v>
      </c>
      <c r="I35" s="72">
        <v>0.21</v>
      </c>
      <c r="J35" s="71">
        <f>0</f>
        <v>0</v>
      </c>
      <c r="L35" s="28"/>
      <c r="V35" s="424"/>
      <c r="W35" s="414"/>
    </row>
    <row r="36" spans="2:23" s="1" customFormat="1" ht="14.45" hidden="1" customHeight="1" x14ac:dyDescent="0.2">
      <c r="B36" s="28"/>
      <c r="E36" s="25" t="s">
        <v>42</v>
      </c>
      <c r="F36" s="71">
        <f>ROUND((SUM(BG88:BG417)),  2)</f>
        <v>0</v>
      </c>
      <c r="I36" s="72">
        <v>0.15</v>
      </c>
      <c r="J36" s="71">
        <f>0</f>
        <v>0</v>
      </c>
      <c r="L36" s="28"/>
      <c r="V36" s="424"/>
      <c r="W36" s="414"/>
    </row>
    <row r="37" spans="2:23" s="1" customFormat="1" ht="14.45" hidden="1" customHeight="1" x14ac:dyDescent="0.2">
      <c r="B37" s="28"/>
      <c r="E37" s="25" t="s">
        <v>43</v>
      </c>
      <c r="F37" s="71">
        <f>ROUND((SUM(BH88:BH417)),  2)</f>
        <v>0</v>
      </c>
      <c r="I37" s="72">
        <v>0</v>
      </c>
      <c r="J37" s="71">
        <f>0</f>
        <v>0</v>
      </c>
      <c r="L37" s="28"/>
      <c r="V37" s="424"/>
      <c r="W37" s="414"/>
    </row>
    <row r="38" spans="2:23" s="1" customFormat="1" ht="6.95" customHeight="1" x14ac:dyDescent="0.2">
      <c r="B38" s="28"/>
      <c r="L38" s="28"/>
      <c r="V38" s="424"/>
      <c r="W38" s="414"/>
    </row>
    <row r="39" spans="2:23" s="1" customFormat="1" ht="25.35" customHeight="1" x14ac:dyDescent="0.2">
      <c r="B39" s="28"/>
      <c r="C39" s="73"/>
      <c r="D39" s="74" t="s">
        <v>44</v>
      </c>
      <c r="E39" s="49"/>
      <c r="F39" s="49"/>
      <c r="G39" s="75" t="s">
        <v>45</v>
      </c>
      <c r="H39" s="76" t="s">
        <v>46</v>
      </c>
      <c r="I39" s="49"/>
      <c r="J39" s="77">
        <f>SUM(J30:J37)</f>
        <v>0</v>
      </c>
      <c r="K39" s="78"/>
      <c r="L39" s="28"/>
      <c r="V39" s="424"/>
      <c r="W39" s="414"/>
    </row>
    <row r="40" spans="2:23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V40" s="424"/>
      <c r="W40" s="414"/>
    </row>
    <row r="44" spans="2:23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V44" s="424"/>
      <c r="W44" s="414"/>
    </row>
    <row r="45" spans="2:23" s="1" customFormat="1" ht="24.95" customHeight="1" x14ac:dyDescent="0.2">
      <c r="B45" s="28"/>
      <c r="C45" s="21" t="s">
        <v>75</v>
      </c>
      <c r="L45" s="28"/>
      <c r="V45" s="424"/>
      <c r="W45" s="414"/>
    </row>
    <row r="46" spans="2:23" s="1" customFormat="1" ht="6.95" customHeight="1" x14ac:dyDescent="0.2">
      <c r="B46" s="28"/>
      <c r="L46" s="28"/>
      <c r="V46" s="424"/>
      <c r="W46" s="414"/>
    </row>
    <row r="47" spans="2:23" s="1" customFormat="1" ht="12" customHeight="1" x14ac:dyDescent="0.2">
      <c r="B47" s="28"/>
      <c r="C47" s="25" t="s">
        <v>13</v>
      </c>
      <c r="L47" s="28"/>
      <c r="V47" s="424"/>
      <c r="W47" s="414"/>
    </row>
    <row r="48" spans="2:23" s="1" customFormat="1" ht="16.5" customHeight="1" x14ac:dyDescent="0.2">
      <c r="B48" s="28"/>
      <c r="E48" s="669" t="str">
        <f>E7</f>
        <v>Propojení Okružní x Na hroudách</v>
      </c>
      <c r="F48" s="670"/>
      <c r="G48" s="670"/>
      <c r="H48" s="670"/>
      <c r="L48" s="28"/>
      <c r="V48" s="424"/>
      <c r="W48" s="414"/>
    </row>
    <row r="49" spans="2:46" s="1" customFormat="1" ht="12" customHeight="1" x14ac:dyDescent="0.2">
      <c r="B49" s="28"/>
      <c r="C49" s="25" t="s">
        <v>73</v>
      </c>
      <c r="L49" s="28"/>
      <c r="V49" s="424"/>
      <c r="W49" s="414"/>
    </row>
    <row r="50" spans="2:46" s="1" customFormat="1" ht="16.5" customHeight="1" x14ac:dyDescent="0.2">
      <c r="B50" s="28"/>
      <c r="E50" s="638" t="str">
        <f>E9</f>
        <v>SO 320 - Splašková kanalizace</v>
      </c>
      <c r="F50" s="668"/>
      <c r="G50" s="668"/>
      <c r="H50" s="668"/>
      <c r="L50" s="28"/>
      <c r="V50" s="424"/>
      <c r="W50" s="414"/>
    </row>
    <row r="51" spans="2:46" s="1" customFormat="1" ht="6.95" customHeight="1" x14ac:dyDescent="0.2">
      <c r="B51" s="28"/>
      <c r="L51" s="28"/>
      <c r="V51" s="424"/>
      <c r="W51" s="414"/>
    </row>
    <row r="52" spans="2:46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V52" s="424"/>
      <c r="W52" s="414"/>
    </row>
    <row r="53" spans="2:46" s="1" customFormat="1" ht="6.95" customHeight="1" x14ac:dyDescent="0.2">
      <c r="B53" s="28"/>
      <c r="L53" s="28"/>
      <c r="V53" s="424"/>
      <c r="W53" s="414"/>
    </row>
    <row r="54" spans="2:46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V54" s="424"/>
      <c r="W54" s="414"/>
    </row>
    <row r="55" spans="2:46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V55" s="424"/>
      <c r="W55" s="414"/>
    </row>
    <row r="56" spans="2:46" s="1" customFormat="1" ht="10.35" customHeight="1" x14ac:dyDescent="0.2">
      <c r="B56" s="28"/>
      <c r="L56" s="28"/>
      <c r="V56" s="424"/>
      <c r="W56" s="414"/>
    </row>
    <row r="57" spans="2:46" s="1" customFormat="1" ht="29.25" customHeight="1" x14ac:dyDescent="0.2">
      <c r="B57" s="28"/>
      <c r="C57" s="79" t="s">
        <v>76</v>
      </c>
      <c r="D57" s="73"/>
      <c r="E57" s="73"/>
      <c r="F57" s="73"/>
      <c r="G57" s="73"/>
      <c r="H57" s="73"/>
      <c r="I57" s="73"/>
      <c r="J57" s="80" t="s">
        <v>77</v>
      </c>
      <c r="K57" s="73"/>
      <c r="L57" s="28"/>
      <c r="V57" s="424"/>
      <c r="W57" s="414"/>
    </row>
    <row r="58" spans="2:46" s="1" customFormat="1" ht="10.35" customHeight="1" x14ac:dyDescent="0.2">
      <c r="B58" s="28"/>
      <c r="L58" s="28"/>
      <c r="V58" s="424"/>
      <c r="W58" s="414"/>
    </row>
    <row r="59" spans="2:46" s="1" customFormat="1" ht="22.9" customHeight="1" x14ac:dyDescent="0.2">
      <c r="B59" s="28"/>
      <c r="C59" s="81" t="s">
        <v>53</v>
      </c>
      <c r="J59" s="58">
        <f>J88</f>
        <v>0</v>
      </c>
      <c r="L59" s="28"/>
      <c r="V59" s="424"/>
      <c r="W59" s="414"/>
      <c r="AT59" s="17" t="s">
        <v>78</v>
      </c>
    </row>
    <row r="60" spans="2:46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V60" s="426"/>
      <c r="W60" s="416"/>
    </row>
    <row r="61" spans="2:46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V61" s="427"/>
      <c r="W61" s="417"/>
    </row>
    <row r="62" spans="2:46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J228</f>
        <v>0</v>
      </c>
      <c r="L62" s="86"/>
      <c r="V62" s="427"/>
      <c r="W62" s="417"/>
    </row>
    <row r="63" spans="2:46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J231</f>
        <v>0</v>
      </c>
      <c r="L63" s="86"/>
      <c r="V63" s="427"/>
      <c r="W63" s="417"/>
    </row>
    <row r="64" spans="2:46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J280</f>
        <v>0</v>
      </c>
      <c r="L64" s="86"/>
      <c r="V64" s="427"/>
      <c r="W64" s="417"/>
    </row>
    <row r="65" spans="2:23" s="9" customFormat="1" ht="19.899999999999999" customHeight="1" x14ac:dyDescent="0.2">
      <c r="B65" s="86"/>
      <c r="D65" s="87" t="s">
        <v>83</v>
      </c>
      <c r="E65" s="88"/>
      <c r="F65" s="88"/>
      <c r="G65" s="88"/>
      <c r="H65" s="88"/>
      <c r="I65" s="88"/>
      <c r="J65" s="89">
        <f>J398</f>
        <v>0</v>
      </c>
      <c r="L65" s="86"/>
      <c r="V65" s="427"/>
      <c r="W65" s="417"/>
    </row>
    <row r="66" spans="2:23" s="8" customFormat="1" ht="24.95" customHeight="1" x14ac:dyDescent="0.2">
      <c r="B66" s="82"/>
      <c r="D66" s="83" t="s">
        <v>649</v>
      </c>
      <c r="E66" s="84"/>
      <c r="F66" s="84"/>
      <c r="G66" s="84"/>
      <c r="H66" s="84"/>
      <c r="I66" s="84"/>
      <c r="J66" s="85">
        <f>J403</f>
        <v>0</v>
      </c>
      <c r="L66" s="82"/>
      <c r="V66" s="426"/>
      <c r="W66" s="416"/>
    </row>
    <row r="67" spans="2:23" s="9" customFormat="1" ht="19.899999999999999" customHeight="1" x14ac:dyDescent="0.2">
      <c r="B67" s="86"/>
      <c r="D67" s="87" t="s">
        <v>650</v>
      </c>
      <c r="E67" s="88"/>
      <c r="F67" s="88"/>
      <c r="G67" s="88"/>
      <c r="H67" s="88"/>
      <c r="I67" s="88"/>
      <c r="J67" s="89">
        <f>J404</f>
        <v>0</v>
      </c>
      <c r="L67" s="86"/>
      <c r="V67" s="427"/>
      <c r="W67" s="417"/>
    </row>
    <row r="68" spans="2:23" s="9" customFormat="1" ht="19.899999999999999" customHeight="1" x14ac:dyDescent="0.2">
      <c r="B68" s="86"/>
      <c r="D68" s="87" t="s">
        <v>651</v>
      </c>
      <c r="E68" s="88"/>
      <c r="F68" s="88"/>
      <c r="G68" s="88"/>
      <c r="H68" s="88"/>
      <c r="I68" s="88"/>
      <c r="J68" s="89">
        <f>J408</f>
        <v>0</v>
      </c>
      <c r="L68" s="86"/>
      <c r="V68" s="427"/>
      <c r="W68" s="417"/>
    </row>
    <row r="69" spans="2:23" s="1" customFormat="1" ht="21.75" customHeight="1" x14ac:dyDescent="0.2">
      <c r="B69" s="28"/>
      <c r="L69" s="28"/>
      <c r="V69" s="424"/>
      <c r="W69" s="414"/>
    </row>
    <row r="70" spans="2:23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V70" s="424"/>
      <c r="W70" s="414"/>
    </row>
    <row r="74" spans="2:23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V74" s="424"/>
      <c r="W74" s="414"/>
    </row>
    <row r="75" spans="2:23" s="1" customFormat="1" ht="24.95" customHeight="1" x14ac:dyDescent="0.2">
      <c r="B75" s="28"/>
      <c r="C75" s="21" t="s">
        <v>86</v>
      </c>
      <c r="L75" s="28"/>
      <c r="V75" s="424"/>
      <c r="W75" s="414"/>
    </row>
    <row r="76" spans="2:23" s="1" customFormat="1" ht="6.95" customHeight="1" x14ac:dyDescent="0.2">
      <c r="B76" s="28"/>
      <c r="L76" s="28"/>
      <c r="V76" s="424"/>
      <c r="W76" s="414"/>
    </row>
    <row r="77" spans="2:23" s="1" customFormat="1" ht="12" customHeight="1" x14ac:dyDescent="0.2">
      <c r="B77" s="28"/>
      <c r="C77" s="25" t="s">
        <v>13</v>
      </c>
      <c r="L77" s="28"/>
      <c r="V77" s="424"/>
      <c r="W77" s="414"/>
    </row>
    <row r="78" spans="2:23" s="1" customFormat="1" ht="16.5" customHeight="1" x14ac:dyDescent="0.2">
      <c r="B78" s="28"/>
      <c r="E78" s="669" t="str">
        <f>E7</f>
        <v>Propojení Okružní x Na hroudách</v>
      </c>
      <c r="F78" s="670"/>
      <c r="G78" s="670"/>
      <c r="H78" s="670"/>
      <c r="L78" s="28"/>
      <c r="V78" s="424"/>
      <c r="W78" s="414"/>
    </row>
    <row r="79" spans="2:23" s="1" customFormat="1" ht="12" customHeight="1" x14ac:dyDescent="0.2">
      <c r="B79" s="28"/>
      <c r="C79" s="25" t="s">
        <v>73</v>
      </c>
      <c r="L79" s="28"/>
      <c r="V79" s="424"/>
      <c r="W79" s="414"/>
    </row>
    <row r="80" spans="2:23" s="1" customFormat="1" ht="16.5" customHeight="1" x14ac:dyDescent="0.2">
      <c r="B80" s="28"/>
      <c r="E80" s="638" t="str">
        <f>E9</f>
        <v>SO 320 - Splašková kanalizace</v>
      </c>
      <c r="F80" s="668"/>
      <c r="G80" s="668"/>
      <c r="H80" s="668"/>
      <c r="L80" s="28"/>
      <c r="V80" s="424"/>
      <c r="W80" s="414"/>
    </row>
    <row r="81" spans="2:64" s="1" customFormat="1" ht="6.95" customHeight="1" x14ac:dyDescent="0.2">
      <c r="B81" s="28"/>
      <c r="L81" s="28"/>
      <c r="V81" s="424"/>
      <c r="W81" s="414"/>
    </row>
    <row r="82" spans="2:64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V82" s="424"/>
      <c r="W82" s="414"/>
    </row>
    <row r="83" spans="2:64" s="1" customFormat="1" ht="6.95" customHeight="1" x14ac:dyDescent="0.2">
      <c r="B83" s="28"/>
      <c r="L83" s="28"/>
      <c r="V83" s="424"/>
      <c r="W83" s="414"/>
    </row>
    <row r="84" spans="2:64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V84" s="424"/>
      <c r="W84" s="414"/>
    </row>
    <row r="85" spans="2:64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V85" s="424"/>
      <c r="W85" s="414"/>
    </row>
    <row r="86" spans="2:64" s="1" customFormat="1" ht="10.35" customHeight="1" x14ac:dyDescent="0.2">
      <c r="B86" s="28"/>
      <c r="L86" s="28"/>
      <c r="V86" s="424"/>
      <c r="W86" s="414"/>
    </row>
    <row r="87" spans="2:64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92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V87" s="428"/>
      <c r="W87" s="418"/>
    </row>
    <row r="88" spans="2:64" s="1" customFormat="1" ht="22.9" customHeight="1" x14ac:dyDescent="0.25">
      <c r="B88" s="28"/>
      <c r="C88" s="56" t="s">
        <v>98</v>
      </c>
      <c r="J88" s="94">
        <f>BJ88</f>
        <v>0</v>
      </c>
      <c r="K88" s="121"/>
      <c r="L88" s="28"/>
      <c r="M88" s="54"/>
      <c r="N88" s="46"/>
      <c r="O88" s="46"/>
      <c r="P88" s="95">
        <f>P89+P403</f>
        <v>0</v>
      </c>
      <c r="Q88" s="46"/>
      <c r="R88" s="95">
        <f>R89+R403</f>
        <v>0</v>
      </c>
      <c r="S88" s="46"/>
      <c r="T88" s="96">
        <f>T89+T403</f>
        <v>0</v>
      </c>
      <c r="V88" s="424"/>
      <c r="W88" s="414"/>
      <c r="AS88" s="17" t="s">
        <v>54</v>
      </c>
      <c r="AT88" s="17" t="s">
        <v>78</v>
      </c>
      <c r="BJ88" s="97">
        <f>BJ89+BJ403</f>
        <v>0</v>
      </c>
    </row>
    <row r="89" spans="2:64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BJ89</f>
        <v>0</v>
      </c>
      <c r="L89" s="98"/>
      <c r="M89" s="102"/>
      <c r="P89" s="103"/>
      <c r="R89" s="103"/>
      <c r="T89" s="104"/>
      <c r="V89" s="423"/>
      <c r="W89" s="419"/>
      <c r="AQ89" s="99" t="s">
        <v>63</v>
      </c>
      <c r="AS89" s="105" t="s">
        <v>54</v>
      </c>
      <c r="AT89" s="105" t="s">
        <v>55</v>
      </c>
      <c r="AX89" s="99" t="s">
        <v>101</v>
      </c>
      <c r="BJ89" s="106">
        <f>BJ90+BJ228+BJ231+BJ280+BJ398</f>
        <v>0</v>
      </c>
    </row>
    <row r="90" spans="2:64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BJ90</f>
        <v>0</v>
      </c>
      <c r="L90" s="98"/>
      <c r="M90" s="102"/>
      <c r="P90" s="103"/>
      <c r="R90" s="103"/>
      <c r="T90" s="104"/>
      <c r="V90" s="423"/>
      <c r="W90" s="419"/>
      <c r="AQ90" s="99" t="s">
        <v>63</v>
      </c>
      <c r="AS90" s="105" t="s">
        <v>54</v>
      </c>
      <c r="AT90" s="105" t="s">
        <v>63</v>
      </c>
      <c r="AX90" s="99" t="s">
        <v>101</v>
      </c>
      <c r="BJ90" s="106">
        <f>SUM(BJ91:BJ226)</f>
        <v>0</v>
      </c>
    </row>
    <row r="91" spans="2:64" s="1" customFormat="1" ht="55.5" customHeight="1" x14ac:dyDescent="0.2">
      <c r="B91" s="109"/>
      <c r="C91" s="110" t="s">
        <v>119</v>
      </c>
      <c r="D91" s="110" t="s">
        <v>103</v>
      </c>
      <c r="E91" s="111" t="s">
        <v>128</v>
      </c>
      <c r="F91" s="112" t="s">
        <v>129</v>
      </c>
      <c r="G91" s="113" t="s">
        <v>130</v>
      </c>
      <c r="H91" s="114">
        <f>113.166*0.82</f>
        <v>92.796119999999988</v>
      </c>
      <c r="I91" s="115">
        <v>0</v>
      </c>
      <c r="J91" s="115">
        <f>ROUND(I91*H91,2)</f>
        <v>0</v>
      </c>
      <c r="K91" s="112" t="s">
        <v>107</v>
      </c>
      <c r="L91" s="28"/>
      <c r="M91" s="116"/>
      <c r="N91" s="117"/>
      <c r="O91" s="118"/>
      <c r="P91" s="118"/>
      <c r="Q91" s="118"/>
      <c r="R91" s="118"/>
      <c r="S91" s="118"/>
      <c r="T91" s="119"/>
      <c r="V91" s="424"/>
      <c r="W91" s="414"/>
      <c r="AQ91" s="120" t="s">
        <v>108</v>
      </c>
      <c r="AS91" s="120" t="s">
        <v>103</v>
      </c>
      <c r="AT91" s="120" t="s">
        <v>65</v>
      </c>
      <c r="AX91" s="17" t="s">
        <v>101</v>
      </c>
      <c r="BD91" s="121">
        <f>IF(N91="základní",J91,0)</f>
        <v>0</v>
      </c>
      <c r="BE91" s="121">
        <f>IF(N91="snížená",J91,0)</f>
        <v>0</v>
      </c>
      <c r="BF91" s="121">
        <f>IF(N91="zákl. přenesená",J91,0)</f>
        <v>0</v>
      </c>
      <c r="BG91" s="121">
        <f>IF(N91="sníž. přenesená",J91,0)</f>
        <v>0</v>
      </c>
      <c r="BH91" s="121">
        <f>IF(N91="nulová",J91,0)</f>
        <v>0</v>
      </c>
      <c r="BI91" s="17" t="s">
        <v>63</v>
      </c>
      <c r="BJ91" s="121">
        <f>ROUND(I91*H91,2)</f>
        <v>0</v>
      </c>
      <c r="BK91" s="17" t="s">
        <v>108</v>
      </c>
      <c r="BL91" s="120" t="s">
        <v>657</v>
      </c>
    </row>
    <row r="92" spans="2:64" s="1" customFormat="1" x14ac:dyDescent="0.2">
      <c r="B92" s="28"/>
      <c r="D92" s="122" t="s">
        <v>110</v>
      </c>
      <c r="F92" s="123" t="s">
        <v>132</v>
      </c>
      <c r="L92" s="28"/>
      <c r="M92" s="124"/>
      <c r="T92" s="48"/>
      <c r="V92" s="424"/>
      <c r="W92" s="414"/>
      <c r="AS92" s="17" t="s">
        <v>110</v>
      </c>
      <c r="AT92" s="17" t="s">
        <v>65</v>
      </c>
    </row>
    <row r="93" spans="2:64" s="12" customFormat="1" x14ac:dyDescent="0.2">
      <c r="B93" s="125"/>
      <c r="D93" s="126" t="s">
        <v>112</v>
      </c>
      <c r="E93" s="127" t="s">
        <v>1</v>
      </c>
      <c r="F93" s="128" t="s">
        <v>658</v>
      </c>
      <c r="H93" s="127" t="s">
        <v>1</v>
      </c>
      <c r="L93" s="125"/>
      <c r="M93" s="129"/>
      <c r="T93" s="130"/>
      <c r="V93" s="424"/>
      <c r="W93" s="420"/>
      <c r="AS93" s="127" t="s">
        <v>112</v>
      </c>
      <c r="AT93" s="127" t="s">
        <v>65</v>
      </c>
      <c r="AU93" s="12" t="s">
        <v>63</v>
      </c>
      <c r="AV93" s="12" t="s">
        <v>30</v>
      </c>
      <c r="AW93" s="12" t="s">
        <v>55</v>
      </c>
      <c r="AX93" s="127" t="s">
        <v>101</v>
      </c>
    </row>
    <row r="94" spans="2:64" s="12" customFormat="1" ht="22.5" x14ac:dyDescent="0.2">
      <c r="B94" s="125"/>
      <c r="D94" s="126" t="s">
        <v>112</v>
      </c>
      <c r="E94" s="127" t="s">
        <v>1</v>
      </c>
      <c r="F94" s="128" t="s">
        <v>659</v>
      </c>
      <c r="H94" s="127" t="s">
        <v>1</v>
      </c>
      <c r="L94" s="125"/>
      <c r="M94" s="129"/>
      <c r="T94" s="130"/>
      <c r="V94" s="424"/>
      <c r="W94" s="420"/>
      <c r="AS94" s="127" t="s">
        <v>112</v>
      </c>
      <c r="AT94" s="127" t="s">
        <v>65</v>
      </c>
      <c r="AU94" s="12" t="s">
        <v>63</v>
      </c>
      <c r="AV94" s="12" t="s">
        <v>30</v>
      </c>
      <c r="AW94" s="12" t="s">
        <v>55</v>
      </c>
      <c r="AX94" s="127" t="s">
        <v>101</v>
      </c>
    </row>
    <row r="95" spans="2:64" s="13" customFormat="1" x14ac:dyDescent="0.2">
      <c r="B95" s="131"/>
      <c r="D95" s="126" t="s">
        <v>112</v>
      </c>
      <c r="E95" s="132" t="s">
        <v>1</v>
      </c>
      <c r="F95" s="133" t="s">
        <v>660</v>
      </c>
      <c r="H95" s="134">
        <v>94.510999999999996</v>
      </c>
      <c r="L95" s="131"/>
      <c r="M95" s="135"/>
      <c r="T95" s="136"/>
      <c r="V95" s="424"/>
      <c r="W95" s="421"/>
      <c r="AS95" s="132" t="s">
        <v>112</v>
      </c>
      <c r="AT95" s="132" t="s">
        <v>65</v>
      </c>
      <c r="AU95" s="13" t="s">
        <v>65</v>
      </c>
      <c r="AV95" s="13" t="s">
        <v>30</v>
      </c>
      <c r="AW95" s="13" t="s">
        <v>55</v>
      </c>
      <c r="AX95" s="132" t="s">
        <v>101</v>
      </c>
    </row>
    <row r="96" spans="2:64" s="13" customFormat="1" x14ac:dyDescent="0.2">
      <c r="B96" s="131"/>
      <c r="D96" s="126" t="s">
        <v>112</v>
      </c>
      <c r="E96" s="132" t="s">
        <v>1</v>
      </c>
      <c r="F96" s="133" t="s">
        <v>661</v>
      </c>
      <c r="H96" s="134">
        <v>1.141</v>
      </c>
      <c r="L96" s="131"/>
      <c r="M96" s="135"/>
      <c r="T96" s="136"/>
      <c r="V96" s="424"/>
      <c r="W96" s="421"/>
      <c r="AS96" s="132" t="s">
        <v>112</v>
      </c>
      <c r="AT96" s="132" t="s">
        <v>65</v>
      </c>
      <c r="AU96" s="13" t="s">
        <v>65</v>
      </c>
      <c r="AV96" s="13" t="s">
        <v>30</v>
      </c>
      <c r="AW96" s="13" t="s">
        <v>55</v>
      </c>
      <c r="AX96" s="132" t="s">
        <v>101</v>
      </c>
    </row>
    <row r="97" spans="2:64" s="13" customFormat="1" x14ac:dyDescent="0.2">
      <c r="B97" s="131"/>
      <c r="D97" s="126" t="s">
        <v>112</v>
      </c>
      <c r="E97" s="132" t="s">
        <v>1</v>
      </c>
      <c r="F97" s="133" t="s">
        <v>662</v>
      </c>
      <c r="H97" s="134">
        <v>3.2509999999999999</v>
      </c>
      <c r="L97" s="131"/>
      <c r="M97" s="135"/>
      <c r="T97" s="136"/>
      <c r="V97" s="424"/>
      <c r="W97" s="421"/>
      <c r="AS97" s="132" t="s">
        <v>112</v>
      </c>
      <c r="AT97" s="132" t="s">
        <v>65</v>
      </c>
      <c r="AU97" s="13" t="s">
        <v>65</v>
      </c>
      <c r="AV97" s="13" t="s">
        <v>30</v>
      </c>
      <c r="AW97" s="13" t="s">
        <v>55</v>
      </c>
      <c r="AX97" s="132" t="s">
        <v>101</v>
      </c>
    </row>
    <row r="98" spans="2:64" s="13" customFormat="1" x14ac:dyDescent="0.2">
      <c r="B98" s="131"/>
      <c r="D98" s="126" t="s">
        <v>112</v>
      </c>
      <c r="E98" s="132" t="s">
        <v>1</v>
      </c>
      <c r="F98" s="133" t="s">
        <v>663</v>
      </c>
      <c r="H98" s="134">
        <v>4.5090000000000003</v>
      </c>
      <c r="L98" s="131"/>
      <c r="M98" s="135"/>
      <c r="T98" s="136"/>
      <c r="V98" s="424"/>
      <c r="W98" s="421"/>
      <c r="AS98" s="132" t="s">
        <v>112</v>
      </c>
      <c r="AT98" s="132" t="s">
        <v>65</v>
      </c>
      <c r="AU98" s="13" t="s">
        <v>65</v>
      </c>
      <c r="AV98" s="13" t="s">
        <v>30</v>
      </c>
      <c r="AW98" s="13" t="s">
        <v>55</v>
      </c>
      <c r="AX98" s="132" t="s">
        <v>101</v>
      </c>
    </row>
    <row r="99" spans="2:64" s="13" customFormat="1" x14ac:dyDescent="0.2">
      <c r="B99" s="131"/>
      <c r="D99" s="126" t="s">
        <v>112</v>
      </c>
      <c r="E99" s="132" t="s">
        <v>1</v>
      </c>
      <c r="F99" s="133" t="s">
        <v>664</v>
      </c>
      <c r="H99" s="134">
        <v>3.7789999999999999</v>
      </c>
      <c r="L99" s="131"/>
      <c r="M99" s="135"/>
      <c r="T99" s="136"/>
      <c r="V99" s="424"/>
      <c r="W99" s="421"/>
      <c r="AS99" s="132" t="s">
        <v>112</v>
      </c>
      <c r="AT99" s="132" t="s">
        <v>65</v>
      </c>
      <c r="AU99" s="13" t="s">
        <v>65</v>
      </c>
      <c r="AV99" s="13" t="s">
        <v>30</v>
      </c>
      <c r="AW99" s="13" t="s">
        <v>55</v>
      </c>
      <c r="AX99" s="132" t="s">
        <v>101</v>
      </c>
    </row>
    <row r="100" spans="2:64" s="12" customFormat="1" x14ac:dyDescent="0.2">
      <c r="B100" s="125"/>
      <c r="D100" s="126" t="s">
        <v>112</v>
      </c>
      <c r="E100" s="127" t="s">
        <v>1</v>
      </c>
      <c r="F100" s="128" t="s">
        <v>665</v>
      </c>
      <c r="H100" s="127" t="s">
        <v>1</v>
      </c>
      <c r="L100" s="125"/>
      <c r="M100" s="129"/>
      <c r="T100" s="130"/>
      <c r="V100" s="424"/>
      <c r="W100" s="420"/>
      <c r="AS100" s="127" t="s">
        <v>112</v>
      </c>
      <c r="AT100" s="127" t="s">
        <v>65</v>
      </c>
      <c r="AU100" s="12" t="s">
        <v>63</v>
      </c>
      <c r="AV100" s="12" t="s">
        <v>30</v>
      </c>
      <c r="AW100" s="12" t="s">
        <v>55</v>
      </c>
      <c r="AX100" s="127" t="s">
        <v>101</v>
      </c>
    </row>
    <row r="101" spans="2:64" s="12" customFormat="1" ht="33.75" x14ac:dyDescent="0.2">
      <c r="B101" s="125"/>
      <c r="D101" s="126" t="s">
        <v>112</v>
      </c>
      <c r="E101" s="127" t="s">
        <v>1</v>
      </c>
      <c r="F101" s="128" t="s">
        <v>666</v>
      </c>
      <c r="H101" s="127" t="s">
        <v>1</v>
      </c>
      <c r="L101" s="125"/>
      <c r="M101" s="129"/>
      <c r="T101" s="130"/>
      <c r="V101" s="424"/>
      <c r="W101" s="420"/>
      <c r="AS101" s="127" t="s">
        <v>112</v>
      </c>
      <c r="AT101" s="127" t="s">
        <v>65</v>
      </c>
      <c r="AU101" s="12" t="s">
        <v>63</v>
      </c>
      <c r="AV101" s="12" t="s">
        <v>30</v>
      </c>
      <c r="AW101" s="12" t="s">
        <v>55</v>
      </c>
      <c r="AX101" s="127" t="s">
        <v>101</v>
      </c>
    </row>
    <row r="102" spans="2:64" s="13" customFormat="1" x14ac:dyDescent="0.2">
      <c r="B102" s="131"/>
      <c r="D102" s="126" t="s">
        <v>112</v>
      </c>
      <c r="E102" s="132" t="s">
        <v>1</v>
      </c>
      <c r="F102" s="133" t="s">
        <v>667</v>
      </c>
      <c r="H102" s="134">
        <v>1.8480000000000001</v>
      </c>
      <c r="L102" s="131"/>
      <c r="M102" s="135"/>
      <c r="T102" s="136"/>
      <c r="V102" s="424"/>
      <c r="W102" s="421"/>
      <c r="AS102" s="132" t="s">
        <v>112</v>
      </c>
      <c r="AT102" s="132" t="s">
        <v>65</v>
      </c>
      <c r="AU102" s="13" t="s">
        <v>65</v>
      </c>
      <c r="AV102" s="13" t="s">
        <v>30</v>
      </c>
      <c r="AW102" s="13" t="s">
        <v>55</v>
      </c>
      <c r="AX102" s="132" t="s">
        <v>101</v>
      </c>
    </row>
    <row r="103" spans="2:64" s="12" customFormat="1" x14ac:dyDescent="0.2">
      <c r="B103" s="125"/>
      <c r="D103" s="126" t="s">
        <v>112</v>
      </c>
      <c r="E103" s="127" t="s">
        <v>1</v>
      </c>
      <c r="F103" s="128" t="s">
        <v>668</v>
      </c>
      <c r="H103" s="127" t="s">
        <v>1</v>
      </c>
      <c r="L103" s="125"/>
      <c r="M103" s="129"/>
      <c r="T103" s="130"/>
      <c r="V103" s="424"/>
      <c r="W103" s="420"/>
      <c r="AS103" s="127" t="s">
        <v>112</v>
      </c>
      <c r="AT103" s="127" t="s">
        <v>65</v>
      </c>
      <c r="AU103" s="12" t="s">
        <v>63</v>
      </c>
      <c r="AV103" s="12" t="s">
        <v>30</v>
      </c>
      <c r="AW103" s="12" t="s">
        <v>55</v>
      </c>
      <c r="AX103" s="127" t="s">
        <v>101</v>
      </c>
    </row>
    <row r="104" spans="2:64" s="12" customFormat="1" ht="22.5" x14ac:dyDescent="0.2">
      <c r="B104" s="125"/>
      <c r="D104" s="126" t="s">
        <v>112</v>
      </c>
      <c r="E104" s="127" t="s">
        <v>1</v>
      </c>
      <c r="F104" s="128" t="s">
        <v>669</v>
      </c>
      <c r="H104" s="127" t="s">
        <v>1</v>
      </c>
      <c r="L104" s="125"/>
      <c r="M104" s="129"/>
      <c r="T104" s="130"/>
      <c r="V104" s="424"/>
      <c r="W104" s="420"/>
      <c r="AS104" s="127" t="s">
        <v>112</v>
      </c>
      <c r="AT104" s="127" t="s">
        <v>65</v>
      </c>
      <c r="AU104" s="12" t="s">
        <v>63</v>
      </c>
      <c r="AV104" s="12" t="s">
        <v>30</v>
      </c>
      <c r="AW104" s="12" t="s">
        <v>55</v>
      </c>
      <c r="AX104" s="127" t="s">
        <v>101</v>
      </c>
    </row>
    <row r="105" spans="2:64" s="13" customFormat="1" x14ac:dyDescent="0.2">
      <c r="B105" s="131"/>
      <c r="D105" s="126" t="s">
        <v>112</v>
      </c>
      <c r="E105" s="132" t="s">
        <v>1</v>
      </c>
      <c r="F105" s="133" t="s">
        <v>670</v>
      </c>
      <c r="H105" s="134">
        <v>2.3660000000000001</v>
      </c>
      <c r="L105" s="131"/>
      <c r="M105" s="135"/>
      <c r="T105" s="136"/>
      <c r="V105" s="424"/>
      <c r="W105" s="421"/>
      <c r="AS105" s="132" t="s">
        <v>112</v>
      </c>
      <c r="AT105" s="132" t="s">
        <v>65</v>
      </c>
      <c r="AU105" s="13" t="s">
        <v>65</v>
      </c>
      <c r="AV105" s="13" t="s">
        <v>30</v>
      </c>
      <c r="AW105" s="13" t="s">
        <v>55</v>
      </c>
      <c r="AX105" s="132" t="s">
        <v>101</v>
      </c>
    </row>
    <row r="106" spans="2:64" s="13" customFormat="1" x14ac:dyDescent="0.2">
      <c r="B106" s="131"/>
      <c r="D106" s="126" t="s">
        <v>112</v>
      </c>
      <c r="E106" s="132" t="s">
        <v>1</v>
      </c>
      <c r="F106" s="133" t="s">
        <v>671</v>
      </c>
      <c r="H106" s="134">
        <v>0.42299999999999999</v>
      </c>
      <c r="L106" s="131"/>
      <c r="M106" s="135"/>
      <c r="T106" s="136"/>
      <c r="V106" s="424"/>
      <c r="W106" s="421"/>
      <c r="AS106" s="132" t="s">
        <v>112</v>
      </c>
      <c r="AT106" s="132" t="s">
        <v>65</v>
      </c>
      <c r="AU106" s="13" t="s">
        <v>65</v>
      </c>
      <c r="AV106" s="13" t="s">
        <v>30</v>
      </c>
      <c r="AW106" s="13" t="s">
        <v>55</v>
      </c>
      <c r="AX106" s="132" t="s">
        <v>101</v>
      </c>
    </row>
    <row r="107" spans="2:64" s="12" customFormat="1" x14ac:dyDescent="0.2">
      <c r="B107" s="125"/>
      <c r="D107" s="126" t="s">
        <v>112</v>
      </c>
      <c r="E107" s="127" t="s">
        <v>1</v>
      </c>
      <c r="F107" s="128" t="s">
        <v>672</v>
      </c>
      <c r="H107" s="127" t="s">
        <v>1</v>
      </c>
      <c r="L107" s="125"/>
      <c r="M107" s="129"/>
      <c r="T107" s="130"/>
      <c r="V107" s="424"/>
      <c r="W107" s="420"/>
      <c r="AS107" s="127" t="s">
        <v>112</v>
      </c>
      <c r="AT107" s="127" t="s">
        <v>65</v>
      </c>
      <c r="AU107" s="12" t="s">
        <v>63</v>
      </c>
      <c r="AV107" s="12" t="s">
        <v>30</v>
      </c>
      <c r="AW107" s="12" t="s">
        <v>55</v>
      </c>
      <c r="AX107" s="127" t="s">
        <v>101</v>
      </c>
    </row>
    <row r="108" spans="2:64" s="12" customFormat="1" ht="33.75" x14ac:dyDescent="0.2">
      <c r="B108" s="125"/>
      <c r="D108" s="126" t="s">
        <v>112</v>
      </c>
      <c r="E108" s="127" t="s">
        <v>1</v>
      </c>
      <c r="F108" s="128" t="s">
        <v>666</v>
      </c>
      <c r="H108" s="127" t="s">
        <v>1</v>
      </c>
      <c r="L108" s="125"/>
      <c r="M108" s="129"/>
      <c r="T108" s="130"/>
      <c r="V108" s="424"/>
      <c r="W108" s="420"/>
      <c r="AS108" s="127" t="s">
        <v>112</v>
      </c>
      <c r="AT108" s="127" t="s">
        <v>65</v>
      </c>
      <c r="AU108" s="12" t="s">
        <v>63</v>
      </c>
      <c r="AV108" s="12" t="s">
        <v>30</v>
      </c>
      <c r="AW108" s="12" t="s">
        <v>55</v>
      </c>
      <c r="AX108" s="127" t="s">
        <v>101</v>
      </c>
    </row>
    <row r="109" spans="2:64" s="13" customFormat="1" x14ac:dyDescent="0.2">
      <c r="B109" s="131"/>
      <c r="D109" s="126" t="s">
        <v>112</v>
      </c>
      <c r="E109" s="132" t="s">
        <v>1</v>
      </c>
      <c r="F109" s="133" t="s">
        <v>673</v>
      </c>
      <c r="H109" s="134">
        <v>1.3380000000000001</v>
      </c>
      <c r="L109" s="131"/>
      <c r="M109" s="135"/>
      <c r="T109" s="136"/>
      <c r="V109" s="424"/>
      <c r="W109" s="421"/>
      <c r="AS109" s="132" t="s">
        <v>112</v>
      </c>
      <c r="AT109" s="132" t="s">
        <v>65</v>
      </c>
      <c r="AU109" s="13" t="s">
        <v>65</v>
      </c>
      <c r="AV109" s="13" t="s">
        <v>30</v>
      </c>
      <c r="AW109" s="13" t="s">
        <v>55</v>
      </c>
      <c r="AX109" s="132" t="s">
        <v>101</v>
      </c>
    </row>
    <row r="110" spans="2:64" s="14" customFormat="1" x14ac:dyDescent="0.2">
      <c r="B110" s="137"/>
      <c r="D110" s="126" t="s">
        <v>112</v>
      </c>
      <c r="E110" s="138" t="s">
        <v>1</v>
      </c>
      <c r="F110" s="139" t="s">
        <v>127</v>
      </c>
      <c r="H110" s="140">
        <v>113.166</v>
      </c>
      <c r="L110" s="137"/>
      <c r="M110" s="141"/>
      <c r="T110" s="142"/>
      <c r="V110" s="424"/>
      <c r="W110" s="422"/>
      <c r="AS110" s="138" t="s">
        <v>112</v>
      </c>
      <c r="AT110" s="138" t="s">
        <v>65</v>
      </c>
      <c r="AU110" s="14" t="s">
        <v>108</v>
      </c>
      <c r="AV110" s="14" t="s">
        <v>30</v>
      </c>
      <c r="AW110" s="14" t="s">
        <v>63</v>
      </c>
      <c r="AX110" s="138" t="s">
        <v>101</v>
      </c>
    </row>
    <row r="111" spans="2:64" s="14" customFormat="1" x14ac:dyDescent="0.2">
      <c r="B111" s="137"/>
      <c r="D111" s="126"/>
      <c r="E111" s="138"/>
      <c r="F111" s="139" t="s">
        <v>1853</v>
      </c>
      <c r="H111" s="140">
        <f>H110*0.82</f>
        <v>92.796119999999988</v>
      </c>
      <c r="L111" s="137"/>
      <c r="M111" s="141"/>
      <c r="T111" s="142"/>
      <c r="V111" s="424"/>
      <c r="W111" s="422"/>
      <c r="AS111" s="138"/>
      <c r="AT111" s="138"/>
      <c r="AX111" s="138"/>
    </row>
    <row r="112" spans="2:64" s="1" customFormat="1" ht="55.5" customHeight="1" x14ac:dyDescent="0.2">
      <c r="B112" s="109"/>
      <c r="C112" s="110" t="s">
        <v>108</v>
      </c>
      <c r="D112" s="110" t="s">
        <v>103</v>
      </c>
      <c r="E112" s="111" t="s">
        <v>142</v>
      </c>
      <c r="F112" s="112" t="s">
        <v>143</v>
      </c>
      <c r="G112" s="113" t="s">
        <v>130</v>
      </c>
      <c r="H112" s="114">
        <f>250.585*0.82</f>
        <v>205.47970000000001</v>
      </c>
      <c r="I112" s="115">
        <v>0</v>
      </c>
      <c r="J112" s="115">
        <f>ROUND(I112*H112,2)</f>
        <v>0</v>
      </c>
      <c r="K112" s="112" t="s">
        <v>107</v>
      </c>
      <c r="L112" s="28"/>
      <c r="M112" s="116"/>
      <c r="N112" s="117"/>
      <c r="O112" s="118"/>
      <c r="P112" s="118"/>
      <c r="Q112" s="118"/>
      <c r="R112" s="118"/>
      <c r="S112" s="118"/>
      <c r="T112" s="119"/>
      <c r="V112" s="424"/>
      <c r="W112" s="414"/>
      <c r="AQ112" s="120" t="s">
        <v>108</v>
      </c>
      <c r="AS112" s="120" t="s">
        <v>103</v>
      </c>
      <c r="AT112" s="120" t="s">
        <v>65</v>
      </c>
      <c r="AX112" s="17" t="s">
        <v>101</v>
      </c>
      <c r="BD112" s="121">
        <f>IF(N112="základní",J112,0)</f>
        <v>0</v>
      </c>
      <c r="BE112" s="121">
        <f>IF(N112="snížená",J112,0)</f>
        <v>0</v>
      </c>
      <c r="BF112" s="121">
        <f>IF(N112="zákl. přenesená",J112,0)</f>
        <v>0</v>
      </c>
      <c r="BG112" s="121">
        <f>IF(N112="sníž. přenesená",J112,0)</f>
        <v>0</v>
      </c>
      <c r="BH112" s="121">
        <f>IF(N112="nulová",J112,0)</f>
        <v>0</v>
      </c>
      <c r="BI112" s="17" t="s">
        <v>63</v>
      </c>
      <c r="BJ112" s="121">
        <f>ROUND(I112*H112,2)</f>
        <v>0</v>
      </c>
      <c r="BK112" s="17" t="s">
        <v>108</v>
      </c>
      <c r="BL112" s="120" t="s">
        <v>674</v>
      </c>
    </row>
    <row r="113" spans="2:50" s="1" customFormat="1" x14ac:dyDescent="0.2">
      <c r="B113" s="28"/>
      <c r="D113" s="122" t="s">
        <v>110</v>
      </c>
      <c r="F113" s="123" t="s">
        <v>145</v>
      </c>
      <c r="L113" s="28"/>
      <c r="M113" s="124"/>
      <c r="T113" s="48"/>
      <c r="V113" s="424"/>
      <c r="W113" s="414"/>
      <c r="AS113" s="17" t="s">
        <v>110</v>
      </c>
      <c r="AT113" s="17" t="s">
        <v>65</v>
      </c>
    </row>
    <row r="114" spans="2:50" s="12" customFormat="1" x14ac:dyDescent="0.2">
      <c r="B114" s="125"/>
      <c r="D114" s="126" t="s">
        <v>112</v>
      </c>
      <c r="E114" s="127" t="s">
        <v>1</v>
      </c>
      <c r="F114" s="128" t="s">
        <v>658</v>
      </c>
      <c r="H114" s="127" t="s">
        <v>1</v>
      </c>
      <c r="L114" s="125"/>
      <c r="M114" s="129"/>
      <c r="T114" s="130"/>
      <c r="V114" s="424"/>
      <c r="W114" s="420"/>
      <c r="AS114" s="127" t="s">
        <v>112</v>
      </c>
      <c r="AT114" s="127" t="s">
        <v>65</v>
      </c>
      <c r="AU114" s="12" t="s">
        <v>63</v>
      </c>
      <c r="AV114" s="12" t="s">
        <v>30</v>
      </c>
      <c r="AW114" s="12" t="s">
        <v>55</v>
      </c>
      <c r="AX114" s="127" t="s">
        <v>101</v>
      </c>
    </row>
    <row r="115" spans="2:50" s="12" customFormat="1" ht="22.5" x14ac:dyDescent="0.2">
      <c r="B115" s="125"/>
      <c r="D115" s="126" t="s">
        <v>112</v>
      </c>
      <c r="E115" s="127" t="s">
        <v>1</v>
      </c>
      <c r="F115" s="128" t="s">
        <v>659</v>
      </c>
      <c r="H115" s="127" t="s">
        <v>1</v>
      </c>
      <c r="L115" s="125"/>
      <c r="M115" s="129"/>
      <c r="T115" s="130"/>
      <c r="V115" s="424"/>
      <c r="W115" s="420"/>
      <c r="AS115" s="127" t="s">
        <v>112</v>
      </c>
      <c r="AT115" s="127" t="s">
        <v>65</v>
      </c>
      <c r="AU115" s="12" t="s">
        <v>63</v>
      </c>
      <c r="AV115" s="12" t="s">
        <v>30</v>
      </c>
      <c r="AW115" s="12" t="s">
        <v>55</v>
      </c>
      <c r="AX115" s="127" t="s">
        <v>101</v>
      </c>
    </row>
    <row r="116" spans="2:50" s="13" customFormat="1" x14ac:dyDescent="0.2">
      <c r="B116" s="131"/>
      <c r="D116" s="126" t="s">
        <v>112</v>
      </c>
      <c r="E116" s="132" t="s">
        <v>1</v>
      </c>
      <c r="F116" s="133" t="s">
        <v>675</v>
      </c>
      <c r="H116" s="134">
        <v>209.27500000000001</v>
      </c>
      <c r="L116" s="131"/>
      <c r="M116" s="135"/>
      <c r="T116" s="136"/>
      <c r="V116" s="424"/>
      <c r="W116" s="421"/>
      <c r="AS116" s="132" t="s">
        <v>112</v>
      </c>
      <c r="AT116" s="132" t="s">
        <v>65</v>
      </c>
      <c r="AU116" s="13" t="s">
        <v>65</v>
      </c>
      <c r="AV116" s="13" t="s">
        <v>30</v>
      </c>
      <c r="AW116" s="13" t="s">
        <v>55</v>
      </c>
      <c r="AX116" s="132" t="s">
        <v>101</v>
      </c>
    </row>
    <row r="117" spans="2:50" s="13" customFormat="1" x14ac:dyDescent="0.2">
      <c r="B117" s="131"/>
      <c r="D117" s="126" t="s">
        <v>112</v>
      </c>
      <c r="E117" s="132" t="s">
        <v>1</v>
      </c>
      <c r="F117" s="133" t="s">
        <v>676</v>
      </c>
      <c r="H117" s="134">
        <v>2.5270000000000001</v>
      </c>
      <c r="L117" s="131"/>
      <c r="M117" s="135"/>
      <c r="T117" s="136"/>
      <c r="V117" s="424"/>
      <c r="W117" s="421"/>
      <c r="AS117" s="132" t="s">
        <v>112</v>
      </c>
      <c r="AT117" s="132" t="s">
        <v>65</v>
      </c>
      <c r="AU117" s="13" t="s">
        <v>65</v>
      </c>
      <c r="AV117" s="13" t="s">
        <v>30</v>
      </c>
      <c r="AW117" s="13" t="s">
        <v>55</v>
      </c>
      <c r="AX117" s="132" t="s">
        <v>101</v>
      </c>
    </row>
    <row r="118" spans="2:50" s="13" customFormat="1" x14ac:dyDescent="0.2">
      <c r="B118" s="131"/>
      <c r="D118" s="126" t="s">
        <v>112</v>
      </c>
      <c r="E118" s="132" t="s">
        <v>1</v>
      </c>
      <c r="F118" s="133" t="s">
        <v>677</v>
      </c>
      <c r="H118" s="134">
        <v>7.1989999999999998</v>
      </c>
      <c r="L118" s="131"/>
      <c r="M118" s="135"/>
      <c r="T118" s="136"/>
      <c r="V118" s="424"/>
      <c r="W118" s="421"/>
      <c r="AS118" s="132" t="s">
        <v>112</v>
      </c>
      <c r="AT118" s="132" t="s">
        <v>65</v>
      </c>
      <c r="AU118" s="13" t="s">
        <v>65</v>
      </c>
      <c r="AV118" s="13" t="s">
        <v>30</v>
      </c>
      <c r="AW118" s="13" t="s">
        <v>55</v>
      </c>
      <c r="AX118" s="132" t="s">
        <v>101</v>
      </c>
    </row>
    <row r="119" spans="2:50" s="13" customFormat="1" x14ac:dyDescent="0.2">
      <c r="B119" s="131"/>
      <c r="D119" s="126" t="s">
        <v>112</v>
      </c>
      <c r="E119" s="132" t="s">
        <v>1</v>
      </c>
      <c r="F119" s="133" t="s">
        <v>678</v>
      </c>
      <c r="H119" s="134">
        <v>9.984</v>
      </c>
      <c r="L119" s="131"/>
      <c r="M119" s="135"/>
      <c r="T119" s="136"/>
      <c r="V119" s="424"/>
      <c r="W119" s="421"/>
      <c r="AS119" s="132" t="s">
        <v>112</v>
      </c>
      <c r="AT119" s="132" t="s">
        <v>65</v>
      </c>
      <c r="AU119" s="13" t="s">
        <v>65</v>
      </c>
      <c r="AV119" s="13" t="s">
        <v>30</v>
      </c>
      <c r="AW119" s="13" t="s">
        <v>55</v>
      </c>
      <c r="AX119" s="132" t="s">
        <v>101</v>
      </c>
    </row>
    <row r="120" spans="2:50" s="13" customFormat="1" x14ac:dyDescent="0.2">
      <c r="B120" s="131"/>
      <c r="D120" s="126" t="s">
        <v>112</v>
      </c>
      <c r="E120" s="132" t="s">
        <v>1</v>
      </c>
      <c r="F120" s="133" t="s">
        <v>679</v>
      </c>
      <c r="H120" s="134">
        <v>8.3680000000000003</v>
      </c>
      <c r="L120" s="131"/>
      <c r="M120" s="135"/>
      <c r="T120" s="136"/>
      <c r="V120" s="424"/>
      <c r="W120" s="421"/>
      <c r="AS120" s="132" t="s">
        <v>112</v>
      </c>
      <c r="AT120" s="132" t="s">
        <v>65</v>
      </c>
      <c r="AU120" s="13" t="s">
        <v>65</v>
      </c>
      <c r="AV120" s="13" t="s">
        <v>30</v>
      </c>
      <c r="AW120" s="13" t="s">
        <v>55</v>
      </c>
      <c r="AX120" s="132" t="s">
        <v>101</v>
      </c>
    </row>
    <row r="121" spans="2:50" s="12" customFormat="1" x14ac:dyDescent="0.2">
      <c r="B121" s="125"/>
      <c r="D121" s="126" t="s">
        <v>112</v>
      </c>
      <c r="E121" s="127" t="s">
        <v>1</v>
      </c>
      <c r="F121" s="128" t="s">
        <v>665</v>
      </c>
      <c r="H121" s="127" t="s">
        <v>1</v>
      </c>
      <c r="L121" s="125"/>
      <c r="M121" s="129"/>
      <c r="T121" s="130"/>
      <c r="V121" s="424"/>
      <c r="W121" s="420"/>
      <c r="AS121" s="127" t="s">
        <v>112</v>
      </c>
      <c r="AT121" s="127" t="s">
        <v>65</v>
      </c>
      <c r="AU121" s="12" t="s">
        <v>63</v>
      </c>
      <c r="AV121" s="12" t="s">
        <v>30</v>
      </c>
      <c r="AW121" s="12" t="s">
        <v>55</v>
      </c>
      <c r="AX121" s="127" t="s">
        <v>101</v>
      </c>
    </row>
    <row r="122" spans="2:50" s="12" customFormat="1" ht="33.75" x14ac:dyDescent="0.2">
      <c r="B122" s="125"/>
      <c r="D122" s="126" t="s">
        <v>112</v>
      </c>
      <c r="E122" s="127" t="s">
        <v>1</v>
      </c>
      <c r="F122" s="128" t="s">
        <v>666</v>
      </c>
      <c r="H122" s="127" t="s">
        <v>1</v>
      </c>
      <c r="L122" s="125"/>
      <c r="M122" s="129"/>
      <c r="T122" s="130"/>
      <c r="V122" s="424"/>
      <c r="W122" s="420"/>
      <c r="AS122" s="127" t="s">
        <v>112</v>
      </c>
      <c r="AT122" s="127" t="s">
        <v>65</v>
      </c>
      <c r="AU122" s="12" t="s">
        <v>63</v>
      </c>
      <c r="AV122" s="12" t="s">
        <v>30</v>
      </c>
      <c r="AW122" s="12" t="s">
        <v>55</v>
      </c>
      <c r="AX122" s="127" t="s">
        <v>101</v>
      </c>
    </row>
    <row r="123" spans="2:50" s="13" customFormat="1" x14ac:dyDescent="0.2">
      <c r="B123" s="131"/>
      <c r="D123" s="126" t="s">
        <v>112</v>
      </c>
      <c r="E123" s="132" t="s">
        <v>1</v>
      </c>
      <c r="F123" s="133" t="s">
        <v>680</v>
      </c>
      <c r="H123" s="134">
        <v>4.0919999999999996</v>
      </c>
      <c r="L123" s="131"/>
      <c r="M123" s="135"/>
      <c r="T123" s="136"/>
      <c r="V123" s="424"/>
      <c r="W123" s="421"/>
      <c r="AS123" s="132" t="s">
        <v>112</v>
      </c>
      <c r="AT123" s="132" t="s">
        <v>65</v>
      </c>
      <c r="AU123" s="13" t="s">
        <v>65</v>
      </c>
      <c r="AV123" s="13" t="s">
        <v>30</v>
      </c>
      <c r="AW123" s="13" t="s">
        <v>55</v>
      </c>
      <c r="AX123" s="132" t="s">
        <v>101</v>
      </c>
    </row>
    <row r="124" spans="2:50" s="12" customFormat="1" x14ac:dyDescent="0.2">
      <c r="B124" s="125"/>
      <c r="D124" s="126" t="s">
        <v>112</v>
      </c>
      <c r="E124" s="127" t="s">
        <v>1</v>
      </c>
      <c r="F124" s="128" t="s">
        <v>668</v>
      </c>
      <c r="H124" s="127" t="s">
        <v>1</v>
      </c>
      <c r="L124" s="125"/>
      <c r="M124" s="129"/>
      <c r="T124" s="130"/>
      <c r="V124" s="424"/>
      <c r="W124" s="420"/>
      <c r="AS124" s="127" t="s">
        <v>112</v>
      </c>
      <c r="AT124" s="127" t="s">
        <v>65</v>
      </c>
      <c r="AU124" s="12" t="s">
        <v>63</v>
      </c>
      <c r="AV124" s="12" t="s">
        <v>30</v>
      </c>
      <c r="AW124" s="12" t="s">
        <v>55</v>
      </c>
      <c r="AX124" s="127" t="s">
        <v>101</v>
      </c>
    </row>
    <row r="125" spans="2:50" s="12" customFormat="1" ht="22.5" x14ac:dyDescent="0.2">
      <c r="B125" s="125"/>
      <c r="D125" s="126" t="s">
        <v>112</v>
      </c>
      <c r="E125" s="127" t="s">
        <v>1</v>
      </c>
      <c r="F125" s="128" t="s">
        <v>669</v>
      </c>
      <c r="H125" s="127" t="s">
        <v>1</v>
      </c>
      <c r="L125" s="125"/>
      <c r="M125" s="129"/>
      <c r="T125" s="130"/>
      <c r="V125" s="424"/>
      <c r="W125" s="420"/>
      <c r="AS125" s="127" t="s">
        <v>112</v>
      </c>
      <c r="AT125" s="127" t="s">
        <v>65</v>
      </c>
      <c r="AU125" s="12" t="s">
        <v>63</v>
      </c>
      <c r="AV125" s="12" t="s">
        <v>30</v>
      </c>
      <c r="AW125" s="12" t="s">
        <v>55</v>
      </c>
      <c r="AX125" s="127" t="s">
        <v>101</v>
      </c>
    </row>
    <row r="126" spans="2:50" s="13" customFormat="1" x14ac:dyDescent="0.2">
      <c r="B126" s="131"/>
      <c r="D126" s="126" t="s">
        <v>112</v>
      </c>
      <c r="E126" s="132" t="s">
        <v>1</v>
      </c>
      <c r="F126" s="133" t="s">
        <v>681</v>
      </c>
      <c r="H126" s="134">
        <v>5.2389999999999999</v>
      </c>
      <c r="L126" s="131"/>
      <c r="M126" s="135"/>
      <c r="T126" s="136"/>
      <c r="V126" s="424"/>
      <c r="W126" s="421"/>
      <c r="AS126" s="132" t="s">
        <v>112</v>
      </c>
      <c r="AT126" s="132" t="s">
        <v>65</v>
      </c>
      <c r="AU126" s="13" t="s">
        <v>65</v>
      </c>
      <c r="AV126" s="13" t="s">
        <v>30</v>
      </c>
      <c r="AW126" s="13" t="s">
        <v>55</v>
      </c>
      <c r="AX126" s="132" t="s">
        <v>101</v>
      </c>
    </row>
    <row r="127" spans="2:50" s="13" customFormat="1" x14ac:dyDescent="0.2">
      <c r="B127" s="131"/>
      <c r="D127" s="126" t="s">
        <v>112</v>
      </c>
      <c r="E127" s="132" t="s">
        <v>1</v>
      </c>
      <c r="F127" s="133" t="s">
        <v>682</v>
      </c>
      <c r="H127" s="134">
        <v>0.93700000000000006</v>
      </c>
      <c r="L127" s="131"/>
      <c r="M127" s="135"/>
      <c r="T127" s="136"/>
      <c r="V127" s="424"/>
      <c r="W127" s="421"/>
      <c r="AS127" s="132" t="s">
        <v>112</v>
      </c>
      <c r="AT127" s="132" t="s">
        <v>65</v>
      </c>
      <c r="AU127" s="13" t="s">
        <v>65</v>
      </c>
      <c r="AV127" s="13" t="s">
        <v>30</v>
      </c>
      <c r="AW127" s="13" t="s">
        <v>55</v>
      </c>
      <c r="AX127" s="132" t="s">
        <v>101</v>
      </c>
    </row>
    <row r="128" spans="2:50" s="12" customFormat="1" x14ac:dyDescent="0.2">
      <c r="B128" s="125"/>
      <c r="D128" s="126" t="s">
        <v>112</v>
      </c>
      <c r="E128" s="127" t="s">
        <v>1</v>
      </c>
      <c r="F128" s="128" t="s">
        <v>672</v>
      </c>
      <c r="H128" s="127" t="s">
        <v>1</v>
      </c>
      <c r="L128" s="125"/>
      <c r="M128" s="129"/>
      <c r="T128" s="130"/>
      <c r="V128" s="424"/>
      <c r="W128" s="420"/>
      <c r="AS128" s="127" t="s">
        <v>112</v>
      </c>
      <c r="AT128" s="127" t="s">
        <v>65</v>
      </c>
      <c r="AU128" s="12" t="s">
        <v>63</v>
      </c>
      <c r="AV128" s="12" t="s">
        <v>30</v>
      </c>
      <c r="AW128" s="12" t="s">
        <v>55</v>
      </c>
      <c r="AX128" s="127" t="s">
        <v>101</v>
      </c>
    </row>
    <row r="129" spans="2:64" s="12" customFormat="1" ht="33.75" x14ac:dyDescent="0.2">
      <c r="B129" s="125"/>
      <c r="D129" s="126" t="s">
        <v>112</v>
      </c>
      <c r="E129" s="127" t="s">
        <v>1</v>
      </c>
      <c r="F129" s="128" t="s">
        <v>666</v>
      </c>
      <c r="H129" s="127" t="s">
        <v>1</v>
      </c>
      <c r="L129" s="125"/>
      <c r="M129" s="129"/>
      <c r="T129" s="130"/>
      <c r="V129" s="424"/>
      <c r="W129" s="420"/>
      <c r="AS129" s="127" t="s">
        <v>112</v>
      </c>
      <c r="AT129" s="127" t="s">
        <v>65</v>
      </c>
      <c r="AU129" s="12" t="s">
        <v>63</v>
      </c>
      <c r="AV129" s="12" t="s">
        <v>30</v>
      </c>
      <c r="AW129" s="12" t="s">
        <v>55</v>
      </c>
      <c r="AX129" s="127" t="s">
        <v>101</v>
      </c>
    </row>
    <row r="130" spans="2:64" s="13" customFormat="1" x14ac:dyDescent="0.2">
      <c r="B130" s="131"/>
      <c r="D130" s="126" t="s">
        <v>112</v>
      </c>
      <c r="E130" s="132" t="s">
        <v>1</v>
      </c>
      <c r="F130" s="133" t="s">
        <v>683</v>
      </c>
      <c r="H130" s="134">
        <v>2.964</v>
      </c>
      <c r="L130" s="131"/>
      <c r="M130" s="135"/>
      <c r="T130" s="136"/>
      <c r="V130" s="424"/>
      <c r="W130" s="421"/>
      <c r="AS130" s="132" t="s">
        <v>112</v>
      </c>
      <c r="AT130" s="132" t="s">
        <v>65</v>
      </c>
      <c r="AU130" s="13" t="s">
        <v>65</v>
      </c>
      <c r="AV130" s="13" t="s">
        <v>30</v>
      </c>
      <c r="AW130" s="13" t="s">
        <v>55</v>
      </c>
      <c r="AX130" s="132" t="s">
        <v>101</v>
      </c>
    </row>
    <row r="131" spans="2:64" s="14" customFormat="1" x14ac:dyDescent="0.2">
      <c r="B131" s="137"/>
      <c r="D131" s="126" t="s">
        <v>112</v>
      </c>
      <c r="E131" s="138" t="s">
        <v>1</v>
      </c>
      <c r="F131" s="139" t="s">
        <v>127</v>
      </c>
      <c r="H131" s="140">
        <v>250.58500000000001</v>
      </c>
      <c r="L131" s="137"/>
      <c r="M131" s="141"/>
      <c r="T131" s="142"/>
      <c r="V131" s="424"/>
      <c r="W131" s="422"/>
      <c r="AS131" s="138" t="s">
        <v>112</v>
      </c>
      <c r="AT131" s="138" t="s">
        <v>65</v>
      </c>
      <c r="AU131" s="14" t="s">
        <v>108</v>
      </c>
      <c r="AV131" s="14" t="s">
        <v>30</v>
      </c>
      <c r="AW131" s="14" t="s">
        <v>63</v>
      </c>
      <c r="AX131" s="138" t="s">
        <v>101</v>
      </c>
    </row>
    <row r="132" spans="2:64" s="14" customFormat="1" x14ac:dyDescent="0.2">
      <c r="B132" s="137"/>
      <c r="D132" s="126"/>
      <c r="E132" s="138"/>
      <c r="F132" s="139" t="s">
        <v>1853</v>
      </c>
      <c r="H132" s="140">
        <f>H131*0.82</f>
        <v>205.47970000000001</v>
      </c>
      <c r="L132" s="137"/>
      <c r="M132" s="141"/>
      <c r="T132" s="142"/>
      <c r="V132" s="424"/>
      <c r="W132" s="422"/>
      <c r="AS132" s="138"/>
      <c r="AT132" s="138"/>
      <c r="AX132" s="138"/>
    </row>
    <row r="133" spans="2:64" s="1" customFormat="1" ht="55.5" customHeight="1" x14ac:dyDescent="0.2">
      <c r="B133" s="109"/>
      <c r="C133" s="110" t="s">
        <v>141</v>
      </c>
      <c r="D133" s="110" t="s">
        <v>103</v>
      </c>
      <c r="E133" s="111" t="s">
        <v>154</v>
      </c>
      <c r="F133" s="112" t="s">
        <v>155</v>
      </c>
      <c r="G133" s="113" t="s">
        <v>130</v>
      </c>
      <c r="H133" s="114">
        <f>444.584*0.82</f>
        <v>364.55887999999999</v>
      </c>
      <c r="I133" s="115">
        <v>0</v>
      </c>
      <c r="J133" s="115">
        <f>ROUND(I133*H133,2)</f>
        <v>0</v>
      </c>
      <c r="K133" s="112" t="s">
        <v>107</v>
      </c>
      <c r="L133" s="28"/>
      <c r="M133" s="116"/>
      <c r="N133" s="117"/>
      <c r="O133" s="118"/>
      <c r="P133" s="118"/>
      <c r="Q133" s="118"/>
      <c r="R133" s="118"/>
      <c r="S133" s="118"/>
      <c r="T133" s="119"/>
      <c r="V133" s="424"/>
      <c r="W133" s="414"/>
      <c r="AQ133" s="120" t="s">
        <v>108</v>
      </c>
      <c r="AS133" s="120" t="s">
        <v>103</v>
      </c>
      <c r="AT133" s="120" t="s">
        <v>65</v>
      </c>
      <c r="AX133" s="17" t="s">
        <v>101</v>
      </c>
      <c r="BD133" s="121">
        <f>IF(N133="základní",J133,0)</f>
        <v>0</v>
      </c>
      <c r="BE133" s="121">
        <f>IF(N133="snížená",J133,0)</f>
        <v>0</v>
      </c>
      <c r="BF133" s="121">
        <f>IF(N133="zákl. přenesená",J133,0)</f>
        <v>0</v>
      </c>
      <c r="BG133" s="121">
        <f>IF(N133="sníž. přenesená",J133,0)</f>
        <v>0</v>
      </c>
      <c r="BH133" s="121">
        <f>IF(N133="nulová",J133,0)</f>
        <v>0</v>
      </c>
      <c r="BI133" s="17" t="s">
        <v>63</v>
      </c>
      <c r="BJ133" s="121">
        <f>ROUND(I133*H133,2)</f>
        <v>0</v>
      </c>
      <c r="BK133" s="17" t="s">
        <v>108</v>
      </c>
      <c r="BL133" s="120" t="s">
        <v>684</v>
      </c>
    </row>
    <row r="134" spans="2:64" s="1" customFormat="1" x14ac:dyDescent="0.2">
      <c r="B134" s="28"/>
      <c r="D134" s="122" t="s">
        <v>110</v>
      </c>
      <c r="F134" s="123" t="s">
        <v>157</v>
      </c>
      <c r="L134" s="28"/>
      <c r="M134" s="124"/>
      <c r="T134" s="48"/>
      <c r="V134" s="424"/>
      <c r="W134" s="414"/>
      <c r="AS134" s="17" t="s">
        <v>110</v>
      </c>
      <c r="AT134" s="17" t="s">
        <v>65</v>
      </c>
    </row>
    <row r="135" spans="2:64" s="12" customFormat="1" x14ac:dyDescent="0.2">
      <c r="B135" s="125"/>
      <c r="D135" s="126" t="s">
        <v>112</v>
      </c>
      <c r="E135" s="127" t="s">
        <v>1</v>
      </c>
      <c r="F135" s="128" t="s">
        <v>658</v>
      </c>
      <c r="H135" s="127" t="s">
        <v>1</v>
      </c>
      <c r="L135" s="125"/>
      <c r="M135" s="129"/>
      <c r="T135" s="130"/>
      <c r="V135" s="424"/>
      <c r="W135" s="420"/>
      <c r="AS135" s="127" t="s">
        <v>112</v>
      </c>
      <c r="AT135" s="127" t="s">
        <v>65</v>
      </c>
      <c r="AU135" s="12" t="s">
        <v>63</v>
      </c>
      <c r="AV135" s="12" t="s">
        <v>30</v>
      </c>
      <c r="AW135" s="12" t="s">
        <v>55</v>
      </c>
      <c r="AX135" s="127" t="s">
        <v>101</v>
      </c>
    </row>
    <row r="136" spans="2:64" s="12" customFormat="1" ht="22.5" x14ac:dyDescent="0.2">
      <c r="B136" s="125"/>
      <c r="D136" s="126" t="s">
        <v>112</v>
      </c>
      <c r="E136" s="127" t="s">
        <v>1</v>
      </c>
      <c r="F136" s="128" t="s">
        <v>659</v>
      </c>
      <c r="H136" s="127" t="s">
        <v>1</v>
      </c>
      <c r="L136" s="125"/>
      <c r="M136" s="129"/>
      <c r="T136" s="130"/>
      <c r="V136" s="424"/>
      <c r="W136" s="420"/>
      <c r="AS136" s="127" t="s">
        <v>112</v>
      </c>
      <c r="AT136" s="127" t="s">
        <v>65</v>
      </c>
      <c r="AU136" s="12" t="s">
        <v>63</v>
      </c>
      <c r="AV136" s="12" t="s">
        <v>30</v>
      </c>
      <c r="AW136" s="12" t="s">
        <v>55</v>
      </c>
      <c r="AX136" s="127" t="s">
        <v>101</v>
      </c>
    </row>
    <row r="137" spans="2:64" s="13" customFormat="1" x14ac:dyDescent="0.2">
      <c r="B137" s="131"/>
      <c r="D137" s="126" t="s">
        <v>112</v>
      </c>
      <c r="E137" s="132" t="s">
        <v>1</v>
      </c>
      <c r="F137" s="133" t="s">
        <v>685</v>
      </c>
      <c r="H137" s="134">
        <v>371.29399999999998</v>
      </c>
      <c r="L137" s="131"/>
      <c r="M137" s="135"/>
      <c r="T137" s="136"/>
      <c r="V137" s="424"/>
      <c r="W137" s="421"/>
      <c r="AS137" s="132" t="s">
        <v>112</v>
      </c>
      <c r="AT137" s="132" t="s">
        <v>65</v>
      </c>
      <c r="AU137" s="13" t="s">
        <v>65</v>
      </c>
      <c r="AV137" s="13" t="s">
        <v>30</v>
      </c>
      <c r="AW137" s="13" t="s">
        <v>55</v>
      </c>
      <c r="AX137" s="132" t="s">
        <v>101</v>
      </c>
    </row>
    <row r="138" spans="2:64" s="13" customFormat="1" x14ac:dyDescent="0.2">
      <c r="B138" s="131"/>
      <c r="D138" s="126" t="s">
        <v>112</v>
      </c>
      <c r="E138" s="132" t="s">
        <v>1</v>
      </c>
      <c r="F138" s="133" t="s">
        <v>686</v>
      </c>
      <c r="H138" s="134">
        <v>4.4829999999999997</v>
      </c>
      <c r="L138" s="131"/>
      <c r="M138" s="135"/>
      <c r="T138" s="136"/>
      <c r="V138" s="424"/>
      <c r="W138" s="421"/>
      <c r="AS138" s="132" t="s">
        <v>112</v>
      </c>
      <c r="AT138" s="132" t="s">
        <v>65</v>
      </c>
      <c r="AU138" s="13" t="s">
        <v>65</v>
      </c>
      <c r="AV138" s="13" t="s">
        <v>30</v>
      </c>
      <c r="AW138" s="13" t="s">
        <v>55</v>
      </c>
      <c r="AX138" s="132" t="s">
        <v>101</v>
      </c>
    </row>
    <row r="139" spans="2:64" s="13" customFormat="1" x14ac:dyDescent="0.2">
      <c r="B139" s="131"/>
      <c r="D139" s="126" t="s">
        <v>112</v>
      </c>
      <c r="E139" s="132" t="s">
        <v>1</v>
      </c>
      <c r="F139" s="133" t="s">
        <v>687</v>
      </c>
      <c r="H139" s="134">
        <v>12.772</v>
      </c>
      <c r="L139" s="131"/>
      <c r="M139" s="135"/>
      <c r="T139" s="136"/>
      <c r="V139" s="424"/>
      <c r="W139" s="421"/>
      <c r="AS139" s="132" t="s">
        <v>112</v>
      </c>
      <c r="AT139" s="132" t="s">
        <v>65</v>
      </c>
      <c r="AU139" s="13" t="s">
        <v>65</v>
      </c>
      <c r="AV139" s="13" t="s">
        <v>30</v>
      </c>
      <c r="AW139" s="13" t="s">
        <v>55</v>
      </c>
      <c r="AX139" s="132" t="s">
        <v>101</v>
      </c>
    </row>
    <row r="140" spans="2:64" s="13" customFormat="1" x14ac:dyDescent="0.2">
      <c r="B140" s="131"/>
      <c r="D140" s="126" t="s">
        <v>112</v>
      </c>
      <c r="E140" s="132" t="s">
        <v>1</v>
      </c>
      <c r="F140" s="133" t="s">
        <v>688</v>
      </c>
      <c r="H140" s="134">
        <v>17.713000000000001</v>
      </c>
      <c r="L140" s="131"/>
      <c r="M140" s="135"/>
      <c r="T140" s="136"/>
      <c r="V140" s="424"/>
      <c r="W140" s="421"/>
      <c r="AS140" s="132" t="s">
        <v>112</v>
      </c>
      <c r="AT140" s="132" t="s">
        <v>65</v>
      </c>
      <c r="AU140" s="13" t="s">
        <v>65</v>
      </c>
      <c r="AV140" s="13" t="s">
        <v>30</v>
      </c>
      <c r="AW140" s="13" t="s">
        <v>55</v>
      </c>
      <c r="AX140" s="132" t="s">
        <v>101</v>
      </c>
    </row>
    <row r="141" spans="2:64" s="13" customFormat="1" x14ac:dyDescent="0.2">
      <c r="B141" s="131"/>
      <c r="D141" s="126" t="s">
        <v>112</v>
      </c>
      <c r="E141" s="132" t="s">
        <v>1</v>
      </c>
      <c r="F141" s="133" t="s">
        <v>689</v>
      </c>
      <c r="H141" s="134">
        <v>14.846</v>
      </c>
      <c r="L141" s="131"/>
      <c r="M141" s="135"/>
      <c r="T141" s="136"/>
      <c r="V141" s="424"/>
      <c r="W141" s="421"/>
      <c r="AS141" s="132" t="s">
        <v>112</v>
      </c>
      <c r="AT141" s="132" t="s">
        <v>65</v>
      </c>
      <c r="AU141" s="13" t="s">
        <v>65</v>
      </c>
      <c r="AV141" s="13" t="s">
        <v>30</v>
      </c>
      <c r="AW141" s="13" t="s">
        <v>55</v>
      </c>
      <c r="AX141" s="132" t="s">
        <v>101</v>
      </c>
    </row>
    <row r="142" spans="2:64" s="12" customFormat="1" x14ac:dyDescent="0.2">
      <c r="B142" s="125"/>
      <c r="D142" s="126" t="s">
        <v>112</v>
      </c>
      <c r="E142" s="127" t="s">
        <v>1</v>
      </c>
      <c r="F142" s="128" t="s">
        <v>665</v>
      </c>
      <c r="H142" s="127" t="s">
        <v>1</v>
      </c>
      <c r="L142" s="125"/>
      <c r="M142" s="129"/>
      <c r="T142" s="130"/>
      <c r="V142" s="424"/>
      <c r="W142" s="420"/>
      <c r="AS142" s="127" t="s">
        <v>112</v>
      </c>
      <c r="AT142" s="127" t="s">
        <v>65</v>
      </c>
      <c r="AU142" s="12" t="s">
        <v>63</v>
      </c>
      <c r="AV142" s="12" t="s">
        <v>30</v>
      </c>
      <c r="AW142" s="12" t="s">
        <v>55</v>
      </c>
      <c r="AX142" s="127" t="s">
        <v>101</v>
      </c>
    </row>
    <row r="143" spans="2:64" s="12" customFormat="1" ht="33.75" x14ac:dyDescent="0.2">
      <c r="B143" s="125"/>
      <c r="D143" s="126" t="s">
        <v>112</v>
      </c>
      <c r="E143" s="127" t="s">
        <v>1</v>
      </c>
      <c r="F143" s="128" t="s">
        <v>666</v>
      </c>
      <c r="H143" s="127" t="s">
        <v>1</v>
      </c>
      <c r="L143" s="125"/>
      <c r="M143" s="129"/>
      <c r="T143" s="130"/>
      <c r="V143" s="424"/>
      <c r="W143" s="420"/>
      <c r="AS143" s="127" t="s">
        <v>112</v>
      </c>
      <c r="AT143" s="127" t="s">
        <v>65</v>
      </c>
      <c r="AU143" s="12" t="s">
        <v>63</v>
      </c>
      <c r="AV143" s="12" t="s">
        <v>30</v>
      </c>
      <c r="AW143" s="12" t="s">
        <v>55</v>
      </c>
      <c r="AX143" s="127" t="s">
        <v>101</v>
      </c>
    </row>
    <row r="144" spans="2:64" s="13" customFormat="1" x14ac:dyDescent="0.2">
      <c r="B144" s="131"/>
      <c r="D144" s="126" t="s">
        <v>112</v>
      </c>
      <c r="E144" s="132" t="s">
        <v>1</v>
      </c>
      <c r="F144" s="133" t="s">
        <v>690</v>
      </c>
      <c r="H144" s="134">
        <v>7.26</v>
      </c>
      <c r="L144" s="131"/>
      <c r="M144" s="135"/>
      <c r="T144" s="136"/>
      <c r="V144" s="424"/>
      <c r="W144" s="421"/>
      <c r="AS144" s="132" t="s">
        <v>112</v>
      </c>
      <c r="AT144" s="132" t="s">
        <v>65</v>
      </c>
      <c r="AU144" s="13" t="s">
        <v>65</v>
      </c>
      <c r="AV144" s="13" t="s">
        <v>30</v>
      </c>
      <c r="AW144" s="13" t="s">
        <v>55</v>
      </c>
      <c r="AX144" s="132" t="s">
        <v>101</v>
      </c>
    </row>
    <row r="145" spans="2:64" s="12" customFormat="1" x14ac:dyDescent="0.2">
      <c r="B145" s="125"/>
      <c r="D145" s="126" t="s">
        <v>112</v>
      </c>
      <c r="E145" s="127" t="s">
        <v>1</v>
      </c>
      <c r="F145" s="128" t="s">
        <v>668</v>
      </c>
      <c r="H145" s="127" t="s">
        <v>1</v>
      </c>
      <c r="L145" s="125"/>
      <c r="M145" s="129"/>
      <c r="T145" s="130"/>
      <c r="V145" s="424"/>
      <c r="W145" s="420"/>
      <c r="AS145" s="127" t="s">
        <v>112</v>
      </c>
      <c r="AT145" s="127" t="s">
        <v>65</v>
      </c>
      <c r="AU145" s="12" t="s">
        <v>63</v>
      </c>
      <c r="AV145" s="12" t="s">
        <v>30</v>
      </c>
      <c r="AW145" s="12" t="s">
        <v>55</v>
      </c>
      <c r="AX145" s="127" t="s">
        <v>101</v>
      </c>
    </row>
    <row r="146" spans="2:64" s="12" customFormat="1" ht="22.5" x14ac:dyDescent="0.2">
      <c r="B146" s="125"/>
      <c r="D146" s="126" t="s">
        <v>112</v>
      </c>
      <c r="E146" s="127" t="s">
        <v>1</v>
      </c>
      <c r="F146" s="128" t="s">
        <v>669</v>
      </c>
      <c r="H146" s="127" t="s">
        <v>1</v>
      </c>
      <c r="L146" s="125"/>
      <c r="M146" s="129"/>
      <c r="T146" s="130"/>
      <c r="V146" s="424"/>
      <c r="W146" s="420"/>
      <c r="AS146" s="127" t="s">
        <v>112</v>
      </c>
      <c r="AT146" s="127" t="s">
        <v>65</v>
      </c>
      <c r="AU146" s="12" t="s">
        <v>63</v>
      </c>
      <c r="AV146" s="12" t="s">
        <v>30</v>
      </c>
      <c r="AW146" s="12" t="s">
        <v>55</v>
      </c>
      <c r="AX146" s="127" t="s">
        <v>101</v>
      </c>
    </row>
    <row r="147" spans="2:64" s="13" customFormat="1" x14ac:dyDescent="0.2">
      <c r="B147" s="131"/>
      <c r="D147" s="126" t="s">
        <v>112</v>
      </c>
      <c r="E147" s="132" t="s">
        <v>1</v>
      </c>
      <c r="F147" s="133" t="s">
        <v>691</v>
      </c>
      <c r="H147" s="134">
        <v>9.2949999999999999</v>
      </c>
      <c r="L147" s="131"/>
      <c r="M147" s="135"/>
      <c r="T147" s="136"/>
      <c r="V147" s="424"/>
      <c r="W147" s="421"/>
      <c r="AS147" s="132" t="s">
        <v>112</v>
      </c>
      <c r="AT147" s="132" t="s">
        <v>65</v>
      </c>
      <c r="AU147" s="13" t="s">
        <v>65</v>
      </c>
      <c r="AV147" s="13" t="s">
        <v>30</v>
      </c>
      <c r="AW147" s="13" t="s">
        <v>55</v>
      </c>
      <c r="AX147" s="132" t="s">
        <v>101</v>
      </c>
    </row>
    <row r="148" spans="2:64" s="13" customFormat="1" x14ac:dyDescent="0.2">
      <c r="B148" s="131"/>
      <c r="D148" s="126" t="s">
        <v>112</v>
      </c>
      <c r="E148" s="132" t="s">
        <v>1</v>
      </c>
      <c r="F148" s="133" t="s">
        <v>692</v>
      </c>
      <c r="H148" s="134">
        <v>1.663</v>
      </c>
      <c r="L148" s="131"/>
      <c r="M148" s="135"/>
      <c r="T148" s="136"/>
      <c r="V148" s="424"/>
      <c r="W148" s="421"/>
      <c r="AS148" s="132" t="s">
        <v>112</v>
      </c>
      <c r="AT148" s="132" t="s">
        <v>65</v>
      </c>
      <c r="AU148" s="13" t="s">
        <v>65</v>
      </c>
      <c r="AV148" s="13" t="s">
        <v>30</v>
      </c>
      <c r="AW148" s="13" t="s">
        <v>55</v>
      </c>
      <c r="AX148" s="132" t="s">
        <v>101</v>
      </c>
    </row>
    <row r="149" spans="2:64" s="12" customFormat="1" x14ac:dyDescent="0.2">
      <c r="B149" s="125"/>
      <c r="D149" s="126" t="s">
        <v>112</v>
      </c>
      <c r="E149" s="127" t="s">
        <v>1</v>
      </c>
      <c r="F149" s="128" t="s">
        <v>672</v>
      </c>
      <c r="H149" s="127" t="s">
        <v>1</v>
      </c>
      <c r="L149" s="125"/>
      <c r="M149" s="129"/>
      <c r="T149" s="130"/>
      <c r="V149" s="424"/>
      <c r="W149" s="420"/>
      <c r="AS149" s="127" t="s">
        <v>112</v>
      </c>
      <c r="AT149" s="127" t="s">
        <v>65</v>
      </c>
      <c r="AU149" s="12" t="s">
        <v>63</v>
      </c>
      <c r="AV149" s="12" t="s">
        <v>30</v>
      </c>
      <c r="AW149" s="12" t="s">
        <v>55</v>
      </c>
      <c r="AX149" s="127" t="s">
        <v>101</v>
      </c>
    </row>
    <row r="150" spans="2:64" s="12" customFormat="1" ht="33.75" x14ac:dyDescent="0.2">
      <c r="B150" s="125"/>
      <c r="D150" s="126" t="s">
        <v>112</v>
      </c>
      <c r="E150" s="127" t="s">
        <v>1</v>
      </c>
      <c r="F150" s="128" t="s">
        <v>666</v>
      </c>
      <c r="H150" s="127" t="s">
        <v>1</v>
      </c>
      <c r="L150" s="125"/>
      <c r="M150" s="129"/>
      <c r="T150" s="130"/>
      <c r="V150" s="424"/>
      <c r="W150" s="420"/>
      <c r="AS150" s="127" t="s">
        <v>112</v>
      </c>
      <c r="AT150" s="127" t="s">
        <v>65</v>
      </c>
      <c r="AU150" s="12" t="s">
        <v>63</v>
      </c>
      <c r="AV150" s="12" t="s">
        <v>30</v>
      </c>
      <c r="AW150" s="12" t="s">
        <v>55</v>
      </c>
      <c r="AX150" s="127" t="s">
        <v>101</v>
      </c>
    </row>
    <row r="151" spans="2:64" s="13" customFormat="1" x14ac:dyDescent="0.2">
      <c r="B151" s="131"/>
      <c r="D151" s="126" t="s">
        <v>112</v>
      </c>
      <c r="E151" s="132" t="s">
        <v>1</v>
      </c>
      <c r="F151" s="133" t="s">
        <v>693</v>
      </c>
      <c r="H151" s="134">
        <v>5.258</v>
      </c>
      <c r="L151" s="131"/>
      <c r="M151" s="135"/>
      <c r="T151" s="136"/>
      <c r="V151" s="424"/>
      <c r="W151" s="421"/>
      <c r="AS151" s="132" t="s">
        <v>112</v>
      </c>
      <c r="AT151" s="132" t="s">
        <v>65</v>
      </c>
      <c r="AU151" s="13" t="s">
        <v>65</v>
      </c>
      <c r="AV151" s="13" t="s">
        <v>30</v>
      </c>
      <c r="AW151" s="13" t="s">
        <v>55</v>
      </c>
      <c r="AX151" s="132" t="s">
        <v>101</v>
      </c>
    </row>
    <row r="152" spans="2:64" s="14" customFormat="1" x14ac:dyDescent="0.2">
      <c r="B152" s="137"/>
      <c r="D152" s="126" t="s">
        <v>112</v>
      </c>
      <c r="E152" s="138" t="s">
        <v>1</v>
      </c>
      <c r="F152" s="139" t="s">
        <v>127</v>
      </c>
      <c r="H152" s="140">
        <v>444.584</v>
      </c>
      <c r="L152" s="137"/>
      <c r="M152" s="141"/>
      <c r="T152" s="142"/>
      <c r="V152" s="424"/>
      <c r="W152" s="422"/>
      <c r="AS152" s="138" t="s">
        <v>112</v>
      </c>
      <c r="AT152" s="138" t="s">
        <v>65</v>
      </c>
      <c r="AU152" s="14" t="s">
        <v>108</v>
      </c>
      <c r="AV152" s="14" t="s">
        <v>30</v>
      </c>
      <c r="AW152" s="14" t="s">
        <v>63</v>
      </c>
      <c r="AX152" s="138" t="s">
        <v>101</v>
      </c>
    </row>
    <row r="153" spans="2:64" s="14" customFormat="1" x14ac:dyDescent="0.2">
      <c r="B153" s="137"/>
      <c r="D153" s="126"/>
      <c r="E153" s="138"/>
      <c r="F153" s="139" t="s">
        <v>1853</v>
      </c>
      <c r="H153" s="140">
        <f>H152*0.82</f>
        <v>364.55887999999999</v>
      </c>
      <c r="L153" s="137"/>
      <c r="M153" s="141"/>
      <c r="T153" s="142"/>
      <c r="V153" s="424"/>
      <c r="W153" s="422"/>
      <c r="AS153" s="138"/>
      <c r="AT153" s="138"/>
      <c r="AX153" s="138"/>
    </row>
    <row r="154" spans="2:64" s="1" customFormat="1" ht="37.9" customHeight="1" x14ac:dyDescent="0.2">
      <c r="B154" s="109"/>
      <c r="C154" s="110" t="s">
        <v>165</v>
      </c>
      <c r="D154" s="110" t="s">
        <v>103</v>
      </c>
      <c r="E154" s="111" t="s">
        <v>172</v>
      </c>
      <c r="F154" s="112" t="s">
        <v>173</v>
      </c>
      <c r="G154" s="113" t="s">
        <v>174</v>
      </c>
      <c r="H154" s="114">
        <f>1583.421*0.82</f>
        <v>1298.4052199999999</v>
      </c>
      <c r="I154" s="115">
        <v>0</v>
      </c>
      <c r="J154" s="115">
        <f>ROUND(I154*H154,2)</f>
        <v>0</v>
      </c>
      <c r="K154" s="112" t="s">
        <v>107</v>
      </c>
      <c r="L154" s="28"/>
      <c r="M154" s="116"/>
      <c r="N154" s="117"/>
      <c r="O154" s="118"/>
      <c r="P154" s="118"/>
      <c r="Q154" s="118"/>
      <c r="R154" s="118"/>
      <c r="S154" s="118"/>
      <c r="T154" s="119"/>
      <c r="V154" s="424"/>
      <c r="W154" s="414"/>
      <c r="AQ154" s="120" t="s">
        <v>108</v>
      </c>
      <c r="AS154" s="120" t="s">
        <v>103</v>
      </c>
      <c r="AT154" s="120" t="s">
        <v>65</v>
      </c>
      <c r="AX154" s="17" t="s">
        <v>101</v>
      </c>
      <c r="BD154" s="121">
        <f>IF(N154="základní",J154,0)</f>
        <v>0</v>
      </c>
      <c r="BE154" s="121">
        <f>IF(N154="snížená",J154,0)</f>
        <v>0</v>
      </c>
      <c r="BF154" s="121">
        <f>IF(N154="zákl. přenesená",J154,0)</f>
        <v>0</v>
      </c>
      <c r="BG154" s="121">
        <f>IF(N154="sníž. přenesená",J154,0)</f>
        <v>0</v>
      </c>
      <c r="BH154" s="121">
        <f>IF(N154="nulová",J154,0)</f>
        <v>0</v>
      </c>
      <c r="BI154" s="17" t="s">
        <v>63</v>
      </c>
      <c r="BJ154" s="121">
        <f>ROUND(I154*H154,2)</f>
        <v>0</v>
      </c>
      <c r="BK154" s="17" t="s">
        <v>108</v>
      </c>
      <c r="BL154" s="120" t="s">
        <v>696</v>
      </c>
    </row>
    <row r="155" spans="2:64" s="1" customFormat="1" x14ac:dyDescent="0.2">
      <c r="B155" s="28"/>
      <c r="D155" s="122" t="s">
        <v>110</v>
      </c>
      <c r="F155" s="123" t="s">
        <v>176</v>
      </c>
      <c r="L155" s="28"/>
      <c r="M155" s="124"/>
      <c r="T155" s="48"/>
      <c r="V155" s="424"/>
      <c r="W155" s="414"/>
      <c r="AS155" s="17" t="s">
        <v>110</v>
      </c>
      <c r="AT155" s="17" t="s">
        <v>65</v>
      </c>
    </row>
    <row r="156" spans="2:64" s="12" customFormat="1" x14ac:dyDescent="0.2">
      <c r="B156" s="125"/>
      <c r="D156" s="126" t="s">
        <v>112</v>
      </c>
      <c r="E156" s="127" t="s">
        <v>1</v>
      </c>
      <c r="F156" s="128" t="s">
        <v>177</v>
      </c>
      <c r="H156" s="127" t="s">
        <v>1</v>
      </c>
      <c r="L156" s="125"/>
      <c r="M156" s="129"/>
      <c r="T156" s="130"/>
      <c r="V156" s="424"/>
      <c r="W156" s="420"/>
      <c r="AS156" s="127" t="s">
        <v>112</v>
      </c>
      <c r="AT156" s="127" t="s">
        <v>65</v>
      </c>
      <c r="AU156" s="12" t="s">
        <v>63</v>
      </c>
      <c r="AV156" s="12" t="s">
        <v>30</v>
      </c>
      <c r="AW156" s="12" t="s">
        <v>55</v>
      </c>
      <c r="AX156" s="127" t="s">
        <v>101</v>
      </c>
    </row>
    <row r="157" spans="2:64" s="13" customFormat="1" x14ac:dyDescent="0.2">
      <c r="B157" s="131"/>
      <c r="D157" s="126" t="s">
        <v>112</v>
      </c>
      <c r="E157" s="132" t="s">
        <v>1</v>
      </c>
      <c r="F157" s="133" t="s">
        <v>697</v>
      </c>
      <c r="H157" s="134">
        <v>1350.1610000000001</v>
      </c>
      <c r="L157" s="131"/>
      <c r="M157" s="135"/>
      <c r="T157" s="136"/>
      <c r="V157" s="424"/>
      <c r="W157" s="421"/>
      <c r="AS157" s="132" t="s">
        <v>112</v>
      </c>
      <c r="AT157" s="132" t="s">
        <v>65</v>
      </c>
      <c r="AU157" s="13" t="s">
        <v>65</v>
      </c>
      <c r="AV157" s="13" t="s">
        <v>30</v>
      </c>
      <c r="AW157" s="13" t="s">
        <v>55</v>
      </c>
      <c r="AX157" s="132" t="s">
        <v>101</v>
      </c>
    </row>
    <row r="158" spans="2:64" s="13" customFormat="1" x14ac:dyDescent="0.2">
      <c r="B158" s="131"/>
      <c r="D158" s="126" t="s">
        <v>112</v>
      </c>
      <c r="E158" s="132" t="s">
        <v>1</v>
      </c>
      <c r="F158" s="133" t="s">
        <v>698</v>
      </c>
      <c r="H158" s="134">
        <v>16.302</v>
      </c>
      <c r="L158" s="131"/>
      <c r="M158" s="135"/>
      <c r="T158" s="136"/>
      <c r="V158" s="424"/>
      <c r="W158" s="421"/>
      <c r="AS158" s="132" t="s">
        <v>112</v>
      </c>
      <c r="AT158" s="132" t="s">
        <v>65</v>
      </c>
      <c r="AU158" s="13" t="s">
        <v>65</v>
      </c>
      <c r="AV158" s="13" t="s">
        <v>30</v>
      </c>
      <c r="AW158" s="13" t="s">
        <v>55</v>
      </c>
      <c r="AX158" s="132" t="s">
        <v>101</v>
      </c>
    </row>
    <row r="159" spans="2:64" s="13" customFormat="1" x14ac:dyDescent="0.2">
      <c r="B159" s="131"/>
      <c r="D159" s="126" t="s">
        <v>112</v>
      </c>
      <c r="E159" s="132" t="s">
        <v>1</v>
      </c>
      <c r="F159" s="133" t="s">
        <v>699</v>
      </c>
      <c r="H159" s="134">
        <v>51.606000000000002</v>
      </c>
      <c r="L159" s="131"/>
      <c r="M159" s="135"/>
      <c r="T159" s="136"/>
      <c r="V159" s="424"/>
      <c r="W159" s="421"/>
      <c r="AS159" s="132" t="s">
        <v>112</v>
      </c>
      <c r="AT159" s="132" t="s">
        <v>65</v>
      </c>
      <c r="AU159" s="13" t="s">
        <v>65</v>
      </c>
      <c r="AV159" s="13" t="s">
        <v>30</v>
      </c>
      <c r="AW159" s="13" t="s">
        <v>55</v>
      </c>
      <c r="AX159" s="132" t="s">
        <v>101</v>
      </c>
    </row>
    <row r="160" spans="2:64" s="13" customFormat="1" x14ac:dyDescent="0.2">
      <c r="B160" s="131"/>
      <c r="D160" s="126" t="s">
        <v>112</v>
      </c>
      <c r="E160" s="132" t="s">
        <v>1</v>
      </c>
      <c r="F160" s="133" t="s">
        <v>700</v>
      </c>
      <c r="H160" s="134">
        <v>71.567999999999998</v>
      </c>
      <c r="L160" s="131"/>
      <c r="M160" s="135"/>
      <c r="T160" s="136"/>
      <c r="V160" s="424"/>
      <c r="W160" s="421"/>
      <c r="AS160" s="132" t="s">
        <v>112</v>
      </c>
      <c r="AT160" s="132" t="s">
        <v>65</v>
      </c>
      <c r="AU160" s="13" t="s">
        <v>65</v>
      </c>
      <c r="AV160" s="13" t="s">
        <v>30</v>
      </c>
      <c r="AW160" s="13" t="s">
        <v>55</v>
      </c>
      <c r="AX160" s="132" t="s">
        <v>101</v>
      </c>
    </row>
    <row r="161" spans="2:64" s="13" customFormat="1" x14ac:dyDescent="0.2">
      <c r="B161" s="131"/>
      <c r="D161" s="126" t="s">
        <v>112</v>
      </c>
      <c r="E161" s="132" t="s">
        <v>1</v>
      </c>
      <c r="F161" s="133" t="s">
        <v>701</v>
      </c>
      <c r="H161" s="134">
        <v>59.984000000000002</v>
      </c>
      <c r="L161" s="131"/>
      <c r="M161" s="135"/>
      <c r="T161" s="136"/>
      <c r="V161" s="424"/>
      <c r="W161" s="421"/>
      <c r="AS161" s="132" t="s">
        <v>112</v>
      </c>
      <c r="AT161" s="132" t="s">
        <v>65</v>
      </c>
      <c r="AU161" s="13" t="s">
        <v>65</v>
      </c>
      <c r="AV161" s="13" t="s">
        <v>30</v>
      </c>
      <c r="AW161" s="13" t="s">
        <v>55</v>
      </c>
      <c r="AX161" s="132" t="s">
        <v>101</v>
      </c>
    </row>
    <row r="162" spans="2:64" s="13" customFormat="1" x14ac:dyDescent="0.2">
      <c r="B162" s="131"/>
      <c r="D162" s="126" t="s">
        <v>112</v>
      </c>
      <c r="E162" s="132" t="s">
        <v>1</v>
      </c>
      <c r="F162" s="133" t="s">
        <v>702</v>
      </c>
      <c r="H162" s="134">
        <v>33.799999999999997</v>
      </c>
      <c r="L162" s="131"/>
      <c r="M162" s="135"/>
      <c r="T162" s="136"/>
      <c r="V162" s="424"/>
      <c r="W162" s="421"/>
      <c r="AS162" s="132" t="s">
        <v>112</v>
      </c>
      <c r="AT162" s="132" t="s">
        <v>65</v>
      </c>
      <c r="AU162" s="13" t="s">
        <v>65</v>
      </c>
      <c r="AV162" s="13" t="s">
        <v>30</v>
      </c>
      <c r="AW162" s="13" t="s">
        <v>55</v>
      </c>
      <c r="AX162" s="132" t="s">
        <v>101</v>
      </c>
    </row>
    <row r="163" spans="2:64" s="14" customFormat="1" x14ac:dyDescent="0.2">
      <c r="B163" s="137"/>
      <c r="D163" s="126" t="s">
        <v>112</v>
      </c>
      <c r="E163" s="138" t="s">
        <v>1</v>
      </c>
      <c r="F163" s="139" t="s">
        <v>127</v>
      </c>
      <c r="H163" s="140">
        <v>1583.421</v>
      </c>
      <c r="L163" s="137"/>
      <c r="M163" s="141"/>
      <c r="T163" s="142"/>
      <c r="V163" s="424"/>
      <c r="W163" s="422"/>
      <c r="AS163" s="138" t="s">
        <v>112</v>
      </c>
      <c r="AT163" s="138" t="s">
        <v>65</v>
      </c>
      <c r="AU163" s="14" t="s">
        <v>108</v>
      </c>
      <c r="AV163" s="14" t="s">
        <v>30</v>
      </c>
      <c r="AW163" s="14" t="s">
        <v>63</v>
      </c>
      <c r="AX163" s="138" t="s">
        <v>101</v>
      </c>
    </row>
    <row r="164" spans="2:64" s="14" customFormat="1" x14ac:dyDescent="0.2">
      <c r="B164" s="137"/>
      <c r="D164" s="126"/>
      <c r="E164" s="138"/>
      <c r="F164" s="139" t="s">
        <v>1853</v>
      </c>
      <c r="H164" s="140">
        <f>H163*0.82</f>
        <v>1298.4052199999999</v>
      </c>
      <c r="L164" s="137"/>
      <c r="M164" s="141"/>
      <c r="T164" s="142"/>
      <c r="V164" s="424"/>
      <c r="W164" s="422"/>
      <c r="AS164" s="138"/>
      <c r="AT164" s="138"/>
      <c r="AX164" s="138"/>
    </row>
    <row r="165" spans="2:64" s="1" customFormat="1" ht="44.25" customHeight="1" x14ac:dyDescent="0.2">
      <c r="B165" s="109"/>
      <c r="C165" s="110" t="s">
        <v>171</v>
      </c>
      <c r="D165" s="110" t="s">
        <v>103</v>
      </c>
      <c r="E165" s="111" t="s">
        <v>181</v>
      </c>
      <c r="F165" s="112" t="s">
        <v>182</v>
      </c>
      <c r="G165" s="113" t="s">
        <v>174</v>
      </c>
      <c r="H165" s="114">
        <f>1583.421*0.82</f>
        <v>1298.4052199999999</v>
      </c>
      <c r="I165" s="115">
        <v>0</v>
      </c>
      <c r="J165" s="115">
        <f>ROUND(I165*H165,2)</f>
        <v>0</v>
      </c>
      <c r="K165" s="112" t="s">
        <v>107</v>
      </c>
      <c r="L165" s="28"/>
      <c r="M165" s="116"/>
      <c r="N165" s="117"/>
      <c r="O165" s="118"/>
      <c r="P165" s="118"/>
      <c r="Q165" s="118"/>
      <c r="R165" s="118"/>
      <c r="S165" s="118"/>
      <c r="T165" s="119"/>
      <c r="V165" s="424"/>
      <c r="W165" s="414"/>
      <c r="AQ165" s="120" t="s">
        <v>108</v>
      </c>
      <c r="AS165" s="120" t="s">
        <v>103</v>
      </c>
      <c r="AT165" s="120" t="s">
        <v>65</v>
      </c>
      <c r="AX165" s="17" t="s">
        <v>101</v>
      </c>
      <c r="BD165" s="121">
        <f>IF(N165="základní",J165,0)</f>
        <v>0</v>
      </c>
      <c r="BE165" s="121">
        <f>IF(N165="snížená",J165,0)</f>
        <v>0</v>
      </c>
      <c r="BF165" s="121">
        <f>IF(N165="zákl. přenesená",J165,0)</f>
        <v>0</v>
      </c>
      <c r="BG165" s="121">
        <f>IF(N165="sníž. přenesená",J165,0)</f>
        <v>0</v>
      </c>
      <c r="BH165" s="121">
        <f>IF(N165="nulová",J165,0)</f>
        <v>0</v>
      </c>
      <c r="BI165" s="17" t="s">
        <v>63</v>
      </c>
      <c r="BJ165" s="121">
        <f>ROUND(I165*H165,2)</f>
        <v>0</v>
      </c>
      <c r="BK165" s="17" t="s">
        <v>108</v>
      </c>
      <c r="BL165" s="120" t="s">
        <v>703</v>
      </c>
    </row>
    <row r="166" spans="2:64" s="1" customFormat="1" x14ac:dyDescent="0.2">
      <c r="B166" s="28"/>
      <c r="D166" s="122" t="s">
        <v>110</v>
      </c>
      <c r="F166" s="123" t="s">
        <v>184</v>
      </c>
      <c r="L166" s="28"/>
      <c r="M166" s="124"/>
      <c r="T166" s="48"/>
      <c r="V166" s="424"/>
      <c r="W166" s="414"/>
      <c r="AS166" s="17" t="s">
        <v>110</v>
      </c>
      <c r="AT166" s="17" t="s">
        <v>65</v>
      </c>
    </row>
    <row r="167" spans="2:64" s="1" customFormat="1" ht="62.65" customHeight="1" x14ac:dyDescent="0.2">
      <c r="B167" s="109"/>
      <c r="C167" s="110" t="s">
        <v>180</v>
      </c>
      <c r="D167" s="110" t="s">
        <v>103</v>
      </c>
      <c r="E167" s="111" t="s">
        <v>186</v>
      </c>
      <c r="F167" s="112" t="s">
        <v>187</v>
      </c>
      <c r="G167" s="113" t="s">
        <v>130</v>
      </c>
      <c r="H167" s="114">
        <f>1105.588*0.82</f>
        <v>906.58215999999993</v>
      </c>
      <c r="I167" s="115">
        <v>0</v>
      </c>
      <c r="J167" s="115">
        <f>ROUND(I167*H167,2)</f>
        <v>0</v>
      </c>
      <c r="K167" s="112" t="s">
        <v>107</v>
      </c>
      <c r="L167" s="28"/>
      <c r="M167" s="116"/>
      <c r="N167" s="117"/>
      <c r="O167" s="118"/>
      <c r="P167" s="118"/>
      <c r="Q167" s="118"/>
      <c r="R167" s="118"/>
      <c r="S167" s="118"/>
      <c r="T167" s="119"/>
      <c r="V167" s="424"/>
      <c r="W167" s="414"/>
      <c r="AQ167" s="120" t="s">
        <v>108</v>
      </c>
      <c r="AS167" s="120" t="s">
        <v>103</v>
      </c>
      <c r="AT167" s="120" t="s">
        <v>65</v>
      </c>
      <c r="AX167" s="17" t="s">
        <v>101</v>
      </c>
      <c r="BD167" s="121">
        <f>IF(N167="základní",J167,0)</f>
        <v>0</v>
      </c>
      <c r="BE167" s="121">
        <f>IF(N167="snížená",J167,0)</f>
        <v>0</v>
      </c>
      <c r="BF167" s="121">
        <f>IF(N167="zákl. přenesená",J167,0)</f>
        <v>0</v>
      </c>
      <c r="BG167" s="121">
        <f>IF(N167="sníž. přenesená",J167,0)</f>
        <v>0</v>
      </c>
      <c r="BH167" s="121">
        <f>IF(N167="nulová",J167,0)</f>
        <v>0</v>
      </c>
      <c r="BI167" s="17" t="s">
        <v>63</v>
      </c>
      <c r="BJ167" s="121">
        <f>ROUND(I167*H167,2)</f>
        <v>0</v>
      </c>
      <c r="BK167" s="17" t="s">
        <v>108</v>
      </c>
      <c r="BL167" s="120" t="s">
        <v>704</v>
      </c>
    </row>
    <row r="168" spans="2:64" s="1" customFormat="1" x14ac:dyDescent="0.2">
      <c r="B168" s="28"/>
      <c r="D168" s="122" t="s">
        <v>110</v>
      </c>
      <c r="F168" s="123" t="s">
        <v>189</v>
      </c>
      <c r="L168" s="28"/>
      <c r="M168" s="124"/>
      <c r="T168" s="48"/>
      <c r="V168" s="424"/>
      <c r="W168" s="414"/>
      <c r="AS168" s="17" t="s">
        <v>110</v>
      </c>
      <c r="AT168" s="17" t="s">
        <v>65</v>
      </c>
    </row>
    <row r="169" spans="2:64" s="13" customFormat="1" x14ac:dyDescent="0.2">
      <c r="B169" s="131"/>
      <c r="D169" s="126" t="s">
        <v>112</v>
      </c>
      <c r="E169" s="132" t="s">
        <v>1</v>
      </c>
      <c r="F169" s="133" t="s">
        <v>705</v>
      </c>
      <c r="H169" s="134">
        <v>363.75099999999998</v>
      </c>
      <c r="L169" s="131"/>
      <c r="M169" s="135"/>
      <c r="T169" s="136"/>
      <c r="V169" s="424"/>
      <c r="W169" s="421"/>
      <c r="AS169" s="132" t="s">
        <v>112</v>
      </c>
      <c r="AT169" s="132" t="s">
        <v>65</v>
      </c>
      <c r="AU169" s="13" t="s">
        <v>65</v>
      </c>
      <c r="AV169" s="13" t="s">
        <v>30</v>
      </c>
      <c r="AW169" s="13" t="s">
        <v>55</v>
      </c>
      <c r="AX169" s="132" t="s">
        <v>101</v>
      </c>
    </row>
    <row r="170" spans="2:64" s="13" customFormat="1" x14ac:dyDescent="0.2">
      <c r="B170" s="131"/>
      <c r="D170" s="126" t="s">
        <v>112</v>
      </c>
      <c r="E170" s="132" t="s">
        <v>1</v>
      </c>
      <c r="F170" s="133" t="s">
        <v>706</v>
      </c>
      <c r="H170" s="134">
        <v>549.27300000000002</v>
      </c>
      <c r="L170" s="131"/>
      <c r="M170" s="135"/>
      <c r="T170" s="136"/>
      <c r="V170" s="424"/>
      <c r="W170" s="421"/>
      <c r="AS170" s="132" t="s">
        <v>112</v>
      </c>
      <c r="AT170" s="132" t="s">
        <v>65</v>
      </c>
      <c r="AU170" s="13" t="s">
        <v>65</v>
      </c>
      <c r="AV170" s="13" t="s">
        <v>30</v>
      </c>
      <c r="AW170" s="13" t="s">
        <v>55</v>
      </c>
      <c r="AX170" s="132" t="s">
        <v>101</v>
      </c>
    </row>
    <row r="171" spans="2:64" s="13" customFormat="1" x14ac:dyDescent="0.2">
      <c r="B171" s="131"/>
      <c r="D171" s="126" t="s">
        <v>112</v>
      </c>
      <c r="E171" s="132" t="s">
        <v>1</v>
      </c>
      <c r="F171" s="133" t="s">
        <v>707</v>
      </c>
      <c r="H171" s="134">
        <v>192.56399999999999</v>
      </c>
      <c r="L171" s="131"/>
      <c r="M171" s="135"/>
      <c r="T171" s="136"/>
      <c r="V171" s="424"/>
      <c r="W171" s="421"/>
      <c r="AS171" s="132" t="s">
        <v>112</v>
      </c>
      <c r="AT171" s="132" t="s">
        <v>65</v>
      </c>
      <c r="AU171" s="13" t="s">
        <v>65</v>
      </c>
      <c r="AV171" s="13" t="s">
        <v>30</v>
      </c>
      <c r="AW171" s="13" t="s">
        <v>55</v>
      </c>
      <c r="AX171" s="132" t="s">
        <v>101</v>
      </c>
    </row>
    <row r="172" spans="2:64" s="14" customFormat="1" x14ac:dyDescent="0.2">
      <c r="B172" s="137"/>
      <c r="D172" s="126" t="s">
        <v>112</v>
      </c>
      <c r="E172" s="138" t="s">
        <v>1</v>
      </c>
      <c r="F172" s="139" t="s">
        <v>127</v>
      </c>
      <c r="H172" s="140">
        <v>1105.588</v>
      </c>
      <c r="L172" s="137"/>
      <c r="M172" s="141"/>
      <c r="T172" s="142"/>
      <c r="V172" s="424"/>
      <c r="W172" s="422"/>
      <c r="AS172" s="138" t="s">
        <v>112</v>
      </c>
      <c r="AT172" s="138" t="s">
        <v>65</v>
      </c>
      <c r="AU172" s="14" t="s">
        <v>108</v>
      </c>
      <c r="AV172" s="14" t="s">
        <v>30</v>
      </c>
      <c r="AW172" s="14" t="s">
        <v>63</v>
      </c>
      <c r="AX172" s="138" t="s">
        <v>101</v>
      </c>
    </row>
    <row r="173" spans="2:64" s="14" customFormat="1" x14ac:dyDescent="0.2">
      <c r="B173" s="137"/>
      <c r="D173" s="126"/>
      <c r="E173" s="138"/>
      <c r="F173" s="139" t="s">
        <v>1853</v>
      </c>
      <c r="H173" s="140">
        <f>H172*0.82</f>
        <v>906.58215999999993</v>
      </c>
      <c r="L173" s="137"/>
      <c r="M173" s="141"/>
      <c r="T173" s="142"/>
      <c r="V173" s="424"/>
      <c r="W173" s="422"/>
      <c r="AS173" s="138"/>
      <c r="AT173" s="138"/>
      <c r="AX173" s="138"/>
    </row>
    <row r="174" spans="2:64" s="1" customFormat="1" ht="62.65" customHeight="1" x14ac:dyDescent="0.2">
      <c r="B174" s="109"/>
      <c r="C174" s="110" t="s">
        <v>185</v>
      </c>
      <c r="D174" s="110" t="s">
        <v>103</v>
      </c>
      <c r="E174" s="111" t="s">
        <v>194</v>
      </c>
      <c r="F174" s="112" t="s">
        <v>195</v>
      </c>
      <c r="G174" s="113" t="s">
        <v>130</v>
      </c>
      <c r="H174" s="114">
        <f>444.584*0.82</f>
        <v>364.55887999999999</v>
      </c>
      <c r="I174" s="115">
        <v>0</v>
      </c>
      <c r="J174" s="115">
        <f>ROUND(I174*H174,2)</f>
        <v>0</v>
      </c>
      <c r="K174" s="112" t="s">
        <v>107</v>
      </c>
      <c r="L174" s="28"/>
      <c r="M174" s="116"/>
      <c r="N174" s="117"/>
      <c r="O174" s="118"/>
      <c r="P174" s="118"/>
      <c r="Q174" s="118"/>
      <c r="R174" s="118"/>
      <c r="S174" s="118"/>
      <c r="T174" s="119"/>
      <c r="V174" s="424"/>
      <c r="W174" s="414"/>
      <c r="AQ174" s="120" t="s">
        <v>108</v>
      </c>
      <c r="AS174" s="120" t="s">
        <v>103</v>
      </c>
      <c r="AT174" s="120" t="s">
        <v>65</v>
      </c>
      <c r="AX174" s="17" t="s">
        <v>101</v>
      </c>
      <c r="BD174" s="121">
        <f>IF(N174="základní",J174,0)</f>
        <v>0</v>
      </c>
      <c r="BE174" s="121">
        <f>IF(N174="snížená",J174,0)</f>
        <v>0</v>
      </c>
      <c r="BF174" s="121">
        <f>IF(N174="zákl. přenesená",J174,0)</f>
        <v>0</v>
      </c>
      <c r="BG174" s="121">
        <f>IF(N174="sníž. přenesená",J174,0)</f>
        <v>0</v>
      </c>
      <c r="BH174" s="121">
        <f>IF(N174="nulová",J174,0)</f>
        <v>0</v>
      </c>
      <c r="BI174" s="17" t="s">
        <v>63</v>
      </c>
      <c r="BJ174" s="121">
        <f>ROUND(I174*H174,2)</f>
        <v>0</v>
      </c>
      <c r="BK174" s="17" t="s">
        <v>108</v>
      </c>
      <c r="BL174" s="120" t="s">
        <v>708</v>
      </c>
    </row>
    <row r="175" spans="2:64" s="1" customFormat="1" x14ac:dyDescent="0.2">
      <c r="B175" s="28"/>
      <c r="D175" s="122" t="s">
        <v>110</v>
      </c>
      <c r="F175" s="123" t="s">
        <v>197</v>
      </c>
      <c r="L175" s="28"/>
      <c r="M175" s="124"/>
      <c r="T175" s="48"/>
      <c r="V175" s="424"/>
      <c r="W175" s="414"/>
      <c r="AS175" s="17" t="s">
        <v>110</v>
      </c>
      <c r="AT175" s="17" t="s">
        <v>65</v>
      </c>
    </row>
    <row r="176" spans="2:64" s="1" customFormat="1" ht="62.65" customHeight="1" x14ac:dyDescent="0.2">
      <c r="B176" s="109"/>
      <c r="C176" s="110" t="s">
        <v>193</v>
      </c>
      <c r="D176" s="110" t="s">
        <v>103</v>
      </c>
      <c r="E176" s="111" t="s">
        <v>199</v>
      </c>
      <c r="F176" s="112" t="s">
        <v>200</v>
      </c>
      <c r="G176" s="113" t="s">
        <v>130</v>
      </c>
      <c r="H176" s="114">
        <f>363.751*0.82</f>
        <v>298.27581999999995</v>
      </c>
      <c r="I176" s="115">
        <v>0</v>
      </c>
      <c r="J176" s="115">
        <f>ROUND(I176*H176,2)</f>
        <v>0</v>
      </c>
      <c r="K176" s="112" t="s">
        <v>107</v>
      </c>
      <c r="L176" s="28"/>
      <c r="M176" s="116"/>
      <c r="N176" s="117"/>
      <c r="O176" s="118"/>
      <c r="P176" s="118"/>
      <c r="Q176" s="118"/>
      <c r="R176" s="118"/>
      <c r="S176" s="118"/>
      <c r="T176" s="119"/>
      <c r="V176" s="424"/>
      <c r="W176" s="414"/>
      <c r="AQ176" s="120" t="s">
        <v>108</v>
      </c>
      <c r="AS176" s="120" t="s">
        <v>103</v>
      </c>
      <c r="AT176" s="120" t="s">
        <v>65</v>
      </c>
      <c r="AX176" s="17" t="s">
        <v>101</v>
      </c>
      <c r="BD176" s="121">
        <f>IF(N176="základní",J176,0)</f>
        <v>0</v>
      </c>
      <c r="BE176" s="121">
        <f>IF(N176="snížená",J176,0)</f>
        <v>0</v>
      </c>
      <c r="BF176" s="121">
        <f>IF(N176="zákl. přenesená",J176,0)</f>
        <v>0</v>
      </c>
      <c r="BG176" s="121">
        <f>IF(N176="sníž. přenesená",J176,0)</f>
        <v>0</v>
      </c>
      <c r="BH176" s="121">
        <f>IF(N176="nulová",J176,0)</f>
        <v>0</v>
      </c>
      <c r="BI176" s="17" t="s">
        <v>63</v>
      </c>
      <c r="BJ176" s="121">
        <f>ROUND(I176*H176,2)</f>
        <v>0</v>
      </c>
      <c r="BK176" s="17" t="s">
        <v>108</v>
      </c>
      <c r="BL176" s="120" t="s">
        <v>709</v>
      </c>
    </row>
    <row r="177" spans="2:64" s="1" customFormat="1" x14ac:dyDescent="0.2">
      <c r="B177" s="28"/>
      <c r="D177" s="122" t="s">
        <v>110</v>
      </c>
      <c r="F177" s="123" t="s">
        <v>202</v>
      </c>
      <c r="L177" s="28"/>
      <c r="M177" s="124"/>
      <c r="T177" s="48"/>
      <c r="V177" s="424"/>
      <c r="W177" s="414"/>
      <c r="AS177" s="17" t="s">
        <v>110</v>
      </c>
      <c r="AT177" s="17" t="s">
        <v>65</v>
      </c>
    </row>
    <row r="178" spans="2:64" s="1" customFormat="1" ht="66.75" customHeight="1" x14ac:dyDescent="0.2">
      <c r="B178" s="109"/>
      <c r="C178" s="110" t="s">
        <v>198</v>
      </c>
      <c r="D178" s="110" t="s">
        <v>103</v>
      </c>
      <c r="E178" s="111" t="s">
        <v>204</v>
      </c>
      <c r="F178" s="112" t="s">
        <v>205</v>
      </c>
      <c r="G178" s="113" t="s">
        <v>130</v>
      </c>
      <c r="H178" s="114">
        <f>1091.253*0.82</f>
        <v>894.82745999999986</v>
      </c>
      <c r="I178" s="115">
        <v>0</v>
      </c>
      <c r="J178" s="115">
        <f>ROUND(I178*H178,2)</f>
        <v>0</v>
      </c>
      <c r="K178" s="112" t="s">
        <v>107</v>
      </c>
      <c r="L178" s="28"/>
      <c r="M178" s="116"/>
      <c r="N178" s="117"/>
      <c r="O178" s="118"/>
      <c r="P178" s="118"/>
      <c r="Q178" s="118"/>
      <c r="R178" s="118"/>
      <c r="S178" s="118"/>
      <c r="T178" s="119"/>
      <c r="V178" s="424"/>
      <c r="W178" s="414"/>
      <c r="AQ178" s="120" t="s">
        <v>108</v>
      </c>
      <c r="AS178" s="120" t="s">
        <v>103</v>
      </c>
      <c r="AT178" s="120" t="s">
        <v>65</v>
      </c>
      <c r="AX178" s="17" t="s">
        <v>101</v>
      </c>
      <c r="BD178" s="121">
        <f>IF(N178="základní",J178,0)</f>
        <v>0</v>
      </c>
      <c r="BE178" s="121">
        <f>IF(N178="snížená",J178,0)</f>
        <v>0</v>
      </c>
      <c r="BF178" s="121">
        <f>IF(N178="zákl. přenesená",J178,0)</f>
        <v>0</v>
      </c>
      <c r="BG178" s="121">
        <f>IF(N178="sníž. přenesená",J178,0)</f>
        <v>0</v>
      </c>
      <c r="BH178" s="121">
        <f>IF(N178="nulová",J178,0)</f>
        <v>0</v>
      </c>
      <c r="BI178" s="17" t="s">
        <v>63</v>
      </c>
      <c r="BJ178" s="121">
        <f>ROUND(I178*H178,2)</f>
        <v>0</v>
      </c>
      <c r="BK178" s="17" t="s">
        <v>108</v>
      </c>
      <c r="BL178" s="120" t="s">
        <v>710</v>
      </c>
    </row>
    <row r="179" spans="2:64" s="1" customFormat="1" x14ac:dyDescent="0.2">
      <c r="B179" s="28"/>
      <c r="D179" s="122" t="s">
        <v>110</v>
      </c>
      <c r="F179" s="123" t="s">
        <v>207</v>
      </c>
      <c r="L179" s="28"/>
      <c r="M179" s="124"/>
      <c r="T179" s="48"/>
      <c r="V179" s="424"/>
      <c r="W179" s="414"/>
      <c r="AS179" s="17" t="s">
        <v>110</v>
      </c>
      <c r="AT179" s="17" t="s">
        <v>65</v>
      </c>
    </row>
    <row r="180" spans="2:64" s="13" customFormat="1" x14ac:dyDescent="0.2">
      <c r="B180" s="131"/>
      <c r="D180" s="126" t="s">
        <v>112</v>
      </c>
      <c r="F180" s="133" t="s">
        <v>1854</v>
      </c>
      <c r="H180" s="134">
        <f>1091.253*0.82</f>
        <v>894.82745999999986</v>
      </c>
      <c r="L180" s="131"/>
      <c r="M180" s="135"/>
      <c r="T180" s="136"/>
      <c r="V180" s="424"/>
      <c r="W180" s="421"/>
      <c r="AS180" s="132" t="s">
        <v>112</v>
      </c>
      <c r="AT180" s="132" t="s">
        <v>65</v>
      </c>
      <c r="AU180" s="13" t="s">
        <v>65</v>
      </c>
      <c r="AV180" s="13" t="s">
        <v>2</v>
      </c>
      <c r="AW180" s="13" t="s">
        <v>63</v>
      </c>
      <c r="AX180" s="132" t="s">
        <v>101</v>
      </c>
    </row>
    <row r="181" spans="2:64" s="1" customFormat="1" ht="62.65" customHeight="1" x14ac:dyDescent="0.2">
      <c r="B181" s="109"/>
      <c r="C181" s="110" t="s">
        <v>203</v>
      </c>
      <c r="D181" s="110" t="s">
        <v>103</v>
      </c>
      <c r="E181" s="111" t="s">
        <v>209</v>
      </c>
      <c r="F181" s="112" t="s">
        <v>210</v>
      </c>
      <c r="G181" s="113" t="s">
        <v>130</v>
      </c>
      <c r="H181" s="114">
        <f>444.584*0.82</f>
        <v>364.55887999999999</v>
      </c>
      <c r="I181" s="115">
        <v>0</v>
      </c>
      <c r="J181" s="115">
        <f>ROUND(I181*H181,2)</f>
        <v>0</v>
      </c>
      <c r="K181" s="112" t="s">
        <v>107</v>
      </c>
      <c r="L181" s="28"/>
      <c r="M181" s="116"/>
      <c r="N181" s="117"/>
      <c r="O181" s="118"/>
      <c r="P181" s="118"/>
      <c r="Q181" s="118"/>
      <c r="R181" s="118"/>
      <c r="S181" s="118"/>
      <c r="T181" s="119"/>
      <c r="V181" s="424"/>
      <c r="W181" s="414"/>
      <c r="AQ181" s="120" t="s">
        <v>108</v>
      </c>
      <c r="AS181" s="120" t="s">
        <v>103</v>
      </c>
      <c r="AT181" s="120" t="s">
        <v>65</v>
      </c>
      <c r="AX181" s="17" t="s">
        <v>101</v>
      </c>
      <c r="BD181" s="121">
        <f>IF(N181="základní",J181,0)</f>
        <v>0</v>
      </c>
      <c r="BE181" s="121">
        <f>IF(N181="snížená",J181,0)</f>
        <v>0</v>
      </c>
      <c r="BF181" s="121">
        <f>IF(N181="zákl. přenesená",J181,0)</f>
        <v>0</v>
      </c>
      <c r="BG181" s="121">
        <f>IF(N181="sníž. přenesená",J181,0)</f>
        <v>0</v>
      </c>
      <c r="BH181" s="121">
        <f>IF(N181="nulová",J181,0)</f>
        <v>0</v>
      </c>
      <c r="BI181" s="17" t="s">
        <v>63</v>
      </c>
      <c r="BJ181" s="121">
        <f>ROUND(I181*H181,2)</f>
        <v>0</v>
      </c>
      <c r="BK181" s="17" t="s">
        <v>108</v>
      </c>
      <c r="BL181" s="120" t="s">
        <v>711</v>
      </c>
    </row>
    <row r="182" spans="2:64" s="1" customFormat="1" x14ac:dyDescent="0.2">
      <c r="B182" s="28"/>
      <c r="D182" s="122" t="s">
        <v>110</v>
      </c>
      <c r="F182" s="123" t="s">
        <v>212</v>
      </c>
      <c r="L182" s="28"/>
      <c r="M182" s="124"/>
      <c r="T182" s="48"/>
      <c r="V182" s="424"/>
      <c r="W182" s="414"/>
      <c r="AS182" s="17" t="s">
        <v>110</v>
      </c>
      <c r="AT182" s="17" t="s">
        <v>65</v>
      </c>
    </row>
    <row r="183" spans="2:64" s="1" customFormat="1" ht="66.75" customHeight="1" x14ac:dyDescent="0.2">
      <c r="B183" s="109"/>
      <c r="C183" s="110" t="s">
        <v>208</v>
      </c>
      <c r="D183" s="110" t="s">
        <v>103</v>
      </c>
      <c r="E183" s="111" t="s">
        <v>213</v>
      </c>
      <c r="F183" s="112" t="s">
        <v>214</v>
      </c>
      <c r="G183" s="113" t="s">
        <v>130</v>
      </c>
      <c r="H183" s="114">
        <f>1333.752*0.82</f>
        <v>1093.6766399999999</v>
      </c>
      <c r="I183" s="115">
        <v>0</v>
      </c>
      <c r="J183" s="115">
        <f>ROUND(I183*H183,2)</f>
        <v>0</v>
      </c>
      <c r="K183" s="112" t="s">
        <v>107</v>
      </c>
      <c r="L183" s="28"/>
      <c r="M183" s="116"/>
      <c r="N183" s="117"/>
      <c r="O183" s="118"/>
      <c r="P183" s="118"/>
      <c r="Q183" s="118"/>
      <c r="R183" s="118"/>
      <c r="S183" s="118"/>
      <c r="T183" s="119"/>
      <c r="V183" s="424"/>
      <c r="W183" s="414"/>
      <c r="AQ183" s="120" t="s">
        <v>108</v>
      </c>
      <c r="AS183" s="120" t="s">
        <v>103</v>
      </c>
      <c r="AT183" s="120" t="s">
        <v>65</v>
      </c>
      <c r="AX183" s="17" t="s">
        <v>101</v>
      </c>
      <c r="BD183" s="121">
        <f>IF(N183="základní",J183,0)</f>
        <v>0</v>
      </c>
      <c r="BE183" s="121">
        <f>IF(N183="snížená",J183,0)</f>
        <v>0</v>
      </c>
      <c r="BF183" s="121">
        <f>IF(N183="zákl. přenesená",J183,0)</f>
        <v>0</v>
      </c>
      <c r="BG183" s="121">
        <f>IF(N183="sníž. přenesená",J183,0)</f>
        <v>0</v>
      </c>
      <c r="BH183" s="121">
        <f>IF(N183="nulová",J183,0)</f>
        <v>0</v>
      </c>
      <c r="BI183" s="17" t="s">
        <v>63</v>
      </c>
      <c r="BJ183" s="121">
        <f>ROUND(I183*H183,2)</f>
        <v>0</v>
      </c>
      <c r="BK183" s="17" t="s">
        <v>108</v>
      </c>
      <c r="BL183" s="120" t="s">
        <v>712</v>
      </c>
    </row>
    <row r="184" spans="2:64" s="1" customFormat="1" x14ac:dyDescent="0.2">
      <c r="B184" s="28"/>
      <c r="D184" s="122" t="s">
        <v>110</v>
      </c>
      <c r="F184" s="123" t="s">
        <v>216</v>
      </c>
      <c r="L184" s="28"/>
      <c r="M184" s="124"/>
      <c r="T184" s="48"/>
      <c r="V184" s="424"/>
      <c r="W184" s="414"/>
      <c r="AS184" s="17" t="s">
        <v>110</v>
      </c>
      <c r="AT184" s="17" t="s">
        <v>65</v>
      </c>
    </row>
    <row r="185" spans="2:64" s="13" customFormat="1" x14ac:dyDescent="0.2">
      <c r="B185" s="131"/>
      <c r="D185" s="126" t="s">
        <v>112</v>
      </c>
      <c r="E185" s="132" t="s">
        <v>1</v>
      </c>
      <c r="F185" s="133" t="s">
        <v>1855</v>
      </c>
      <c r="H185" s="134">
        <f>1333.752*0.82</f>
        <v>1093.6766399999999</v>
      </c>
      <c r="L185" s="131"/>
      <c r="M185" s="135"/>
      <c r="T185" s="136"/>
      <c r="V185" s="424"/>
      <c r="W185" s="421"/>
      <c r="AS185" s="132" t="s">
        <v>112</v>
      </c>
      <c r="AT185" s="132" t="s">
        <v>65</v>
      </c>
      <c r="AU185" s="13" t="s">
        <v>65</v>
      </c>
      <c r="AV185" s="13" t="s">
        <v>30</v>
      </c>
      <c r="AW185" s="13" t="s">
        <v>63</v>
      </c>
      <c r="AX185" s="132" t="s">
        <v>101</v>
      </c>
    </row>
    <row r="186" spans="2:64" s="1" customFormat="1" ht="44.25" customHeight="1" x14ac:dyDescent="0.2">
      <c r="B186" s="109"/>
      <c r="C186" s="110" t="s">
        <v>7</v>
      </c>
      <c r="D186" s="110" t="s">
        <v>103</v>
      </c>
      <c r="E186" s="111" t="s">
        <v>219</v>
      </c>
      <c r="F186" s="112" t="s">
        <v>220</v>
      </c>
      <c r="G186" s="113" t="s">
        <v>130</v>
      </c>
      <c r="H186" s="114">
        <f>1105.588*0.82</f>
        <v>906.58215999999993</v>
      </c>
      <c r="I186" s="115">
        <v>0</v>
      </c>
      <c r="J186" s="115">
        <f>ROUND(I186*H186,2)</f>
        <v>0</v>
      </c>
      <c r="K186" s="112" t="s">
        <v>107</v>
      </c>
      <c r="L186" s="28"/>
      <c r="M186" s="116"/>
      <c r="N186" s="117"/>
      <c r="O186" s="118"/>
      <c r="P186" s="118"/>
      <c r="Q186" s="118"/>
      <c r="R186" s="118"/>
      <c r="S186" s="118"/>
      <c r="T186" s="119"/>
      <c r="V186" s="424"/>
      <c r="W186" s="414"/>
      <c r="AQ186" s="120" t="s">
        <v>108</v>
      </c>
      <c r="AS186" s="120" t="s">
        <v>103</v>
      </c>
      <c r="AT186" s="120" t="s">
        <v>65</v>
      </c>
      <c r="AX186" s="17" t="s">
        <v>101</v>
      </c>
      <c r="BD186" s="121">
        <f>IF(N186="základní",J186,0)</f>
        <v>0</v>
      </c>
      <c r="BE186" s="121">
        <f>IF(N186="snížená",J186,0)</f>
        <v>0</v>
      </c>
      <c r="BF186" s="121">
        <f>IF(N186="zákl. přenesená",J186,0)</f>
        <v>0</v>
      </c>
      <c r="BG186" s="121">
        <f>IF(N186="sníž. přenesená",J186,0)</f>
        <v>0</v>
      </c>
      <c r="BH186" s="121">
        <f>IF(N186="nulová",J186,0)</f>
        <v>0</v>
      </c>
      <c r="BI186" s="17" t="s">
        <v>63</v>
      </c>
      <c r="BJ186" s="121">
        <f>ROUND(I186*H186,2)</f>
        <v>0</v>
      </c>
      <c r="BK186" s="17" t="s">
        <v>108</v>
      </c>
      <c r="BL186" s="120" t="s">
        <v>713</v>
      </c>
    </row>
    <row r="187" spans="2:64" s="1" customFormat="1" x14ac:dyDescent="0.2">
      <c r="B187" s="28"/>
      <c r="D187" s="122" t="s">
        <v>110</v>
      </c>
      <c r="F187" s="123" t="s">
        <v>222</v>
      </c>
      <c r="L187" s="28"/>
      <c r="M187" s="124"/>
      <c r="T187" s="48"/>
      <c r="V187" s="424"/>
      <c r="W187" s="414"/>
      <c r="AS187" s="17" t="s">
        <v>110</v>
      </c>
      <c r="AT187" s="17" t="s">
        <v>65</v>
      </c>
    </row>
    <row r="188" spans="2:64" s="13" customFormat="1" x14ac:dyDescent="0.2">
      <c r="B188" s="131"/>
      <c r="D188" s="126" t="s">
        <v>112</v>
      </c>
      <c r="E188" s="132" t="s">
        <v>1</v>
      </c>
      <c r="F188" s="133" t="s">
        <v>714</v>
      </c>
      <c r="H188" s="134">
        <v>363.75099999999998</v>
      </c>
      <c r="L188" s="131"/>
      <c r="M188" s="135"/>
      <c r="T188" s="136"/>
      <c r="V188" s="424"/>
      <c r="W188" s="421"/>
      <c r="AS188" s="132" t="s">
        <v>112</v>
      </c>
      <c r="AT188" s="132" t="s">
        <v>65</v>
      </c>
      <c r="AU188" s="13" t="s">
        <v>65</v>
      </c>
      <c r="AV188" s="13" t="s">
        <v>30</v>
      </c>
      <c r="AW188" s="13" t="s">
        <v>55</v>
      </c>
      <c r="AX188" s="132" t="s">
        <v>101</v>
      </c>
    </row>
    <row r="189" spans="2:64" s="13" customFormat="1" x14ac:dyDescent="0.2">
      <c r="B189" s="131"/>
      <c r="D189" s="126" t="s">
        <v>112</v>
      </c>
      <c r="E189" s="132" t="s">
        <v>1</v>
      </c>
      <c r="F189" s="133" t="s">
        <v>706</v>
      </c>
      <c r="H189" s="134">
        <v>549.27300000000002</v>
      </c>
      <c r="L189" s="131"/>
      <c r="M189" s="135"/>
      <c r="T189" s="136"/>
      <c r="V189" s="424"/>
      <c r="W189" s="421"/>
      <c r="AS189" s="132" t="s">
        <v>112</v>
      </c>
      <c r="AT189" s="132" t="s">
        <v>65</v>
      </c>
      <c r="AU189" s="13" t="s">
        <v>65</v>
      </c>
      <c r="AV189" s="13" t="s">
        <v>30</v>
      </c>
      <c r="AW189" s="13" t="s">
        <v>55</v>
      </c>
      <c r="AX189" s="132" t="s">
        <v>101</v>
      </c>
    </row>
    <row r="190" spans="2:64" s="13" customFormat="1" x14ac:dyDescent="0.2">
      <c r="B190" s="131"/>
      <c r="D190" s="126" t="s">
        <v>112</v>
      </c>
      <c r="E190" s="132" t="s">
        <v>1</v>
      </c>
      <c r="F190" s="133" t="s">
        <v>707</v>
      </c>
      <c r="H190" s="134">
        <v>192.56399999999999</v>
      </c>
      <c r="L190" s="131"/>
      <c r="M190" s="135"/>
      <c r="T190" s="136"/>
      <c r="V190" s="424"/>
      <c r="W190" s="421"/>
      <c r="AS190" s="132" t="s">
        <v>112</v>
      </c>
      <c r="AT190" s="132" t="s">
        <v>65</v>
      </c>
      <c r="AU190" s="13" t="s">
        <v>65</v>
      </c>
      <c r="AV190" s="13" t="s">
        <v>30</v>
      </c>
      <c r="AW190" s="13" t="s">
        <v>55</v>
      </c>
      <c r="AX190" s="132" t="s">
        <v>101</v>
      </c>
    </row>
    <row r="191" spans="2:64" s="14" customFormat="1" x14ac:dyDescent="0.2">
      <c r="B191" s="137"/>
      <c r="D191" s="126" t="s">
        <v>112</v>
      </c>
      <c r="E191" s="138" t="s">
        <v>1</v>
      </c>
      <c r="F191" s="139" t="s">
        <v>127</v>
      </c>
      <c r="H191" s="140">
        <v>1105.588</v>
      </c>
      <c r="L191" s="137"/>
      <c r="M191" s="141"/>
      <c r="T191" s="142"/>
      <c r="V191" s="424"/>
      <c r="W191" s="422"/>
      <c r="AS191" s="138" t="s">
        <v>112</v>
      </c>
      <c r="AT191" s="138" t="s">
        <v>65</v>
      </c>
      <c r="AU191" s="14" t="s">
        <v>108</v>
      </c>
      <c r="AV191" s="14" t="s">
        <v>30</v>
      </c>
      <c r="AW191" s="14" t="s">
        <v>63</v>
      </c>
      <c r="AX191" s="138" t="s">
        <v>101</v>
      </c>
    </row>
    <row r="192" spans="2:64" s="14" customFormat="1" x14ac:dyDescent="0.2">
      <c r="B192" s="137"/>
      <c r="D192" s="126"/>
      <c r="E192" s="138"/>
      <c r="F192" s="139" t="s">
        <v>1853</v>
      </c>
      <c r="H192" s="140">
        <f>H191*0.82</f>
        <v>906.58215999999993</v>
      </c>
      <c r="L192" s="137"/>
      <c r="M192" s="141"/>
      <c r="T192" s="142"/>
      <c r="V192" s="424"/>
      <c r="W192" s="422"/>
      <c r="AS192" s="138"/>
      <c r="AT192" s="138"/>
      <c r="AX192" s="138"/>
    </row>
    <row r="193" spans="2:64" s="1" customFormat="1" ht="44.25" customHeight="1" x14ac:dyDescent="0.2">
      <c r="B193" s="109"/>
      <c r="C193" s="110" t="s">
        <v>218</v>
      </c>
      <c r="D193" s="110" t="s">
        <v>103</v>
      </c>
      <c r="E193" s="111" t="s">
        <v>224</v>
      </c>
      <c r="F193" s="112" t="s">
        <v>225</v>
      </c>
      <c r="G193" s="113" t="s">
        <v>130</v>
      </c>
      <c r="H193" s="114">
        <f>444.584*0.82</f>
        <v>364.55887999999999</v>
      </c>
      <c r="I193" s="115">
        <v>0</v>
      </c>
      <c r="J193" s="115">
        <f>ROUND(I193*H193,2)</f>
        <v>0</v>
      </c>
      <c r="K193" s="112" t="s">
        <v>107</v>
      </c>
      <c r="L193" s="28"/>
      <c r="M193" s="116"/>
      <c r="N193" s="117"/>
      <c r="O193" s="118"/>
      <c r="P193" s="118"/>
      <c r="Q193" s="118"/>
      <c r="R193" s="118"/>
      <c r="S193" s="118"/>
      <c r="T193" s="119"/>
      <c r="V193" s="424"/>
      <c r="W193" s="414"/>
      <c r="AQ193" s="120" t="s">
        <v>108</v>
      </c>
      <c r="AS193" s="120" t="s">
        <v>103</v>
      </c>
      <c r="AT193" s="120" t="s">
        <v>65</v>
      </c>
      <c r="AX193" s="17" t="s">
        <v>101</v>
      </c>
      <c r="BD193" s="121">
        <f>IF(N193="základní",J193,0)</f>
        <v>0</v>
      </c>
      <c r="BE193" s="121">
        <f>IF(N193="snížená",J193,0)</f>
        <v>0</v>
      </c>
      <c r="BF193" s="121">
        <f>IF(N193="zákl. přenesená",J193,0)</f>
        <v>0</v>
      </c>
      <c r="BG193" s="121">
        <f>IF(N193="sníž. přenesená",J193,0)</f>
        <v>0</v>
      </c>
      <c r="BH193" s="121">
        <f>IF(N193="nulová",J193,0)</f>
        <v>0</v>
      </c>
      <c r="BI193" s="17" t="s">
        <v>63</v>
      </c>
      <c r="BJ193" s="121">
        <f>ROUND(I193*H193,2)</f>
        <v>0</v>
      </c>
      <c r="BK193" s="17" t="s">
        <v>108</v>
      </c>
      <c r="BL193" s="120" t="s">
        <v>715</v>
      </c>
    </row>
    <row r="194" spans="2:64" s="1" customFormat="1" x14ac:dyDescent="0.2">
      <c r="B194" s="28"/>
      <c r="D194" s="122" t="s">
        <v>110</v>
      </c>
      <c r="F194" s="123" t="s">
        <v>227</v>
      </c>
      <c r="L194" s="28"/>
      <c r="M194" s="124"/>
      <c r="T194" s="48"/>
      <c r="V194" s="424"/>
      <c r="W194" s="414"/>
      <c r="AS194" s="17" t="s">
        <v>110</v>
      </c>
      <c r="AT194" s="17" t="s">
        <v>65</v>
      </c>
    </row>
    <row r="195" spans="2:64" s="1" customFormat="1" ht="44.25" customHeight="1" x14ac:dyDescent="0.2">
      <c r="B195" s="109"/>
      <c r="C195" s="110" t="s">
        <v>223</v>
      </c>
      <c r="D195" s="110" t="s">
        <v>103</v>
      </c>
      <c r="E195" s="111" t="s">
        <v>229</v>
      </c>
      <c r="F195" s="112" t="s">
        <v>230</v>
      </c>
      <c r="G195" s="113" t="s">
        <v>231</v>
      </c>
      <c r="H195" s="114">
        <f>1445.765*0.82</f>
        <v>1185.5273</v>
      </c>
      <c r="I195" s="115">
        <v>0</v>
      </c>
      <c r="J195" s="115">
        <f>ROUND(I195*H195,2)</f>
        <v>0</v>
      </c>
      <c r="K195" s="112" t="s">
        <v>107</v>
      </c>
      <c r="L195" s="28"/>
      <c r="M195" s="116"/>
      <c r="N195" s="117"/>
      <c r="O195" s="118"/>
      <c r="P195" s="118"/>
      <c r="Q195" s="118"/>
      <c r="R195" s="118"/>
      <c r="S195" s="118"/>
      <c r="T195" s="119"/>
      <c r="V195" s="424"/>
      <c r="W195" s="414"/>
      <c r="X195" s="121"/>
      <c r="AQ195" s="120" t="s">
        <v>108</v>
      </c>
      <c r="AS195" s="120" t="s">
        <v>103</v>
      </c>
      <c r="AT195" s="120" t="s">
        <v>65</v>
      </c>
      <c r="AX195" s="17" t="s">
        <v>101</v>
      </c>
      <c r="BD195" s="121">
        <f>IF(N195="základní",J195,0)</f>
        <v>0</v>
      </c>
      <c r="BE195" s="121">
        <f>IF(N195="snížená",J195,0)</f>
        <v>0</v>
      </c>
      <c r="BF195" s="121">
        <f>IF(N195="zákl. přenesená",J195,0)</f>
        <v>0</v>
      </c>
      <c r="BG195" s="121">
        <f>IF(N195="sníž. přenesená",J195,0)</f>
        <v>0</v>
      </c>
      <c r="BH195" s="121">
        <f>IF(N195="nulová",J195,0)</f>
        <v>0</v>
      </c>
      <c r="BI195" s="17" t="s">
        <v>63</v>
      </c>
      <c r="BJ195" s="121">
        <f>ROUND(I195*H195,2)</f>
        <v>0</v>
      </c>
      <c r="BK195" s="17" t="s">
        <v>108</v>
      </c>
      <c r="BL195" s="120" t="s">
        <v>716</v>
      </c>
    </row>
    <row r="196" spans="2:64" s="1" customFormat="1" x14ac:dyDescent="0.2">
      <c r="B196" s="28"/>
      <c r="D196" s="122" t="s">
        <v>110</v>
      </c>
      <c r="F196" s="123" t="s">
        <v>233</v>
      </c>
      <c r="L196" s="28"/>
      <c r="M196" s="124"/>
      <c r="T196" s="48"/>
      <c r="V196" s="424"/>
      <c r="W196" s="414"/>
      <c r="AS196" s="17" t="s">
        <v>110</v>
      </c>
      <c r="AT196" s="17" t="s">
        <v>65</v>
      </c>
    </row>
    <row r="197" spans="2:64" s="13" customFormat="1" x14ac:dyDescent="0.2">
      <c r="B197" s="131"/>
      <c r="D197" s="126" t="s">
        <v>112</v>
      </c>
      <c r="F197" s="133" t="s">
        <v>717</v>
      </c>
      <c r="H197" s="134">
        <f>1455.003*0.82</f>
        <v>1193.1024599999998</v>
      </c>
      <c r="L197" s="131"/>
      <c r="M197" s="135"/>
      <c r="T197" s="136"/>
      <c r="V197" s="424"/>
      <c r="W197" s="421"/>
      <c r="AS197" s="132" t="s">
        <v>112</v>
      </c>
      <c r="AT197" s="132" t="s">
        <v>65</v>
      </c>
      <c r="AU197" s="13" t="s">
        <v>65</v>
      </c>
      <c r="AV197" s="13" t="s">
        <v>2</v>
      </c>
      <c r="AW197" s="13" t="s">
        <v>63</v>
      </c>
      <c r="AX197" s="132" t="s">
        <v>101</v>
      </c>
    </row>
    <row r="198" spans="2:64" s="1" customFormat="1" ht="37.9" customHeight="1" x14ac:dyDescent="0.2">
      <c r="B198" s="109"/>
      <c r="C198" s="110" t="s">
        <v>228</v>
      </c>
      <c r="D198" s="110" t="s">
        <v>103</v>
      </c>
      <c r="E198" s="111" t="s">
        <v>235</v>
      </c>
      <c r="F198" s="112" t="s">
        <v>236</v>
      </c>
      <c r="G198" s="113" t="s">
        <v>130</v>
      </c>
      <c r="H198" s="114">
        <v>808.33500000000004</v>
      </c>
      <c r="I198" s="115">
        <v>0</v>
      </c>
      <c r="J198" s="115">
        <f>ROUND(I198*H198,2)</f>
        <v>0</v>
      </c>
      <c r="K198" s="112" t="s">
        <v>107</v>
      </c>
      <c r="L198" s="28"/>
      <c r="M198" s="116"/>
      <c r="N198" s="117"/>
      <c r="O198" s="118"/>
      <c r="P198" s="118"/>
      <c r="Q198" s="118"/>
      <c r="R198" s="118"/>
      <c r="S198" s="118"/>
      <c r="T198" s="119"/>
      <c r="V198" s="424"/>
      <c r="W198" s="414"/>
      <c r="AQ198" s="120" t="s">
        <v>108</v>
      </c>
      <c r="AS198" s="120" t="s">
        <v>103</v>
      </c>
      <c r="AT198" s="120" t="s">
        <v>65</v>
      </c>
      <c r="AX198" s="17" t="s">
        <v>101</v>
      </c>
      <c r="BD198" s="121">
        <f>IF(N198="základní",J198,0)</f>
        <v>0</v>
      </c>
      <c r="BE198" s="121">
        <f>IF(N198="snížená",J198,0)</f>
        <v>0</v>
      </c>
      <c r="BF198" s="121">
        <f>IF(N198="zákl. přenesená",J198,0)</f>
        <v>0</v>
      </c>
      <c r="BG198" s="121">
        <f>IF(N198="sníž. přenesená",J198,0)</f>
        <v>0</v>
      </c>
      <c r="BH198" s="121">
        <f>IF(N198="nulová",J198,0)</f>
        <v>0</v>
      </c>
      <c r="BI198" s="17" t="s">
        <v>63</v>
      </c>
      <c r="BJ198" s="121">
        <f>ROUND(I198*H198,2)</f>
        <v>0</v>
      </c>
      <c r="BK198" s="17" t="s">
        <v>108</v>
      </c>
      <c r="BL198" s="120" t="s">
        <v>718</v>
      </c>
    </row>
    <row r="199" spans="2:64" s="1" customFormat="1" x14ac:dyDescent="0.2">
      <c r="B199" s="28"/>
      <c r="D199" s="122" t="s">
        <v>110</v>
      </c>
      <c r="F199" s="123" t="s">
        <v>238</v>
      </c>
      <c r="L199" s="28"/>
      <c r="M199" s="124"/>
      <c r="T199" s="48"/>
      <c r="V199" s="424"/>
      <c r="W199" s="414"/>
      <c r="AS199" s="17" t="s">
        <v>110</v>
      </c>
      <c r="AT199" s="17" t="s">
        <v>65</v>
      </c>
    </row>
    <row r="200" spans="2:64" s="1" customFormat="1" ht="44.25" customHeight="1" x14ac:dyDescent="0.2">
      <c r="B200" s="109"/>
      <c r="C200" s="110" t="s">
        <v>234</v>
      </c>
      <c r="D200" s="110" t="s">
        <v>103</v>
      </c>
      <c r="E200" s="111" t="s">
        <v>240</v>
      </c>
      <c r="F200" s="112" t="s">
        <v>241</v>
      </c>
      <c r="G200" s="113" t="s">
        <v>130</v>
      </c>
      <c r="H200" s="114">
        <f>549.273*0.82</f>
        <v>450.40386000000001</v>
      </c>
      <c r="I200" s="115">
        <v>0</v>
      </c>
      <c r="J200" s="115">
        <f>ROUND(I200*H200,2)</f>
        <v>0</v>
      </c>
      <c r="K200" s="112" t="s">
        <v>107</v>
      </c>
      <c r="L200" s="28"/>
      <c r="M200" s="116"/>
      <c r="N200" s="117"/>
      <c r="O200" s="118"/>
      <c r="P200" s="118"/>
      <c r="Q200" s="118"/>
      <c r="R200" s="118"/>
      <c r="S200" s="118"/>
      <c r="T200" s="119"/>
      <c r="V200" s="424"/>
      <c r="W200" s="414"/>
      <c r="AQ200" s="120" t="s">
        <v>108</v>
      </c>
      <c r="AS200" s="120" t="s">
        <v>103</v>
      </c>
      <c r="AT200" s="120" t="s">
        <v>65</v>
      </c>
      <c r="AX200" s="17" t="s">
        <v>101</v>
      </c>
      <c r="BD200" s="121">
        <f>IF(N200="základní",J200,0)</f>
        <v>0</v>
      </c>
      <c r="BE200" s="121">
        <f>IF(N200="snížená",J200,0)</f>
        <v>0</v>
      </c>
      <c r="BF200" s="121">
        <f>IF(N200="zákl. přenesená",J200,0)</f>
        <v>0</v>
      </c>
      <c r="BG200" s="121">
        <f>IF(N200="sníž. přenesená",J200,0)</f>
        <v>0</v>
      </c>
      <c r="BH200" s="121">
        <f>IF(N200="nulová",J200,0)</f>
        <v>0</v>
      </c>
      <c r="BI200" s="17" t="s">
        <v>63</v>
      </c>
      <c r="BJ200" s="121">
        <f>ROUND(I200*H200,2)</f>
        <v>0</v>
      </c>
      <c r="BK200" s="17" t="s">
        <v>108</v>
      </c>
      <c r="BL200" s="120" t="s">
        <v>719</v>
      </c>
    </row>
    <row r="201" spans="2:64" s="1" customFormat="1" x14ac:dyDescent="0.2">
      <c r="B201" s="28"/>
      <c r="D201" s="122" t="s">
        <v>110</v>
      </c>
      <c r="F201" s="123" t="s">
        <v>243</v>
      </c>
      <c r="L201" s="28"/>
      <c r="M201" s="124"/>
      <c r="T201" s="48"/>
      <c r="V201" s="424"/>
      <c r="W201" s="414"/>
      <c r="AS201" s="17" t="s">
        <v>110</v>
      </c>
      <c r="AT201" s="17" t="s">
        <v>65</v>
      </c>
    </row>
    <row r="202" spans="2:64" s="1" customFormat="1" ht="16.5" customHeight="1" x14ac:dyDescent="0.2">
      <c r="B202" s="109"/>
      <c r="C202" s="143" t="s">
        <v>239</v>
      </c>
      <c r="D202" s="143" t="s">
        <v>252</v>
      </c>
      <c r="E202" s="144" t="s">
        <v>253</v>
      </c>
      <c r="F202" s="145" t="s">
        <v>254</v>
      </c>
      <c r="G202" s="146" t="s">
        <v>231</v>
      </c>
      <c r="H202" s="147">
        <f>988.691*0.82</f>
        <v>810.72662000000003</v>
      </c>
      <c r="I202" s="148">
        <v>0</v>
      </c>
      <c r="J202" s="148">
        <f>ROUND(I202*H202,2)</f>
        <v>0</v>
      </c>
      <c r="K202" s="145" t="s">
        <v>107</v>
      </c>
      <c r="L202" s="149"/>
      <c r="M202" s="150"/>
      <c r="N202" s="151"/>
      <c r="O202" s="118"/>
      <c r="P202" s="118"/>
      <c r="Q202" s="118"/>
      <c r="R202" s="118"/>
      <c r="S202" s="118"/>
      <c r="T202" s="119"/>
      <c r="V202" s="424"/>
      <c r="W202" s="414"/>
      <c r="AQ202" s="120" t="s">
        <v>171</v>
      </c>
      <c r="AS202" s="120" t="s">
        <v>252</v>
      </c>
      <c r="AT202" s="120" t="s">
        <v>65</v>
      </c>
      <c r="AX202" s="17" t="s">
        <v>101</v>
      </c>
      <c r="BD202" s="121">
        <f>IF(N202="základní",J202,0)</f>
        <v>0</v>
      </c>
      <c r="BE202" s="121">
        <f>IF(N202="snížená",J202,0)</f>
        <v>0</v>
      </c>
      <c r="BF202" s="121">
        <f>IF(N202="zákl. přenesená",J202,0)</f>
        <v>0</v>
      </c>
      <c r="BG202" s="121">
        <f>IF(N202="sníž. přenesená",J202,0)</f>
        <v>0</v>
      </c>
      <c r="BH202" s="121">
        <f>IF(N202="nulová",J202,0)</f>
        <v>0</v>
      </c>
      <c r="BI202" s="17" t="s">
        <v>63</v>
      </c>
      <c r="BJ202" s="121">
        <f>ROUND(I202*H202,2)</f>
        <v>0</v>
      </c>
      <c r="BK202" s="17" t="s">
        <v>108</v>
      </c>
      <c r="BL202" s="120" t="s">
        <v>720</v>
      </c>
    </row>
    <row r="203" spans="2:64" s="12" customFormat="1" ht="33.75" x14ac:dyDescent="0.2">
      <c r="B203" s="125"/>
      <c r="D203" s="126" t="s">
        <v>112</v>
      </c>
      <c r="E203" s="127" t="s">
        <v>1</v>
      </c>
      <c r="F203" s="128" t="s">
        <v>721</v>
      </c>
      <c r="H203" s="127" t="s">
        <v>1</v>
      </c>
      <c r="L203" s="125"/>
      <c r="M203" s="129"/>
      <c r="T203" s="130"/>
      <c r="V203" s="424"/>
      <c r="W203" s="420"/>
      <c r="AS203" s="127" t="s">
        <v>112</v>
      </c>
      <c r="AT203" s="127" t="s">
        <v>65</v>
      </c>
      <c r="AU203" s="12" t="s">
        <v>63</v>
      </c>
      <c r="AV203" s="12" t="s">
        <v>30</v>
      </c>
      <c r="AW203" s="12" t="s">
        <v>55</v>
      </c>
      <c r="AX203" s="127" t="s">
        <v>101</v>
      </c>
    </row>
    <row r="204" spans="2:64" s="13" customFormat="1" ht="22.5" x14ac:dyDescent="0.2">
      <c r="B204" s="131"/>
      <c r="D204" s="126" t="s">
        <v>112</v>
      </c>
      <c r="E204" s="132" t="s">
        <v>1</v>
      </c>
      <c r="F204" s="133" t="s">
        <v>722</v>
      </c>
      <c r="H204" s="134">
        <v>469.315</v>
      </c>
      <c r="L204" s="131"/>
      <c r="M204" s="135"/>
      <c r="T204" s="136"/>
      <c r="V204" s="424"/>
      <c r="W204" s="421"/>
      <c r="AS204" s="132" t="s">
        <v>112</v>
      </c>
      <c r="AT204" s="132" t="s">
        <v>65</v>
      </c>
      <c r="AU204" s="13" t="s">
        <v>65</v>
      </c>
      <c r="AV204" s="13" t="s">
        <v>30</v>
      </c>
      <c r="AW204" s="13" t="s">
        <v>55</v>
      </c>
      <c r="AX204" s="132" t="s">
        <v>101</v>
      </c>
    </row>
    <row r="205" spans="2:64" s="13" customFormat="1" x14ac:dyDescent="0.2">
      <c r="B205" s="131"/>
      <c r="D205" s="126" t="s">
        <v>112</v>
      </c>
      <c r="E205" s="132" t="s">
        <v>1</v>
      </c>
      <c r="F205" s="133" t="s">
        <v>723</v>
      </c>
      <c r="H205" s="134">
        <v>7.2389999999999999</v>
      </c>
      <c r="L205" s="131"/>
      <c r="M205" s="135"/>
      <c r="T205" s="136"/>
      <c r="V205" s="424"/>
      <c r="W205" s="421"/>
      <c r="AS205" s="132" t="s">
        <v>112</v>
      </c>
      <c r="AT205" s="132" t="s">
        <v>65</v>
      </c>
      <c r="AU205" s="13" t="s">
        <v>65</v>
      </c>
      <c r="AV205" s="13" t="s">
        <v>30</v>
      </c>
      <c r="AW205" s="13" t="s">
        <v>55</v>
      </c>
      <c r="AX205" s="132" t="s">
        <v>101</v>
      </c>
    </row>
    <row r="206" spans="2:64" s="13" customFormat="1" x14ac:dyDescent="0.2">
      <c r="B206" s="131"/>
      <c r="D206" s="126" t="s">
        <v>112</v>
      </c>
      <c r="E206" s="132" t="s">
        <v>1</v>
      </c>
      <c r="F206" s="133" t="s">
        <v>724</v>
      </c>
      <c r="H206" s="134">
        <v>15.15</v>
      </c>
      <c r="L206" s="131"/>
      <c r="M206" s="135"/>
      <c r="T206" s="136"/>
      <c r="V206" s="424"/>
      <c r="W206" s="421"/>
      <c r="AS206" s="132" t="s">
        <v>112</v>
      </c>
      <c r="AT206" s="132" t="s">
        <v>65</v>
      </c>
      <c r="AU206" s="13" t="s">
        <v>65</v>
      </c>
      <c r="AV206" s="13" t="s">
        <v>30</v>
      </c>
      <c r="AW206" s="13" t="s">
        <v>55</v>
      </c>
      <c r="AX206" s="132" t="s">
        <v>101</v>
      </c>
    </row>
    <row r="207" spans="2:64" s="13" customFormat="1" x14ac:dyDescent="0.2">
      <c r="B207" s="131"/>
      <c r="D207" s="126" t="s">
        <v>112</v>
      </c>
      <c r="E207" s="132" t="s">
        <v>1</v>
      </c>
      <c r="F207" s="133" t="s">
        <v>725</v>
      </c>
      <c r="H207" s="134">
        <v>22.817</v>
      </c>
      <c r="L207" s="131"/>
      <c r="M207" s="135"/>
      <c r="T207" s="136"/>
      <c r="V207" s="424"/>
      <c r="W207" s="421"/>
      <c r="AS207" s="132" t="s">
        <v>112</v>
      </c>
      <c r="AT207" s="132" t="s">
        <v>65</v>
      </c>
      <c r="AU207" s="13" t="s">
        <v>65</v>
      </c>
      <c r="AV207" s="13" t="s">
        <v>30</v>
      </c>
      <c r="AW207" s="13" t="s">
        <v>55</v>
      </c>
      <c r="AX207" s="132" t="s">
        <v>101</v>
      </c>
    </row>
    <row r="208" spans="2:64" s="13" customFormat="1" x14ac:dyDescent="0.2">
      <c r="B208" s="131"/>
      <c r="D208" s="126" t="s">
        <v>112</v>
      </c>
      <c r="E208" s="132" t="s">
        <v>1</v>
      </c>
      <c r="F208" s="133" t="s">
        <v>726</v>
      </c>
      <c r="H208" s="134">
        <v>19.323</v>
      </c>
      <c r="L208" s="131"/>
      <c r="M208" s="135"/>
      <c r="T208" s="136"/>
      <c r="V208" s="424"/>
      <c r="W208" s="421"/>
      <c r="AS208" s="132" t="s">
        <v>112</v>
      </c>
      <c r="AT208" s="132" t="s">
        <v>65</v>
      </c>
      <c r="AU208" s="13" t="s">
        <v>65</v>
      </c>
      <c r="AV208" s="13" t="s">
        <v>30</v>
      </c>
      <c r="AW208" s="13" t="s">
        <v>55</v>
      </c>
      <c r="AX208" s="132" t="s">
        <v>101</v>
      </c>
    </row>
    <row r="209" spans="2:64" s="13" customFormat="1" x14ac:dyDescent="0.2">
      <c r="B209" s="131"/>
      <c r="D209" s="126" t="s">
        <v>112</v>
      </c>
      <c r="E209" s="132" t="s">
        <v>1</v>
      </c>
      <c r="F209" s="133" t="s">
        <v>727</v>
      </c>
      <c r="H209" s="134">
        <v>13.449</v>
      </c>
      <c r="L209" s="131"/>
      <c r="M209" s="135"/>
      <c r="T209" s="136"/>
      <c r="V209" s="424"/>
      <c r="W209" s="421"/>
      <c r="AS209" s="132" t="s">
        <v>112</v>
      </c>
      <c r="AT209" s="132" t="s">
        <v>65</v>
      </c>
      <c r="AU209" s="13" t="s">
        <v>65</v>
      </c>
      <c r="AV209" s="13" t="s">
        <v>30</v>
      </c>
      <c r="AW209" s="13" t="s">
        <v>55</v>
      </c>
      <c r="AX209" s="132" t="s">
        <v>101</v>
      </c>
    </row>
    <row r="210" spans="2:64" s="13" customFormat="1" x14ac:dyDescent="0.2">
      <c r="B210" s="131"/>
      <c r="D210" s="126" t="s">
        <v>112</v>
      </c>
      <c r="E210" s="132" t="s">
        <v>1</v>
      </c>
      <c r="F210" s="133" t="s">
        <v>728</v>
      </c>
      <c r="H210" s="134">
        <v>1.98</v>
      </c>
      <c r="L210" s="131"/>
      <c r="M210" s="135"/>
      <c r="T210" s="136"/>
      <c r="V210" s="424"/>
      <c r="W210" s="421"/>
      <c r="AS210" s="132" t="s">
        <v>112</v>
      </c>
      <c r="AT210" s="132" t="s">
        <v>65</v>
      </c>
      <c r="AU210" s="13" t="s">
        <v>65</v>
      </c>
      <c r="AV210" s="13" t="s">
        <v>30</v>
      </c>
      <c r="AW210" s="13" t="s">
        <v>55</v>
      </c>
      <c r="AX210" s="132" t="s">
        <v>101</v>
      </c>
    </row>
    <row r="211" spans="2:64" s="14" customFormat="1" x14ac:dyDescent="0.2">
      <c r="B211" s="137"/>
      <c r="D211" s="126" t="s">
        <v>112</v>
      </c>
      <c r="E211" s="138" t="s">
        <v>1</v>
      </c>
      <c r="F211" s="139" t="s">
        <v>127</v>
      </c>
      <c r="H211" s="140">
        <v>549.27300000000002</v>
      </c>
      <c r="L211" s="137"/>
      <c r="M211" s="141"/>
      <c r="T211" s="142"/>
      <c r="V211" s="424"/>
      <c r="W211" s="422"/>
      <c r="AS211" s="138" t="s">
        <v>112</v>
      </c>
      <c r="AT211" s="138" t="s">
        <v>65</v>
      </c>
      <c r="AU211" s="14" t="s">
        <v>108</v>
      </c>
      <c r="AV211" s="14" t="s">
        <v>30</v>
      </c>
      <c r="AW211" s="14" t="s">
        <v>63</v>
      </c>
      <c r="AX211" s="138" t="s">
        <v>101</v>
      </c>
    </row>
    <row r="212" spans="2:64" s="13" customFormat="1" x14ac:dyDescent="0.2">
      <c r="B212" s="131"/>
      <c r="D212" s="126" t="s">
        <v>112</v>
      </c>
      <c r="F212" s="133" t="s">
        <v>729</v>
      </c>
      <c r="H212" s="134">
        <v>988.69100000000003</v>
      </c>
      <c r="L212" s="131"/>
      <c r="M212" s="135"/>
      <c r="T212" s="136"/>
      <c r="V212" s="424"/>
      <c r="W212" s="421"/>
      <c r="AS212" s="132" t="s">
        <v>112</v>
      </c>
      <c r="AT212" s="132" t="s">
        <v>65</v>
      </c>
      <c r="AU212" s="13" t="s">
        <v>65</v>
      </c>
      <c r="AV212" s="13" t="s">
        <v>2</v>
      </c>
      <c r="AW212" s="13" t="s">
        <v>63</v>
      </c>
      <c r="AX212" s="132" t="s">
        <v>101</v>
      </c>
    </row>
    <row r="213" spans="2:64" s="13" customFormat="1" x14ac:dyDescent="0.2">
      <c r="B213" s="131"/>
      <c r="D213" s="126"/>
      <c r="F213" s="139" t="s">
        <v>1856</v>
      </c>
      <c r="G213" s="14"/>
      <c r="H213" s="140">
        <f>H212*0.82</f>
        <v>810.72662000000003</v>
      </c>
      <c r="L213" s="131"/>
      <c r="M213" s="135"/>
      <c r="T213" s="136"/>
      <c r="V213" s="424"/>
      <c r="W213" s="421"/>
      <c r="AS213" s="132"/>
      <c r="AT213" s="132"/>
      <c r="AX213" s="132"/>
    </row>
    <row r="214" spans="2:64" s="1" customFormat="1" ht="66.75" customHeight="1" x14ac:dyDescent="0.2">
      <c r="B214" s="109"/>
      <c r="C214" s="110" t="s">
        <v>6</v>
      </c>
      <c r="D214" s="110" t="s">
        <v>103</v>
      </c>
      <c r="E214" s="111" t="s">
        <v>257</v>
      </c>
      <c r="F214" s="112" t="s">
        <v>258</v>
      </c>
      <c r="G214" s="113" t="s">
        <v>130</v>
      </c>
      <c r="H214" s="114">
        <f>192.564*0.82</f>
        <v>157.90248</v>
      </c>
      <c r="I214" s="115">
        <v>0</v>
      </c>
      <c r="J214" s="115">
        <f>ROUND(I214*H214,2)</f>
        <v>0</v>
      </c>
      <c r="K214" s="112" t="s">
        <v>107</v>
      </c>
      <c r="L214" s="28"/>
      <c r="M214" s="116"/>
      <c r="N214" s="117"/>
      <c r="O214" s="118"/>
      <c r="P214" s="118"/>
      <c r="Q214" s="118"/>
      <c r="R214" s="118"/>
      <c r="S214" s="118"/>
      <c r="T214" s="119"/>
      <c r="V214" s="424"/>
      <c r="W214" s="414"/>
      <c r="AQ214" s="120" t="s">
        <v>108</v>
      </c>
      <c r="AS214" s="120" t="s">
        <v>103</v>
      </c>
      <c r="AT214" s="120" t="s">
        <v>65</v>
      </c>
      <c r="AX214" s="17" t="s">
        <v>101</v>
      </c>
      <c r="BD214" s="121">
        <f>IF(N214="základní",J214,0)</f>
        <v>0</v>
      </c>
      <c r="BE214" s="121">
        <f>IF(N214="snížená",J214,0)</f>
        <v>0</v>
      </c>
      <c r="BF214" s="121">
        <f>IF(N214="zákl. přenesená",J214,0)</f>
        <v>0</v>
      </c>
      <c r="BG214" s="121">
        <f>IF(N214="sníž. přenesená",J214,0)</f>
        <v>0</v>
      </c>
      <c r="BH214" s="121">
        <f>IF(N214="nulová",J214,0)</f>
        <v>0</v>
      </c>
      <c r="BI214" s="17" t="s">
        <v>63</v>
      </c>
      <c r="BJ214" s="121">
        <f>ROUND(I214*H214,2)</f>
        <v>0</v>
      </c>
      <c r="BK214" s="17" t="s">
        <v>108</v>
      </c>
      <c r="BL214" s="120" t="s">
        <v>730</v>
      </c>
    </row>
    <row r="215" spans="2:64" s="1" customFormat="1" x14ac:dyDescent="0.2">
      <c r="B215" s="28"/>
      <c r="D215" s="122" t="s">
        <v>110</v>
      </c>
      <c r="F215" s="123" t="s">
        <v>260</v>
      </c>
      <c r="L215" s="28"/>
      <c r="M215" s="124"/>
      <c r="T215" s="48"/>
      <c r="V215" s="424"/>
      <c r="W215" s="414"/>
      <c r="AS215" s="17" t="s">
        <v>110</v>
      </c>
      <c r="AT215" s="17" t="s">
        <v>65</v>
      </c>
    </row>
    <row r="216" spans="2:64" s="1" customFormat="1" ht="16.5" customHeight="1" x14ac:dyDescent="0.2">
      <c r="B216" s="109"/>
      <c r="C216" s="143" t="s">
        <v>256</v>
      </c>
      <c r="D216" s="143" t="s">
        <v>252</v>
      </c>
      <c r="E216" s="144" t="s">
        <v>262</v>
      </c>
      <c r="F216" s="145" t="s">
        <v>263</v>
      </c>
      <c r="G216" s="146" t="s">
        <v>231</v>
      </c>
      <c r="H216" s="147">
        <f>346.615*0.82</f>
        <v>284.22429999999997</v>
      </c>
      <c r="I216" s="148">
        <v>0</v>
      </c>
      <c r="J216" s="148">
        <f>ROUND(I216*H216,2)</f>
        <v>0</v>
      </c>
      <c r="K216" s="145" t="s">
        <v>107</v>
      </c>
      <c r="L216" s="149"/>
      <c r="M216" s="150"/>
      <c r="N216" s="151"/>
      <c r="O216" s="118"/>
      <c r="P216" s="118"/>
      <c r="Q216" s="118"/>
      <c r="R216" s="118"/>
      <c r="S216" s="118"/>
      <c r="T216" s="119"/>
      <c r="V216" s="424"/>
      <c r="W216" s="414"/>
      <c r="AQ216" s="120" t="s">
        <v>171</v>
      </c>
      <c r="AS216" s="120" t="s">
        <v>252</v>
      </c>
      <c r="AT216" s="120" t="s">
        <v>65</v>
      </c>
      <c r="AX216" s="17" t="s">
        <v>101</v>
      </c>
      <c r="BD216" s="121">
        <f>IF(N216="základní",J216,0)</f>
        <v>0</v>
      </c>
      <c r="BE216" s="121">
        <f>IF(N216="snížená",J216,0)</f>
        <v>0</v>
      </c>
      <c r="BF216" s="121">
        <f>IF(N216="zákl. přenesená",J216,0)</f>
        <v>0</v>
      </c>
      <c r="BG216" s="121">
        <f>IF(N216="sníž. přenesená",J216,0)</f>
        <v>0</v>
      </c>
      <c r="BH216" s="121">
        <f>IF(N216="nulová",J216,0)</f>
        <v>0</v>
      </c>
      <c r="BI216" s="17" t="s">
        <v>63</v>
      </c>
      <c r="BJ216" s="121">
        <f>ROUND(I216*H216,2)</f>
        <v>0</v>
      </c>
      <c r="BK216" s="17" t="s">
        <v>108</v>
      </c>
      <c r="BL216" s="120" t="s">
        <v>731</v>
      </c>
    </row>
    <row r="217" spans="2:64" s="12" customFormat="1" ht="22.5" x14ac:dyDescent="0.2">
      <c r="B217" s="125"/>
      <c r="D217" s="126" t="s">
        <v>112</v>
      </c>
      <c r="E217" s="127" t="s">
        <v>1</v>
      </c>
      <c r="F217" s="128" t="s">
        <v>265</v>
      </c>
      <c r="H217" s="127" t="s">
        <v>1</v>
      </c>
      <c r="L217" s="125"/>
      <c r="M217" s="129"/>
      <c r="T217" s="130"/>
      <c r="V217" s="424"/>
      <c r="W217" s="420"/>
      <c r="AS217" s="127" t="s">
        <v>112</v>
      </c>
      <c r="AT217" s="127" t="s">
        <v>65</v>
      </c>
      <c r="AU217" s="12" t="s">
        <v>63</v>
      </c>
      <c r="AV217" s="12" t="s">
        <v>30</v>
      </c>
      <c r="AW217" s="12" t="s">
        <v>55</v>
      </c>
      <c r="AX217" s="127" t="s">
        <v>101</v>
      </c>
    </row>
    <row r="218" spans="2:64" s="13" customFormat="1" x14ac:dyDescent="0.2">
      <c r="B218" s="131"/>
      <c r="D218" s="126" t="s">
        <v>112</v>
      </c>
      <c r="E218" s="132" t="s">
        <v>1</v>
      </c>
      <c r="F218" s="133" t="s">
        <v>732</v>
      </c>
      <c r="H218" s="134">
        <v>165.905</v>
      </c>
      <c r="L218" s="131"/>
      <c r="M218" s="135"/>
      <c r="T218" s="136"/>
      <c r="V218" s="424"/>
      <c r="W218" s="421"/>
      <c r="AS218" s="132" t="s">
        <v>112</v>
      </c>
      <c r="AT218" s="132" t="s">
        <v>65</v>
      </c>
      <c r="AU218" s="13" t="s">
        <v>65</v>
      </c>
      <c r="AV218" s="13" t="s">
        <v>30</v>
      </c>
      <c r="AW218" s="13" t="s">
        <v>55</v>
      </c>
      <c r="AX218" s="132" t="s">
        <v>101</v>
      </c>
    </row>
    <row r="219" spans="2:64" s="13" customFormat="1" x14ac:dyDescent="0.2">
      <c r="B219" s="131"/>
      <c r="D219" s="126" t="s">
        <v>112</v>
      </c>
      <c r="E219" s="132" t="s">
        <v>1</v>
      </c>
      <c r="F219" s="133" t="s">
        <v>733</v>
      </c>
      <c r="H219" s="134">
        <v>1.496</v>
      </c>
      <c r="L219" s="131"/>
      <c r="M219" s="135"/>
      <c r="T219" s="136"/>
      <c r="V219" s="424"/>
      <c r="W219" s="421"/>
      <c r="AS219" s="132" t="s">
        <v>112</v>
      </c>
      <c r="AT219" s="132" t="s">
        <v>65</v>
      </c>
      <c r="AU219" s="13" t="s">
        <v>65</v>
      </c>
      <c r="AV219" s="13" t="s">
        <v>30</v>
      </c>
      <c r="AW219" s="13" t="s">
        <v>55</v>
      </c>
      <c r="AX219" s="132" t="s">
        <v>101</v>
      </c>
    </row>
    <row r="220" spans="2:64" s="13" customFormat="1" x14ac:dyDescent="0.2">
      <c r="B220" s="131"/>
      <c r="D220" s="126" t="s">
        <v>112</v>
      </c>
      <c r="E220" s="132" t="s">
        <v>1</v>
      </c>
      <c r="F220" s="133" t="s">
        <v>734</v>
      </c>
      <c r="H220" s="134">
        <v>6.3070000000000004</v>
      </c>
      <c r="L220" s="131"/>
      <c r="M220" s="135"/>
      <c r="T220" s="136"/>
      <c r="V220" s="424"/>
      <c r="W220" s="421"/>
      <c r="AS220" s="132" t="s">
        <v>112</v>
      </c>
      <c r="AT220" s="132" t="s">
        <v>65</v>
      </c>
      <c r="AU220" s="13" t="s">
        <v>65</v>
      </c>
      <c r="AV220" s="13" t="s">
        <v>30</v>
      </c>
      <c r="AW220" s="13" t="s">
        <v>55</v>
      </c>
      <c r="AX220" s="132" t="s">
        <v>101</v>
      </c>
    </row>
    <row r="221" spans="2:64" s="13" customFormat="1" x14ac:dyDescent="0.2">
      <c r="B221" s="131"/>
      <c r="D221" s="126" t="s">
        <v>112</v>
      </c>
      <c r="E221" s="132" t="s">
        <v>1</v>
      </c>
      <c r="F221" s="133" t="s">
        <v>735</v>
      </c>
      <c r="H221" s="134">
        <v>7.3410000000000002</v>
      </c>
      <c r="L221" s="131"/>
      <c r="M221" s="135"/>
      <c r="T221" s="136"/>
      <c r="V221" s="424"/>
      <c r="W221" s="421"/>
      <c r="AS221" s="132" t="s">
        <v>112</v>
      </c>
      <c r="AT221" s="132" t="s">
        <v>65</v>
      </c>
      <c r="AU221" s="13" t="s">
        <v>65</v>
      </c>
      <c r="AV221" s="13" t="s">
        <v>30</v>
      </c>
      <c r="AW221" s="13" t="s">
        <v>55</v>
      </c>
      <c r="AX221" s="132" t="s">
        <v>101</v>
      </c>
    </row>
    <row r="222" spans="2:64" s="13" customFormat="1" x14ac:dyDescent="0.2">
      <c r="B222" s="131"/>
      <c r="D222" s="126" t="s">
        <v>112</v>
      </c>
      <c r="E222" s="132" t="s">
        <v>1</v>
      </c>
      <c r="F222" s="133" t="s">
        <v>736</v>
      </c>
      <c r="H222" s="134">
        <v>5.9539999999999997</v>
      </c>
      <c r="L222" s="131"/>
      <c r="M222" s="135"/>
      <c r="T222" s="136"/>
      <c r="V222" s="424"/>
      <c r="W222" s="421"/>
      <c r="AS222" s="132" t="s">
        <v>112</v>
      </c>
      <c r="AT222" s="132" t="s">
        <v>65</v>
      </c>
      <c r="AU222" s="13" t="s">
        <v>65</v>
      </c>
      <c r="AV222" s="13" t="s">
        <v>30</v>
      </c>
      <c r="AW222" s="13" t="s">
        <v>55</v>
      </c>
      <c r="AX222" s="132" t="s">
        <v>101</v>
      </c>
    </row>
    <row r="223" spans="2:64" s="13" customFormat="1" x14ac:dyDescent="0.2">
      <c r="B223" s="131"/>
      <c r="D223" s="126" t="s">
        <v>112</v>
      </c>
      <c r="E223" s="132" t="s">
        <v>1</v>
      </c>
      <c r="F223" s="133" t="s">
        <v>737</v>
      </c>
      <c r="H223" s="134">
        <v>4.7939999999999996</v>
      </c>
      <c r="L223" s="131"/>
      <c r="M223" s="135"/>
      <c r="T223" s="136"/>
      <c r="V223" s="424"/>
      <c r="W223" s="421"/>
      <c r="AS223" s="132" t="s">
        <v>112</v>
      </c>
      <c r="AT223" s="132" t="s">
        <v>65</v>
      </c>
      <c r="AU223" s="13" t="s">
        <v>65</v>
      </c>
      <c r="AV223" s="13" t="s">
        <v>30</v>
      </c>
      <c r="AW223" s="13" t="s">
        <v>55</v>
      </c>
      <c r="AX223" s="132" t="s">
        <v>101</v>
      </c>
    </row>
    <row r="224" spans="2:64" s="13" customFormat="1" ht="22.5" x14ac:dyDescent="0.2">
      <c r="B224" s="131"/>
      <c r="D224" s="126" t="s">
        <v>112</v>
      </c>
      <c r="E224" s="132" t="s">
        <v>1</v>
      </c>
      <c r="F224" s="133" t="s">
        <v>738</v>
      </c>
      <c r="H224" s="134">
        <v>0.76700000000000002</v>
      </c>
      <c r="L224" s="131"/>
      <c r="M224" s="135"/>
      <c r="T224" s="136"/>
      <c r="V224" s="424"/>
      <c r="W224" s="421"/>
      <c r="AS224" s="132" t="s">
        <v>112</v>
      </c>
      <c r="AT224" s="132" t="s">
        <v>65</v>
      </c>
      <c r="AU224" s="13" t="s">
        <v>65</v>
      </c>
      <c r="AV224" s="13" t="s">
        <v>30</v>
      </c>
      <c r="AW224" s="13" t="s">
        <v>55</v>
      </c>
      <c r="AX224" s="132" t="s">
        <v>101</v>
      </c>
    </row>
    <row r="225" spans="2:64" s="14" customFormat="1" x14ac:dyDescent="0.2">
      <c r="B225" s="137"/>
      <c r="D225" s="126" t="s">
        <v>112</v>
      </c>
      <c r="E225" s="138" t="s">
        <v>1</v>
      </c>
      <c r="F225" s="139" t="s">
        <v>127</v>
      </c>
      <c r="H225" s="140">
        <v>192.56399999999999</v>
      </c>
      <c r="L225" s="137"/>
      <c r="M225" s="141"/>
      <c r="T225" s="142"/>
      <c r="V225" s="424"/>
      <c r="W225" s="422"/>
      <c r="AS225" s="138" t="s">
        <v>112</v>
      </c>
      <c r="AT225" s="138" t="s">
        <v>65</v>
      </c>
      <c r="AU225" s="14" t="s">
        <v>108</v>
      </c>
      <c r="AV225" s="14" t="s">
        <v>30</v>
      </c>
      <c r="AW225" s="14" t="s">
        <v>63</v>
      </c>
      <c r="AX225" s="138" t="s">
        <v>101</v>
      </c>
    </row>
    <row r="226" spans="2:64" s="13" customFormat="1" x14ac:dyDescent="0.2">
      <c r="B226" s="131"/>
      <c r="D226" s="126" t="s">
        <v>112</v>
      </c>
      <c r="F226" s="133" t="s">
        <v>739</v>
      </c>
      <c r="H226" s="134">
        <v>346.61500000000001</v>
      </c>
      <c r="L226" s="131"/>
      <c r="M226" s="135"/>
      <c r="T226" s="136"/>
      <c r="V226" s="424"/>
      <c r="W226" s="421"/>
      <c r="AS226" s="132" t="s">
        <v>112</v>
      </c>
      <c r="AT226" s="132" t="s">
        <v>65</v>
      </c>
      <c r="AU226" s="13" t="s">
        <v>65</v>
      </c>
      <c r="AV226" s="13" t="s">
        <v>2</v>
      </c>
      <c r="AW226" s="13" t="s">
        <v>63</v>
      </c>
      <c r="AX226" s="132" t="s">
        <v>101</v>
      </c>
    </row>
    <row r="227" spans="2:64" s="13" customFormat="1" x14ac:dyDescent="0.2">
      <c r="B227" s="131"/>
      <c r="D227" s="126"/>
      <c r="F227" s="139" t="s">
        <v>1853</v>
      </c>
      <c r="G227" s="14"/>
      <c r="H227" s="140">
        <f>H226*0.82</f>
        <v>284.22429999999997</v>
      </c>
      <c r="L227" s="131"/>
      <c r="M227" s="135"/>
      <c r="T227" s="136"/>
      <c r="V227" s="424"/>
      <c r="W227" s="421"/>
      <c r="AS227" s="132"/>
      <c r="AT227" s="132"/>
      <c r="AX227" s="132"/>
    </row>
    <row r="228" spans="2:64" s="11" customFormat="1" ht="22.9" customHeight="1" x14ac:dyDescent="0.2">
      <c r="B228" s="98"/>
      <c r="D228" s="99" t="s">
        <v>54</v>
      </c>
      <c r="E228" s="107" t="s">
        <v>119</v>
      </c>
      <c r="F228" s="107" t="s">
        <v>740</v>
      </c>
      <c r="J228" s="108">
        <f>BJ228</f>
        <v>0</v>
      </c>
      <c r="L228" s="98"/>
      <c r="M228" s="102"/>
      <c r="P228" s="103"/>
      <c r="R228" s="103"/>
      <c r="T228" s="104"/>
      <c r="V228" s="424"/>
      <c r="W228" s="419"/>
      <c r="AQ228" s="99" t="s">
        <v>63</v>
      </c>
      <c r="AS228" s="105" t="s">
        <v>54</v>
      </c>
      <c r="AT228" s="105" t="s">
        <v>63</v>
      </c>
      <c r="AX228" s="99" t="s">
        <v>101</v>
      </c>
      <c r="BJ228" s="106">
        <f>SUM(BJ229:BJ230)</f>
        <v>0</v>
      </c>
    </row>
    <row r="229" spans="2:64" s="1" customFormat="1" ht="24.2" customHeight="1" x14ac:dyDescent="0.2">
      <c r="B229" s="109"/>
      <c r="C229" s="110" t="s">
        <v>261</v>
      </c>
      <c r="D229" s="110" t="s">
        <v>103</v>
      </c>
      <c r="E229" s="111" t="s">
        <v>741</v>
      </c>
      <c r="F229" s="112" t="s">
        <v>742</v>
      </c>
      <c r="G229" s="113" t="s">
        <v>106</v>
      </c>
      <c r="H229" s="114">
        <f>10*0.82</f>
        <v>8.1999999999999993</v>
      </c>
      <c r="I229" s="115">
        <v>0</v>
      </c>
      <c r="J229" s="115">
        <f>ROUND(I229*H229,2)</f>
        <v>0</v>
      </c>
      <c r="K229" s="112" t="s">
        <v>107</v>
      </c>
      <c r="L229" s="28"/>
      <c r="M229" s="116"/>
      <c r="N229" s="117"/>
      <c r="O229" s="118"/>
      <c r="P229" s="118"/>
      <c r="Q229" s="118"/>
      <c r="R229" s="118"/>
      <c r="S229" s="118"/>
      <c r="T229" s="119"/>
      <c r="V229" s="424"/>
      <c r="W229" s="414"/>
      <c r="AQ229" s="120" t="s">
        <v>108</v>
      </c>
      <c r="AS229" s="120" t="s">
        <v>103</v>
      </c>
      <c r="AT229" s="120" t="s">
        <v>65</v>
      </c>
      <c r="AX229" s="17" t="s">
        <v>101</v>
      </c>
      <c r="BD229" s="121">
        <f>IF(N229="základní",J229,0)</f>
        <v>0</v>
      </c>
      <c r="BE229" s="121">
        <f>IF(N229="snížená",J229,0)</f>
        <v>0</v>
      </c>
      <c r="BF229" s="121">
        <f>IF(N229="zákl. přenesená",J229,0)</f>
        <v>0</v>
      </c>
      <c r="BG229" s="121">
        <f>IF(N229="sníž. přenesená",J229,0)</f>
        <v>0</v>
      </c>
      <c r="BH229" s="121">
        <f>IF(N229="nulová",J229,0)</f>
        <v>0</v>
      </c>
      <c r="BI229" s="17" t="s">
        <v>63</v>
      </c>
      <c r="BJ229" s="121">
        <f>ROUND(I229*H229,2)</f>
        <v>0</v>
      </c>
      <c r="BK229" s="17" t="s">
        <v>108</v>
      </c>
      <c r="BL229" s="120" t="s">
        <v>743</v>
      </c>
    </row>
    <row r="230" spans="2:64" s="1" customFormat="1" x14ac:dyDescent="0.2">
      <c r="B230" s="28"/>
      <c r="D230" s="122" t="s">
        <v>110</v>
      </c>
      <c r="F230" s="123" t="s">
        <v>744</v>
      </c>
      <c r="L230" s="28"/>
      <c r="M230" s="124"/>
      <c r="T230" s="48"/>
      <c r="V230" s="424"/>
      <c r="W230" s="414"/>
      <c r="AS230" s="17" t="s">
        <v>110</v>
      </c>
      <c r="AT230" s="17" t="s">
        <v>65</v>
      </c>
    </row>
    <row r="231" spans="2:64" s="11" customFormat="1" ht="22.9" customHeight="1" x14ac:dyDescent="0.2">
      <c r="B231" s="98"/>
      <c r="D231" s="99" t="s">
        <v>54</v>
      </c>
      <c r="E231" s="107" t="s">
        <v>108</v>
      </c>
      <c r="F231" s="107" t="s">
        <v>274</v>
      </c>
      <c r="J231" s="108">
        <f>BJ231</f>
        <v>0</v>
      </c>
      <c r="L231" s="98"/>
      <c r="M231" s="102"/>
      <c r="P231" s="103"/>
      <c r="R231" s="103"/>
      <c r="T231" s="104"/>
      <c r="V231" s="424"/>
      <c r="W231" s="419"/>
      <c r="AQ231" s="99" t="s">
        <v>63</v>
      </c>
      <c r="AS231" s="105" t="s">
        <v>54</v>
      </c>
      <c r="AT231" s="105" t="s">
        <v>63</v>
      </c>
      <c r="AX231" s="99" t="s">
        <v>101</v>
      </c>
      <c r="BJ231" s="106">
        <f>SUM(BJ232:BJ278)</f>
        <v>0</v>
      </c>
    </row>
    <row r="232" spans="2:64" s="1" customFormat="1" ht="24.2" customHeight="1" x14ac:dyDescent="0.2">
      <c r="B232" s="109"/>
      <c r="C232" s="110" t="s">
        <v>275</v>
      </c>
      <c r="D232" s="110" t="s">
        <v>103</v>
      </c>
      <c r="E232" s="111" t="s">
        <v>745</v>
      </c>
      <c r="F232" s="112" t="s">
        <v>746</v>
      </c>
      <c r="G232" s="113" t="s">
        <v>130</v>
      </c>
      <c r="H232" s="114">
        <f>3.2*0.82</f>
        <v>2.6240000000000001</v>
      </c>
      <c r="I232" s="115">
        <v>0</v>
      </c>
      <c r="J232" s="115">
        <f>ROUND(I232*H232,2)</f>
        <v>0</v>
      </c>
      <c r="K232" s="112" t="s">
        <v>107</v>
      </c>
      <c r="L232" s="28"/>
      <c r="M232" s="116"/>
      <c r="N232" s="117"/>
      <c r="O232" s="118"/>
      <c r="P232" s="118"/>
      <c r="Q232" s="118"/>
      <c r="R232" s="118"/>
      <c r="S232" s="118"/>
      <c r="T232" s="119"/>
      <c r="V232" s="424"/>
      <c r="W232" s="414"/>
      <c r="AQ232" s="120" t="s">
        <v>108</v>
      </c>
      <c r="AS232" s="120" t="s">
        <v>103</v>
      </c>
      <c r="AT232" s="120" t="s">
        <v>65</v>
      </c>
      <c r="AX232" s="17" t="s">
        <v>101</v>
      </c>
      <c r="BD232" s="121">
        <f>IF(N232="základní",J232,0)</f>
        <v>0</v>
      </c>
      <c r="BE232" s="121">
        <f>IF(N232="snížená",J232,0)</f>
        <v>0</v>
      </c>
      <c r="BF232" s="121">
        <f>IF(N232="zákl. přenesená",J232,0)</f>
        <v>0</v>
      </c>
      <c r="BG232" s="121">
        <f>IF(N232="sníž. přenesená",J232,0)</f>
        <v>0</v>
      </c>
      <c r="BH232" s="121">
        <f>IF(N232="nulová",J232,0)</f>
        <v>0</v>
      </c>
      <c r="BI232" s="17" t="s">
        <v>63</v>
      </c>
      <c r="BJ232" s="121">
        <f>ROUND(I232*H232,2)</f>
        <v>0</v>
      </c>
      <c r="BK232" s="17" t="s">
        <v>108</v>
      </c>
      <c r="BL232" s="120" t="s">
        <v>747</v>
      </c>
    </row>
    <row r="233" spans="2:64" s="1" customFormat="1" x14ac:dyDescent="0.2">
      <c r="B233" s="28"/>
      <c r="D233" s="122" t="s">
        <v>110</v>
      </c>
      <c r="F233" s="123" t="s">
        <v>748</v>
      </c>
      <c r="L233" s="28"/>
      <c r="M233" s="124"/>
      <c r="T233" s="48"/>
      <c r="V233" s="424"/>
      <c r="W233" s="414"/>
      <c r="AS233" s="17" t="s">
        <v>110</v>
      </c>
      <c r="AT233" s="17" t="s">
        <v>65</v>
      </c>
    </row>
    <row r="234" spans="2:64" s="12" customFormat="1" x14ac:dyDescent="0.2">
      <c r="B234" s="125"/>
      <c r="D234" s="126" t="s">
        <v>112</v>
      </c>
      <c r="E234" s="127" t="s">
        <v>1</v>
      </c>
      <c r="F234" s="128" t="s">
        <v>749</v>
      </c>
      <c r="H234" s="127" t="s">
        <v>1</v>
      </c>
      <c r="L234" s="125"/>
      <c r="M234" s="129"/>
      <c r="T234" s="130"/>
      <c r="V234" s="424"/>
      <c r="W234" s="420"/>
      <c r="AS234" s="127" t="s">
        <v>112</v>
      </c>
      <c r="AT234" s="127" t="s">
        <v>65</v>
      </c>
      <c r="AU234" s="12" t="s">
        <v>63</v>
      </c>
      <c r="AV234" s="12" t="s">
        <v>30</v>
      </c>
      <c r="AW234" s="12" t="s">
        <v>55</v>
      </c>
      <c r="AX234" s="127" t="s">
        <v>101</v>
      </c>
    </row>
    <row r="235" spans="2:64" s="12" customFormat="1" x14ac:dyDescent="0.2">
      <c r="B235" s="125"/>
      <c r="D235" s="126" t="s">
        <v>112</v>
      </c>
      <c r="E235" s="127" t="s">
        <v>1</v>
      </c>
      <c r="F235" s="128" t="s">
        <v>750</v>
      </c>
      <c r="H235" s="127" t="s">
        <v>1</v>
      </c>
      <c r="L235" s="125"/>
      <c r="M235" s="129"/>
      <c r="T235" s="130"/>
      <c r="V235" s="424"/>
      <c r="W235" s="420"/>
      <c r="AS235" s="127" t="s">
        <v>112</v>
      </c>
      <c r="AT235" s="127" t="s">
        <v>65</v>
      </c>
      <c r="AU235" s="12" t="s">
        <v>63</v>
      </c>
      <c r="AV235" s="12" t="s">
        <v>30</v>
      </c>
      <c r="AW235" s="12" t="s">
        <v>55</v>
      </c>
      <c r="AX235" s="127" t="s">
        <v>101</v>
      </c>
    </row>
    <row r="236" spans="2:64" s="13" customFormat="1" x14ac:dyDescent="0.2">
      <c r="B236" s="131"/>
      <c r="D236" s="126" t="s">
        <v>112</v>
      </c>
      <c r="E236" s="132" t="s">
        <v>1</v>
      </c>
      <c r="F236" s="133" t="s">
        <v>751</v>
      </c>
      <c r="H236" s="134">
        <v>1.6</v>
      </c>
      <c r="L236" s="131"/>
      <c r="M236" s="135"/>
      <c r="T236" s="136"/>
      <c r="V236" s="424"/>
      <c r="W236" s="421"/>
      <c r="AS236" s="132" t="s">
        <v>112</v>
      </c>
      <c r="AT236" s="132" t="s">
        <v>65</v>
      </c>
      <c r="AU236" s="13" t="s">
        <v>65</v>
      </c>
      <c r="AV236" s="13" t="s">
        <v>30</v>
      </c>
      <c r="AW236" s="13" t="s">
        <v>55</v>
      </c>
      <c r="AX236" s="132" t="s">
        <v>101</v>
      </c>
    </row>
    <row r="237" spans="2:64" s="13" customFormat="1" x14ac:dyDescent="0.2">
      <c r="B237" s="131"/>
      <c r="D237" s="126" t="s">
        <v>112</v>
      </c>
      <c r="E237" s="132" t="s">
        <v>1</v>
      </c>
      <c r="F237" s="133" t="s">
        <v>752</v>
      </c>
      <c r="H237" s="134">
        <v>1.6</v>
      </c>
      <c r="L237" s="131"/>
      <c r="M237" s="135"/>
      <c r="T237" s="136"/>
      <c r="V237" s="424"/>
      <c r="W237" s="421"/>
      <c r="AS237" s="132" t="s">
        <v>112</v>
      </c>
      <c r="AT237" s="132" t="s">
        <v>65</v>
      </c>
      <c r="AU237" s="13" t="s">
        <v>65</v>
      </c>
      <c r="AV237" s="13" t="s">
        <v>30</v>
      </c>
      <c r="AW237" s="13" t="s">
        <v>55</v>
      </c>
      <c r="AX237" s="132" t="s">
        <v>101</v>
      </c>
    </row>
    <row r="238" spans="2:64" s="14" customFormat="1" x14ac:dyDescent="0.2">
      <c r="B238" s="137"/>
      <c r="D238" s="126" t="s">
        <v>112</v>
      </c>
      <c r="E238" s="138" t="s">
        <v>1</v>
      </c>
      <c r="F238" s="139" t="s">
        <v>127</v>
      </c>
      <c r="H238" s="140">
        <v>3.2</v>
      </c>
      <c r="L238" s="137"/>
      <c r="M238" s="141"/>
      <c r="T238" s="142"/>
      <c r="V238" s="424"/>
      <c r="W238" s="422"/>
      <c r="AS238" s="138" t="s">
        <v>112</v>
      </c>
      <c r="AT238" s="138" t="s">
        <v>65</v>
      </c>
      <c r="AU238" s="14" t="s">
        <v>108</v>
      </c>
      <c r="AV238" s="14" t="s">
        <v>30</v>
      </c>
      <c r="AW238" s="14" t="s">
        <v>63</v>
      </c>
      <c r="AX238" s="138" t="s">
        <v>101</v>
      </c>
    </row>
    <row r="239" spans="2:64" s="14" customFormat="1" x14ac:dyDescent="0.2">
      <c r="B239" s="137"/>
      <c r="D239" s="126"/>
      <c r="E239" s="138"/>
      <c r="F239" s="139" t="s">
        <v>1853</v>
      </c>
      <c r="H239" s="140">
        <f>H238*0.82</f>
        <v>2.6240000000000001</v>
      </c>
      <c r="L239" s="137"/>
      <c r="M239" s="141"/>
      <c r="T239" s="142"/>
      <c r="V239" s="424"/>
      <c r="W239" s="422"/>
      <c r="AS239" s="138"/>
      <c r="AT239" s="138"/>
      <c r="AX239" s="138"/>
    </row>
    <row r="240" spans="2:64" s="1" customFormat="1" ht="33" customHeight="1" x14ac:dyDescent="0.2">
      <c r="B240" s="109"/>
      <c r="C240" s="110" t="s">
        <v>288</v>
      </c>
      <c r="D240" s="110" t="s">
        <v>103</v>
      </c>
      <c r="E240" s="111" t="s">
        <v>276</v>
      </c>
      <c r="F240" s="112" t="s">
        <v>277</v>
      </c>
      <c r="G240" s="113" t="s">
        <v>130</v>
      </c>
      <c r="H240" s="114">
        <f>43.324*0.82</f>
        <v>35.525679999999994</v>
      </c>
      <c r="I240" s="115">
        <v>0</v>
      </c>
      <c r="J240" s="115">
        <f>ROUND(I240*H240,2)</f>
        <v>0</v>
      </c>
      <c r="K240" s="112" t="s">
        <v>107</v>
      </c>
      <c r="L240" s="28"/>
      <c r="M240" s="116"/>
      <c r="N240" s="117"/>
      <c r="O240" s="118"/>
      <c r="P240" s="118"/>
      <c r="Q240" s="118"/>
      <c r="R240" s="118"/>
      <c r="S240" s="118"/>
      <c r="T240" s="119"/>
      <c r="V240" s="424"/>
      <c r="W240" s="414"/>
      <c r="AQ240" s="120" t="s">
        <v>108</v>
      </c>
      <c r="AS240" s="120" t="s">
        <v>103</v>
      </c>
      <c r="AT240" s="120" t="s">
        <v>65</v>
      </c>
      <c r="AX240" s="17" t="s">
        <v>101</v>
      </c>
      <c r="BD240" s="121">
        <f>IF(N240="základní",J240,0)</f>
        <v>0</v>
      </c>
      <c r="BE240" s="121">
        <f>IF(N240="snížená",J240,0)</f>
        <v>0</v>
      </c>
      <c r="BF240" s="121">
        <f>IF(N240="zákl. přenesená",J240,0)</f>
        <v>0</v>
      </c>
      <c r="BG240" s="121">
        <f>IF(N240="sníž. přenesená",J240,0)</f>
        <v>0</v>
      </c>
      <c r="BH240" s="121">
        <f>IF(N240="nulová",J240,0)</f>
        <v>0</v>
      </c>
      <c r="BI240" s="17" t="s">
        <v>63</v>
      </c>
      <c r="BJ240" s="121">
        <f>ROUND(I240*H240,2)</f>
        <v>0</v>
      </c>
      <c r="BK240" s="17" t="s">
        <v>108</v>
      </c>
      <c r="BL240" s="120" t="s">
        <v>753</v>
      </c>
    </row>
    <row r="241" spans="2:64" s="1" customFormat="1" x14ac:dyDescent="0.2">
      <c r="B241" s="28"/>
      <c r="D241" s="122" t="s">
        <v>110</v>
      </c>
      <c r="F241" s="123" t="s">
        <v>279</v>
      </c>
      <c r="L241" s="28"/>
      <c r="M241" s="124"/>
      <c r="T241" s="48"/>
      <c r="V241" s="424"/>
      <c r="W241" s="414"/>
      <c r="AS241" s="17" t="s">
        <v>110</v>
      </c>
      <c r="AT241" s="17" t="s">
        <v>65</v>
      </c>
    </row>
    <row r="242" spans="2:64" s="12" customFormat="1" x14ac:dyDescent="0.2">
      <c r="B242" s="125"/>
      <c r="D242" s="126" t="s">
        <v>112</v>
      </c>
      <c r="E242" s="127" t="s">
        <v>1</v>
      </c>
      <c r="F242" s="128" t="s">
        <v>280</v>
      </c>
      <c r="H242" s="127" t="s">
        <v>1</v>
      </c>
      <c r="L242" s="125"/>
      <c r="M242" s="129"/>
      <c r="T242" s="130"/>
      <c r="V242" s="424"/>
      <c r="W242" s="420"/>
      <c r="AS242" s="127" t="s">
        <v>112</v>
      </c>
      <c r="AT242" s="127" t="s">
        <v>65</v>
      </c>
      <c r="AU242" s="12" t="s">
        <v>63</v>
      </c>
      <c r="AV242" s="12" t="s">
        <v>30</v>
      </c>
      <c r="AW242" s="12" t="s">
        <v>55</v>
      </c>
      <c r="AX242" s="127" t="s">
        <v>101</v>
      </c>
    </row>
    <row r="243" spans="2:64" s="13" customFormat="1" x14ac:dyDescent="0.2">
      <c r="B243" s="131"/>
      <c r="D243" s="126" t="s">
        <v>112</v>
      </c>
      <c r="E243" s="132" t="s">
        <v>1</v>
      </c>
      <c r="F243" s="133" t="s">
        <v>754</v>
      </c>
      <c r="H243" s="134">
        <v>37.713999999999999</v>
      </c>
      <c r="L243" s="131"/>
      <c r="M243" s="135"/>
      <c r="T243" s="136"/>
      <c r="V243" s="424"/>
      <c r="W243" s="421"/>
      <c r="AS243" s="132" t="s">
        <v>112</v>
      </c>
      <c r="AT243" s="132" t="s">
        <v>65</v>
      </c>
      <c r="AU243" s="13" t="s">
        <v>65</v>
      </c>
      <c r="AV243" s="13" t="s">
        <v>30</v>
      </c>
      <c r="AW243" s="13" t="s">
        <v>55</v>
      </c>
      <c r="AX243" s="132" t="s">
        <v>101</v>
      </c>
    </row>
    <row r="244" spans="2:64" s="13" customFormat="1" x14ac:dyDescent="0.2">
      <c r="B244" s="131"/>
      <c r="D244" s="126" t="s">
        <v>112</v>
      </c>
      <c r="E244" s="132" t="s">
        <v>1</v>
      </c>
      <c r="F244" s="133" t="s">
        <v>755</v>
      </c>
      <c r="H244" s="134">
        <v>0.39</v>
      </c>
      <c r="L244" s="131"/>
      <c r="M244" s="135"/>
      <c r="T244" s="136"/>
      <c r="V244" s="424"/>
      <c r="W244" s="421"/>
      <c r="AS244" s="132" t="s">
        <v>112</v>
      </c>
      <c r="AT244" s="132" t="s">
        <v>65</v>
      </c>
      <c r="AU244" s="13" t="s">
        <v>65</v>
      </c>
      <c r="AV244" s="13" t="s">
        <v>30</v>
      </c>
      <c r="AW244" s="13" t="s">
        <v>55</v>
      </c>
      <c r="AX244" s="132" t="s">
        <v>101</v>
      </c>
    </row>
    <row r="245" spans="2:64" s="13" customFormat="1" x14ac:dyDescent="0.2">
      <c r="B245" s="131"/>
      <c r="D245" s="126" t="s">
        <v>112</v>
      </c>
      <c r="E245" s="132" t="s">
        <v>1</v>
      </c>
      <c r="F245" s="133" t="s">
        <v>756</v>
      </c>
      <c r="H245" s="134">
        <v>1.647</v>
      </c>
      <c r="L245" s="131"/>
      <c r="M245" s="135"/>
      <c r="T245" s="136"/>
      <c r="V245" s="424"/>
      <c r="W245" s="421"/>
      <c r="AS245" s="132" t="s">
        <v>112</v>
      </c>
      <c r="AT245" s="132" t="s">
        <v>65</v>
      </c>
      <c r="AU245" s="13" t="s">
        <v>65</v>
      </c>
      <c r="AV245" s="13" t="s">
        <v>30</v>
      </c>
      <c r="AW245" s="13" t="s">
        <v>55</v>
      </c>
      <c r="AX245" s="132" t="s">
        <v>101</v>
      </c>
    </row>
    <row r="246" spans="2:64" s="13" customFormat="1" x14ac:dyDescent="0.2">
      <c r="B246" s="131"/>
      <c r="D246" s="126" t="s">
        <v>112</v>
      </c>
      <c r="E246" s="132" t="s">
        <v>1</v>
      </c>
      <c r="F246" s="133" t="s">
        <v>757</v>
      </c>
      <c r="H246" s="134">
        <v>1.917</v>
      </c>
      <c r="L246" s="131"/>
      <c r="M246" s="135"/>
      <c r="T246" s="136"/>
      <c r="V246" s="424"/>
      <c r="W246" s="421"/>
      <c r="AS246" s="132" t="s">
        <v>112</v>
      </c>
      <c r="AT246" s="132" t="s">
        <v>65</v>
      </c>
      <c r="AU246" s="13" t="s">
        <v>65</v>
      </c>
      <c r="AV246" s="13" t="s">
        <v>30</v>
      </c>
      <c r="AW246" s="13" t="s">
        <v>55</v>
      </c>
      <c r="AX246" s="132" t="s">
        <v>101</v>
      </c>
    </row>
    <row r="247" spans="2:64" s="13" customFormat="1" x14ac:dyDescent="0.2">
      <c r="B247" s="131"/>
      <c r="D247" s="126" t="s">
        <v>112</v>
      </c>
      <c r="E247" s="132" t="s">
        <v>1</v>
      </c>
      <c r="F247" s="133" t="s">
        <v>758</v>
      </c>
      <c r="H247" s="134">
        <v>1.6559999999999999</v>
      </c>
      <c r="L247" s="131"/>
      <c r="M247" s="135"/>
      <c r="T247" s="136"/>
      <c r="V247" s="424"/>
      <c r="W247" s="421"/>
      <c r="AS247" s="132" t="s">
        <v>112</v>
      </c>
      <c r="AT247" s="132" t="s">
        <v>65</v>
      </c>
      <c r="AU247" s="13" t="s">
        <v>65</v>
      </c>
      <c r="AV247" s="13" t="s">
        <v>30</v>
      </c>
      <c r="AW247" s="13" t="s">
        <v>55</v>
      </c>
      <c r="AX247" s="132" t="s">
        <v>101</v>
      </c>
    </row>
    <row r="248" spans="2:64" s="14" customFormat="1" x14ac:dyDescent="0.2">
      <c r="B248" s="137"/>
      <c r="D248" s="126" t="s">
        <v>112</v>
      </c>
      <c r="E248" s="138" t="s">
        <v>1</v>
      </c>
      <c r="F248" s="139" t="s">
        <v>127</v>
      </c>
      <c r="H248" s="140">
        <v>43.323999999999998</v>
      </c>
      <c r="L248" s="137"/>
      <c r="M248" s="141"/>
      <c r="T248" s="142"/>
      <c r="V248" s="424"/>
      <c r="W248" s="422"/>
      <c r="AS248" s="138" t="s">
        <v>112</v>
      </c>
      <c r="AT248" s="138" t="s">
        <v>65</v>
      </c>
      <c r="AU248" s="14" t="s">
        <v>108</v>
      </c>
      <c r="AV248" s="14" t="s">
        <v>30</v>
      </c>
      <c r="AW248" s="14" t="s">
        <v>63</v>
      </c>
      <c r="AX248" s="138" t="s">
        <v>101</v>
      </c>
    </row>
    <row r="249" spans="2:64" s="14" customFormat="1" x14ac:dyDescent="0.2">
      <c r="B249" s="137"/>
      <c r="D249" s="126"/>
      <c r="E249" s="138"/>
      <c r="F249" s="139" t="s">
        <v>1856</v>
      </c>
      <c r="H249" s="140">
        <f>H248*0.82</f>
        <v>35.525679999999994</v>
      </c>
      <c r="L249" s="137"/>
      <c r="M249" s="141"/>
      <c r="T249" s="142"/>
      <c r="V249" s="424"/>
      <c r="W249" s="422"/>
      <c r="AS249" s="138"/>
      <c r="AT249" s="138"/>
      <c r="AX249" s="138"/>
    </row>
    <row r="250" spans="2:64" s="1" customFormat="1" ht="44.25" customHeight="1" x14ac:dyDescent="0.2">
      <c r="B250" s="109"/>
      <c r="C250" s="110" t="s">
        <v>297</v>
      </c>
      <c r="D250" s="110" t="s">
        <v>103</v>
      </c>
      <c r="E250" s="111" t="s">
        <v>759</v>
      </c>
      <c r="F250" s="112" t="s">
        <v>760</v>
      </c>
      <c r="G250" s="113" t="s">
        <v>130</v>
      </c>
      <c r="H250" s="114">
        <f>2.32*0.82</f>
        <v>1.9023999999999996</v>
      </c>
      <c r="I250" s="115">
        <v>0</v>
      </c>
      <c r="J250" s="115">
        <f>ROUND(I250*H250,2)</f>
        <v>0</v>
      </c>
      <c r="K250" s="112" t="s">
        <v>107</v>
      </c>
      <c r="L250" s="28"/>
      <c r="M250" s="116"/>
      <c r="N250" s="117"/>
      <c r="O250" s="118"/>
      <c r="P250" s="118"/>
      <c r="Q250" s="118"/>
      <c r="R250" s="118"/>
      <c r="S250" s="118"/>
      <c r="T250" s="119"/>
      <c r="V250" s="424"/>
      <c r="W250" s="414"/>
      <c r="AQ250" s="120" t="s">
        <v>108</v>
      </c>
      <c r="AS250" s="120" t="s">
        <v>103</v>
      </c>
      <c r="AT250" s="120" t="s">
        <v>65</v>
      </c>
      <c r="AX250" s="17" t="s">
        <v>101</v>
      </c>
      <c r="BD250" s="121">
        <f>IF(N250="základní",J250,0)</f>
        <v>0</v>
      </c>
      <c r="BE250" s="121">
        <f>IF(N250="snížená",J250,0)</f>
        <v>0</v>
      </c>
      <c r="BF250" s="121">
        <f>IF(N250="zákl. přenesená",J250,0)</f>
        <v>0</v>
      </c>
      <c r="BG250" s="121">
        <f>IF(N250="sníž. přenesená",J250,0)</f>
        <v>0</v>
      </c>
      <c r="BH250" s="121">
        <f>IF(N250="nulová",J250,0)</f>
        <v>0</v>
      </c>
      <c r="BI250" s="17" t="s">
        <v>63</v>
      </c>
      <c r="BJ250" s="121">
        <f>ROUND(I250*H250,2)</f>
        <v>0</v>
      </c>
      <c r="BK250" s="17" t="s">
        <v>108</v>
      </c>
      <c r="BL250" s="120" t="s">
        <v>761</v>
      </c>
    </row>
    <row r="251" spans="2:64" s="1" customFormat="1" x14ac:dyDescent="0.2">
      <c r="B251" s="28"/>
      <c r="D251" s="122" t="s">
        <v>110</v>
      </c>
      <c r="F251" s="123" t="s">
        <v>762</v>
      </c>
      <c r="L251" s="28"/>
      <c r="M251" s="124"/>
      <c r="T251" s="48"/>
      <c r="V251" s="424"/>
      <c r="W251" s="414"/>
      <c r="AS251" s="17" t="s">
        <v>110</v>
      </c>
      <c r="AT251" s="17" t="s">
        <v>65</v>
      </c>
    </row>
    <row r="252" spans="2:64" s="12" customFormat="1" x14ac:dyDescent="0.2">
      <c r="B252" s="125"/>
      <c r="D252" s="126" t="s">
        <v>112</v>
      </c>
      <c r="E252" s="127" t="s">
        <v>1</v>
      </c>
      <c r="F252" s="128" t="s">
        <v>763</v>
      </c>
      <c r="H252" s="127" t="s">
        <v>1</v>
      </c>
      <c r="L252" s="125"/>
      <c r="M252" s="129"/>
      <c r="T252" s="130"/>
      <c r="V252" s="424"/>
      <c r="W252" s="420"/>
      <c r="AS252" s="127" t="s">
        <v>112</v>
      </c>
      <c r="AT252" s="127" t="s">
        <v>65</v>
      </c>
      <c r="AU252" s="12" t="s">
        <v>63</v>
      </c>
      <c r="AV252" s="12" t="s">
        <v>30</v>
      </c>
      <c r="AW252" s="12" t="s">
        <v>55</v>
      </c>
      <c r="AX252" s="127" t="s">
        <v>101</v>
      </c>
    </row>
    <row r="253" spans="2:64" s="13" customFormat="1" x14ac:dyDescent="0.2">
      <c r="B253" s="131"/>
      <c r="D253" s="126" t="s">
        <v>112</v>
      </c>
      <c r="E253" s="132" t="s">
        <v>1</v>
      </c>
      <c r="F253" s="133" t="s">
        <v>764</v>
      </c>
      <c r="H253" s="134">
        <v>2</v>
      </c>
      <c r="L253" s="131"/>
      <c r="M253" s="135"/>
      <c r="T253" s="136"/>
      <c r="V253" s="424"/>
      <c r="W253" s="421"/>
      <c r="AS253" s="132" t="s">
        <v>112</v>
      </c>
      <c r="AT253" s="132" t="s">
        <v>65</v>
      </c>
      <c r="AU253" s="13" t="s">
        <v>65</v>
      </c>
      <c r="AV253" s="13" t="s">
        <v>30</v>
      </c>
      <c r="AW253" s="13" t="s">
        <v>55</v>
      </c>
      <c r="AX253" s="132" t="s">
        <v>101</v>
      </c>
    </row>
    <row r="254" spans="2:64" s="13" customFormat="1" x14ac:dyDescent="0.2">
      <c r="B254" s="131"/>
      <c r="D254" s="126" t="s">
        <v>112</v>
      </c>
      <c r="E254" s="132" t="s">
        <v>1</v>
      </c>
      <c r="F254" s="133" t="s">
        <v>765</v>
      </c>
      <c r="H254" s="134">
        <v>0.32</v>
      </c>
      <c r="L254" s="131"/>
      <c r="M254" s="135"/>
      <c r="T254" s="136"/>
      <c r="V254" s="424"/>
      <c r="W254" s="421"/>
      <c r="AS254" s="132" t="s">
        <v>112</v>
      </c>
      <c r="AT254" s="132" t="s">
        <v>65</v>
      </c>
      <c r="AU254" s="13" t="s">
        <v>65</v>
      </c>
      <c r="AV254" s="13" t="s">
        <v>30</v>
      </c>
      <c r="AW254" s="13" t="s">
        <v>55</v>
      </c>
      <c r="AX254" s="132" t="s">
        <v>101</v>
      </c>
    </row>
    <row r="255" spans="2:64" s="14" customFormat="1" x14ac:dyDescent="0.2">
      <c r="B255" s="137"/>
      <c r="D255" s="126" t="s">
        <v>112</v>
      </c>
      <c r="E255" s="138" t="s">
        <v>1</v>
      </c>
      <c r="F255" s="139" t="s">
        <v>127</v>
      </c>
      <c r="H255" s="140">
        <v>2.3199999999999998</v>
      </c>
      <c r="L255" s="137"/>
      <c r="M255" s="141"/>
      <c r="T255" s="142"/>
      <c r="V255" s="424"/>
      <c r="W255" s="422"/>
      <c r="AS255" s="138" t="s">
        <v>112</v>
      </c>
      <c r="AT255" s="138" t="s">
        <v>65</v>
      </c>
      <c r="AU255" s="14" t="s">
        <v>108</v>
      </c>
      <c r="AV255" s="14" t="s">
        <v>30</v>
      </c>
      <c r="AW255" s="14" t="s">
        <v>63</v>
      </c>
      <c r="AX255" s="138" t="s">
        <v>101</v>
      </c>
    </row>
    <row r="256" spans="2:64" s="14" customFormat="1" x14ac:dyDescent="0.2">
      <c r="B256" s="137"/>
      <c r="D256" s="126"/>
      <c r="E256" s="138"/>
      <c r="F256" s="139" t="s">
        <v>1853</v>
      </c>
      <c r="H256" s="140">
        <f>H255*0.82</f>
        <v>1.9023999999999996</v>
      </c>
      <c r="L256" s="137"/>
      <c r="M256" s="141"/>
      <c r="T256" s="142"/>
      <c r="V256" s="424"/>
      <c r="W256" s="422"/>
      <c r="AS256" s="138"/>
      <c r="AT256" s="138"/>
      <c r="AX256" s="138"/>
    </row>
    <row r="257" spans="2:64" s="1" customFormat="1" ht="49.15" customHeight="1" x14ac:dyDescent="0.2">
      <c r="B257" s="109"/>
      <c r="C257" s="110" t="s">
        <v>311</v>
      </c>
      <c r="D257" s="110" t="s">
        <v>103</v>
      </c>
      <c r="E257" s="111" t="s">
        <v>768</v>
      </c>
      <c r="F257" s="112" t="s">
        <v>769</v>
      </c>
      <c r="G257" s="113" t="s">
        <v>130</v>
      </c>
      <c r="H257" s="114">
        <f>1.35*0.82</f>
        <v>1.107</v>
      </c>
      <c r="I257" s="115">
        <v>0</v>
      </c>
      <c r="J257" s="115">
        <f>ROUND(I257*H257,2)</f>
        <v>0</v>
      </c>
      <c r="K257" s="112" t="s">
        <v>107</v>
      </c>
      <c r="L257" s="28"/>
      <c r="M257" s="116"/>
      <c r="N257" s="117"/>
      <c r="O257" s="118"/>
      <c r="P257" s="118"/>
      <c r="Q257" s="118"/>
      <c r="R257" s="118"/>
      <c r="S257" s="118"/>
      <c r="T257" s="119"/>
      <c r="V257" s="424"/>
      <c r="W257" s="414"/>
      <c r="AQ257" s="120" t="s">
        <v>108</v>
      </c>
      <c r="AS257" s="120" t="s">
        <v>103</v>
      </c>
      <c r="AT257" s="120" t="s">
        <v>65</v>
      </c>
      <c r="AX257" s="17" t="s">
        <v>101</v>
      </c>
      <c r="BD257" s="121">
        <f>IF(N257="základní",J257,0)</f>
        <v>0</v>
      </c>
      <c r="BE257" s="121">
        <f>IF(N257="snížená",J257,0)</f>
        <v>0</v>
      </c>
      <c r="BF257" s="121">
        <f>IF(N257="zákl. přenesená",J257,0)</f>
        <v>0</v>
      </c>
      <c r="BG257" s="121">
        <f>IF(N257="sníž. přenesená",J257,0)</f>
        <v>0</v>
      </c>
      <c r="BH257" s="121">
        <f>IF(N257="nulová",J257,0)</f>
        <v>0</v>
      </c>
      <c r="BI257" s="17" t="s">
        <v>63</v>
      </c>
      <c r="BJ257" s="121">
        <f>ROUND(I257*H257,2)</f>
        <v>0</v>
      </c>
      <c r="BK257" s="17" t="s">
        <v>108</v>
      </c>
      <c r="BL257" s="120" t="s">
        <v>770</v>
      </c>
    </row>
    <row r="258" spans="2:64" s="1" customFormat="1" x14ac:dyDescent="0.2">
      <c r="B258" s="28"/>
      <c r="D258" s="122" t="s">
        <v>110</v>
      </c>
      <c r="F258" s="123" t="s">
        <v>771</v>
      </c>
      <c r="L258" s="28"/>
      <c r="M258" s="124"/>
      <c r="T258" s="48"/>
      <c r="V258" s="424"/>
      <c r="W258" s="414"/>
      <c r="AS258" s="17" t="s">
        <v>110</v>
      </c>
      <c r="AT258" s="17" t="s">
        <v>65</v>
      </c>
    </row>
    <row r="259" spans="2:64" s="12" customFormat="1" x14ac:dyDescent="0.2">
      <c r="B259" s="125"/>
      <c r="D259" s="126" t="s">
        <v>112</v>
      </c>
      <c r="E259" s="127" t="s">
        <v>1</v>
      </c>
      <c r="F259" s="128" t="s">
        <v>772</v>
      </c>
      <c r="H259" s="127" t="s">
        <v>1</v>
      </c>
      <c r="L259" s="125"/>
      <c r="M259" s="129"/>
      <c r="T259" s="130"/>
      <c r="V259" s="424"/>
      <c r="W259" s="420"/>
      <c r="AS259" s="127" t="s">
        <v>112</v>
      </c>
      <c r="AT259" s="127" t="s">
        <v>65</v>
      </c>
      <c r="AU259" s="12" t="s">
        <v>63</v>
      </c>
      <c r="AV259" s="12" t="s">
        <v>30</v>
      </c>
      <c r="AW259" s="12" t="s">
        <v>55</v>
      </c>
      <c r="AX259" s="127" t="s">
        <v>101</v>
      </c>
    </row>
    <row r="260" spans="2:64" s="13" customFormat="1" x14ac:dyDescent="0.2">
      <c r="B260" s="131"/>
      <c r="D260" s="126" t="s">
        <v>112</v>
      </c>
      <c r="E260" s="132" t="s">
        <v>1</v>
      </c>
      <c r="F260" s="133" t="s">
        <v>773</v>
      </c>
      <c r="H260" s="134">
        <v>0.67500000000000004</v>
      </c>
      <c r="L260" s="131"/>
      <c r="M260" s="135"/>
      <c r="T260" s="136"/>
      <c r="V260" s="424"/>
      <c r="W260" s="421"/>
      <c r="AS260" s="132" t="s">
        <v>112</v>
      </c>
      <c r="AT260" s="132" t="s">
        <v>65</v>
      </c>
      <c r="AU260" s="13" t="s">
        <v>65</v>
      </c>
      <c r="AV260" s="13" t="s">
        <v>30</v>
      </c>
      <c r="AW260" s="13" t="s">
        <v>55</v>
      </c>
      <c r="AX260" s="132" t="s">
        <v>101</v>
      </c>
    </row>
    <row r="261" spans="2:64" s="13" customFormat="1" x14ac:dyDescent="0.2">
      <c r="B261" s="131"/>
      <c r="D261" s="126" t="s">
        <v>112</v>
      </c>
      <c r="E261" s="132" t="s">
        <v>1</v>
      </c>
      <c r="F261" s="133" t="s">
        <v>774</v>
      </c>
      <c r="H261" s="134">
        <v>0.67500000000000004</v>
      </c>
      <c r="L261" s="131"/>
      <c r="M261" s="135"/>
      <c r="T261" s="136"/>
      <c r="V261" s="424"/>
      <c r="W261" s="421"/>
      <c r="AS261" s="132" t="s">
        <v>112</v>
      </c>
      <c r="AT261" s="132" t="s">
        <v>65</v>
      </c>
      <c r="AU261" s="13" t="s">
        <v>65</v>
      </c>
      <c r="AV261" s="13" t="s">
        <v>30</v>
      </c>
      <c r="AW261" s="13" t="s">
        <v>55</v>
      </c>
      <c r="AX261" s="132" t="s">
        <v>101</v>
      </c>
    </row>
    <row r="262" spans="2:64" s="14" customFormat="1" x14ac:dyDescent="0.2">
      <c r="B262" s="137"/>
      <c r="D262" s="126" t="s">
        <v>112</v>
      </c>
      <c r="E262" s="138" t="s">
        <v>1</v>
      </c>
      <c r="F262" s="139" t="s">
        <v>127</v>
      </c>
      <c r="H262" s="140">
        <v>1.35</v>
      </c>
      <c r="L262" s="137"/>
      <c r="M262" s="141"/>
      <c r="T262" s="142"/>
      <c r="V262" s="424"/>
      <c r="W262" s="422"/>
      <c r="AS262" s="138" t="s">
        <v>112</v>
      </c>
      <c r="AT262" s="138" t="s">
        <v>65</v>
      </c>
      <c r="AU262" s="14" t="s">
        <v>108</v>
      </c>
      <c r="AV262" s="14" t="s">
        <v>30</v>
      </c>
      <c r="AW262" s="14" t="s">
        <v>63</v>
      </c>
      <c r="AX262" s="138" t="s">
        <v>101</v>
      </c>
    </row>
    <row r="263" spans="2:64" s="14" customFormat="1" x14ac:dyDescent="0.2">
      <c r="B263" s="137"/>
      <c r="D263" s="126"/>
      <c r="E263" s="138"/>
      <c r="F263" s="139" t="s">
        <v>1853</v>
      </c>
      <c r="H263" s="140">
        <f>H262*0.82</f>
        <v>1.107</v>
      </c>
      <c r="L263" s="137"/>
      <c r="M263" s="141"/>
      <c r="T263" s="142"/>
      <c r="V263" s="424"/>
      <c r="W263" s="422"/>
      <c r="AS263" s="138"/>
      <c r="AT263" s="138"/>
      <c r="AX263" s="138"/>
    </row>
    <row r="264" spans="2:64" s="1" customFormat="1" ht="37.9" customHeight="1" x14ac:dyDescent="0.2">
      <c r="B264" s="109"/>
      <c r="C264" s="110" t="s">
        <v>317</v>
      </c>
      <c r="D264" s="110" t="s">
        <v>103</v>
      </c>
      <c r="E264" s="111" t="s">
        <v>775</v>
      </c>
      <c r="F264" s="112" t="s">
        <v>776</v>
      </c>
      <c r="G264" s="113" t="s">
        <v>174</v>
      </c>
      <c r="H264" s="114">
        <f>7.6*0.82</f>
        <v>6.2319999999999993</v>
      </c>
      <c r="I264" s="115">
        <v>0</v>
      </c>
      <c r="J264" s="115">
        <f>ROUND(I264*H264,2)</f>
        <v>0</v>
      </c>
      <c r="K264" s="112" t="s">
        <v>107</v>
      </c>
      <c r="L264" s="28"/>
      <c r="M264" s="116"/>
      <c r="N264" s="117"/>
      <c r="O264" s="118"/>
      <c r="P264" s="118"/>
      <c r="Q264" s="118"/>
      <c r="R264" s="118"/>
      <c r="S264" s="118"/>
      <c r="T264" s="119"/>
      <c r="V264" s="424"/>
      <c r="W264" s="414"/>
      <c r="AQ264" s="120" t="s">
        <v>108</v>
      </c>
      <c r="AS264" s="120" t="s">
        <v>103</v>
      </c>
      <c r="AT264" s="120" t="s">
        <v>65</v>
      </c>
      <c r="AX264" s="17" t="s">
        <v>101</v>
      </c>
      <c r="BD264" s="121">
        <f>IF(N264="základní",J264,0)</f>
        <v>0</v>
      </c>
      <c r="BE264" s="121">
        <f>IF(N264="snížená",J264,0)</f>
        <v>0</v>
      </c>
      <c r="BF264" s="121">
        <f>IF(N264="zákl. přenesená",J264,0)</f>
        <v>0</v>
      </c>
      <c r="BG264" s="121">
        <f>IF(N264="sníž. přenesená",J264,0)</f>
        <v>0</v>
      </c>
      <c r="BH264" s="121">
        <f>IF(N264="nulová",J264,0)</f>
        <v>0</v>
      </c>
      <c r="BI264" s="17" t="s">
        <v>63</v>
      </c>
      <c r="BJ264" s="121">
        <f>ROUND(I264*H264,2)</f>
        <v>0</v>
      </c>
      <c r="BK264" s="17" t="s">
        <v>108</v>
      </c>
      <c r="BL264" s="120" t="s">
        <v>777</v>
      </c>
    </row>
    <row r="265" spans="2:64" s="1" customFormat="1" x14ac:dyDescent="0.2">
      <c r="B265" s="28"/>
      <c r="D265" s="122" t="s">
        <v>110</v>
      </c>
      <c r="F265" s="123" t="s">
        <v>778</v>
      </c>
      <c r="L265" s="28"/>
      <c r="M265" s="124"/>
      <c r="T265" s="48"/>
      <c r="V265" s="424"/>
      <c r="W265" s="414"/>
      <c r="AS265" s="17" t="s">
        <v>110</v>
      </c>
      <c r="AT265" s="17" t="s">
        <v>65</v>
      </c>
    </row>
    <row r="266" spans="2:64" s="12" customFormat="1" x14ac:dyDescent="0.2">
      <c r="B266" s="125"/>
      <c r="D266" s="126" t="s">
        <v>112</v>
      </c>
      <c r="E266" s="127" t="s">
        <v>1</v>
      </c>
      <c r="F266" s="128" t="s">
        <v>779</v>
      </c>
      <c r="H266" s="127" t="s">
        <v>1</v>
      </c>
      <c r="L266" s="125"/>
      <c r="M266" s="129"/>
      <c r="T266" s="130"/>
      <c r="V266" s="424"/>
      <c r="W266" s="420"/>
      <c r="AS266" s="127" t="s">
        <v>112</v>
      </c>
      <c r="AT266" s="127" t="s">
        <v>65</v>
      </c>
      <c r="AU266" s="12" t="s">
        <v>63</v>
      </c>
      <c r="AV266" s="12" t="s">
        <v>30</v>
      </c>
      <c r="AW266" s="12" t="s">
        <v>55</v>
      </c>
      <c r="AX266" s="127" t="s">
        <v>101</v>
      </c>
    </row>
    <row r="267" spans="2:64" s="13" customFormat="1" x14ac:dyDescent="0.2">
      <c r="B267" s="131"/>
      <c r="D267" s="126" t="s">
        <v>112</v>
      </c>
      <c r="E267" s="132" t="s">
        <v>1</v>
      </c>
      <c r="F267" s="133" t="s">
        <v>780</v>
      </c>
      <c r="H267" s="134">
        <v>1.8</v>
      </c>
      <c r="L267" s="131"/>
      <c r="M267" s="135"/>
      <c r="T267" s="136"/>
      <c r="V267" s="424"/>
      <c r="W267" s="421"/>
      <c r="AS267" s="132" t="s">
        <v>112</v>
      </c>
      <c r="AT267" s="132" t="s">
        <v>65</v>
      </c>
      <c r="AU267" s="13" t="s">
        <v>65</v>
      </c>
      <c r="AV267" s="13" t="s">
        <v>30</v>
      </c>
      <c r="AW267" s="13" t="s">
        <v>55</v>
      </c>
      <c r="AX267" s="132" t="s">
        <v>101</v>
      </c>
    </row>
    <row r="268" spans="2:64" s="13" customFormat="1" x14ac:dyDescent="0.2">
      <c r="B268" s="131"/>
      <c r="D268" s="126" t="s">
        <v>112</v>
      </c>
      <c r="E268" s="132" t="s">
        <v>1</v>
      </c>
      <c r="F268" s="133" t="s">
        <v>781</v>
      </c>
      <c r="H268" s="134">
        <v>1.8</v>
      </c>
      <c r="L268" s="131"/>
      <c r="M268" s="135"/>
      <c r="T268" s="136"/>
      <c r="V268" s="424"/>
      <c r="W268" s="421"/>
      <c r="AS268" s="132" t="s">
        <v>112</v>
      </c>
      <c r="AT268" s="132" t="s">
        <v>65</v>
      </c>
      <c r="AU268" s="13" t="s">
        <v>65</v>
      </c>
      <c r="AV268" s="13" t="s">
        <v>30</v>
      </c>
      <c r="AW268" s="13" t="s">
        <v>55</v>
      </c>
      <c r="AX268" s="132" t="s">
        <v>101</v>
      </c>
    </row>
    <row r="269" spans="2:64" s="12" customFormat="1" x14ac:dyDescent="0.2">
      <c r="B269" s="125"/>
      <c r="D269" s="126" t="s">
        <v>112</v>
      </c>
      <c r="E269" s="127" t="s">
        <v>1</v>
      </c>
      <c r="F269" s="128" t="s">
        <v>782</v>
      </c>
      <c r="H269" s="127" t="s">
        <v>1</v>
      </c>
      <c r="L269" s="125"/>
      <c r="M269" s="129"/>
      <c r="T269" s="130"/>
      <c r="V269" s="424"/>
      <c r="W269" s="420"/>
      <c r="AS269" s="127" t="s">
        <v>112</v>
      </c>
      <c r="AT269" s="127" t="s">
        <v>65</v>
      </c>
      <c r="AU269" s="12" t="s">
        <v>63</v>
      </c>
      <c r="AV269" s="12" t="s">
        <v>30</v>
      </c>
      <c r="AW269" s="12" t="s">
        <v>55</v>
      </c>
      <c r="AX269" s="127" t="s">
        <v>101</v>
      </c>
    </row>
    <row r="270" spans="2:64" s="13" customFormat="1" x14ac:dyDescent="0.2">
      <c r="B270" s="131"/>
      <c r="D270" s="126" t="s">
        <v>112</v>
      </c>
      <c r="E270" s="132" t="s">
        <v>1</v>
      </c>
      <c r="F270" s="133" t="s">
        <v>783</v>
      </c>
      <c r="H270" s="134">
        <v>4</v>
      </c>
      <c r="L270" s="131"/>
      <c r="M270" s="135"/>
      <c r="T270" s="136"/>
      <c r="V270" s="424"/>
      <c r="W270" s="421"/>
      <c r="AS270" s="132" t="s">
        <v>112</v>
      </c>
      <c r="AT270" s="132" t="s">
        <v>65</v>
      </c>
      <c r="AU270" s="13" t="s">
        <v>65</v>
      </c>
      <c r="AV270" s="13" t="s">
        <v>30</v>
      </c>
      <c r="AW270" s="13" t="s">
        <v>55</v>
      </c>
      <c r="AX270" s="132" t="s">
        <v>101</v>
      </c>
    </row>
    <row r="271" spans="2:64" s="14" customFormat="1" x14ac:dyDescent="0.2">
      <c r="B271" s="137"/>
      <c r="D271" s="126" t="s">
        <v>112</v>
      </c>
      <c r="E271" s="138" t="s">
        <v>1</v>
      </c>
      <c r="F271" s="139" t="s">
        <v>127</v>
      </c>
      <c r="H271" s="140">
        <v>7.6</v>
      </c>
      <c r="L271" s="137"/>
      <c r="M271" s="141"/>
      <c r="T271" s="142"/>
      <c r="V271" s="424"/>
      <c r="W271" s="422"/>
      <c r="AS271" s="138" t="s">
        <v>112</v>
      </c>
      <c r="AT271" s="138" t="s">
        <v>65</v>
      </c>
      <c r="AU271" s="14" t="s">
        <v>108</v>
      </c>
      <c r="AV271" s="14" t="s">
        <v>30</v>
      </c>
      <c r="AW271" s="14" t="s">
        <v>63</v>
      </c>
      <c r="AX271" s="138" t="s">
        <v>101</v>
      </c>
    </row>
    <row r="272" spans="2:64" s="14" customFormat="1" x14ac:dyDescent="0.2">
      <c r="B272" s="137"/>
      <c r="D272" s="126"/>
      <c r="E272" s="138"/>
      <c r="F272" s="139" t="s">
        <v>1853</v>
      </c>
      <c r="H272" s="140">
        <f>H271*0.82</f>
        <v>6.2319999999999993</v>
      </c>
      <c r="L272" s="137"/>
      <c r="M272" s="141"/>
      <c r="T272" s="142"/>
      <c r="V272" s="424"/>
      <c r="W272" s="422"/>
      <c r="AS272" s="138"/>
      <c r="AT272" s="138"/>
      <c r="AX272" s="138"/>
    </row>
    <row r="273" spans="2:64" s="1" customFormat="1" ht="24.2" customHeight="1" x14ac:dyDescent="0.2">
      <c r="B273" s="109"/>
      <c r="C273" s="110" t="s">
        <v>321</v>
      </c>
      <c r="D273" s="110" t="s">
        <v>103</v>
      </c>
      <c r="E273" s="111" t="s">
        <v>298</v>
      </c>
      <c r="F273" s="112" t="s">
        <v>299</v>
      </c>
      <c r="G273" s="113" t="s">
        <v>174</v>
      </c>
      <c r="H273" s="114">
        <f>4.48*0.82</f>
        <v>3.6736</v>
      </c>
      <c r="I273" s="115">
        <v>0</v>
      </c>
      <c r="J273" s="115">
        <f>ROUND(I273*H273,2)</f>
        <v>0</v>
      </c>
      <c r="K273" s="112" t="s">
        <v>107</v>
      </c>
      <c r="L273" s="28"/>
      <c r="M273" s="116"/>
      <c r="N273" s="117"/>
      <c r="O273" s="118"/>
      <c r="P273" s="118"/>
      <c r="Q273" s="118"/>
      <c r="R273" s="118"/>
      <c r="S273" s="118"/>
      <c r="T273" s="119"/>
      <c r="V273" s="424"/>
      <c r="W273" s="414"/>
      <c r="AQ273" s="120" t="s">
        <v>108</v>
      </c>
      <c r="AS273" s="120" t="s">
        <v>103</v>
      </c>
      <c r="AT273" s="120" t="s">
        <v>65</v>
      </c>
      <c r="AX273" s="17" t="s">
        <v>101</v>
      </c>
      <c r="BD273" s="121">
        <f>IF(N273="základní",J273,0)</f>
        <v>0</v>
      </c>
      <c r="BE273" s="121">
        <f>IF(N273="snížená",J273,0)</f>
        <v>0</v>
      </c>
      <c r="BF273" s="121">
        <f>IF(N273="zákl. přenesená",J273,0)</f>
        <v>0</v>
      </c>
      <c r="BG273" s="121">
        <f>IF(N273="sníž. přenesená",J273,0)</f>
        <v>0</v>
      </c>
      <c r="BH273" s="121">
        <f>IF(N273="nulová",J273,0)</f>
        <v>0</v>
      </c>
      <c r="BI273" s="17" t="s">
        <v>63</v>
      </c>
      <c r="BJ273" s="121">
        <f>ROUND(I273*H273,2)</f>
        <v>0</v>
      </c>
      <c r="BK273" s="17" t="s">
        <v>108</v>
      </c>
      <c r="BL273" s="120" t="s">
        <v>784</v>
      </c>
    </row>
    <row r="274" spans="2:64" s="1" customFormat="1" x14ac:dyDescent="0.2">
      <c r="B274" s="28"/>
      <c r="D274" s="122" t="s">
        <v>110</v>
      </c>
      <c r="F274" s="123" t="s">
        <v>301</v>
      </c>
      <c r="L274" s="28"/>
      <c r="M274" s="124"/>
      <c r="T274" s="48"/>
      <c r="V274" s="424"/>
      <c r="W274" s="414"/>
      <c r="AS274" s="17" t="s">
        <v>110</v>
      </c>
      <c r="AT274" s="17" t="s">
        <v>65</v>
      </c>
    </row>
    <row r="275" spans="2:64" s="12" customFormat="1" x14ac:dyDescent="0.2">
      <c r="B275" s="125"/>
      <c r="D275" s="126" t="s">
        <v>112</v>
      </c>
      <c r="E275" s="127" t="s">
        <v>1</v>
      </c>
      <c r="F275" s="128" t="s">
        <v>302</v>
      </c>
      <c r="H275" s="127" t="s">
        <v>1</v>
      </c>
      <c r="L275" s="125"/>
      <c r="M275" s="129"/>
      <c r="T275" s="130"/>
      <c r="V275" s="424"/>
      <c r="W275" s="420"/>
      <c r="AS275" s="127" t="s">
        <v>112</v>
      </c>
      <c r="AT275" s="127" t="s">
        <v>65</v>
      </c>
      <c r="AU275" s="12" t="s">
        <v>63</v>
      </c>
      <c r="AV275" s="12" t="s">
        <v>30</v>
      </c>
      <c r="AW275" s="12" t="s">
        <v>55</v>
      </c>
      <c r="AX275" s="127" t="s">
        <v>101</v>
      </c>
    </row>
    <row r="276" spans="2:64" s="13" customFormat="1" x14ac:dyDescent="0.2">
      <c r="B276" s="131"/>
      <c r="D276" s="126" t="s">
        <v>112</v>
      </c>
      <c r="E276" s="132" t="s">
        <v>1</v>
      </c>
      <c r="F276" s="133" t="s">
        <v>304</v>
      </c>
      <c r="H276" s="134">
        <v>1.92</v>
      </c>
      <c r="L276" s="131"/>
      <c r="M276" s="135"/>
      <c r="T276" s="136"/>
      <c r="V276" s="424"/>
      <c r="W276" s="421"/>
      <c r="AS276" s="132" t="s">
        <v>112</v>
      </c>
      <c r="AT276" s="132" t="s">
        <v>65</v>
      </c>
      <c r="AU276" s="13" t="s">
        <v>65</v>
      </c>
      <c r="AV276" s="13" t="s">
        <v>30</v>
      </c>
      <c r="AW276" s="13" t="s">
        <v>55</v>
      </c>
      <c r="AX276" s="132" t="s">
        <v>101</v>
      </c>
    </row>
    <row r="277" spans="2:64" s="13" customFormat="1" x14ac:dyDescent="0.2">
      <c r="B277" s="131"/>
      <c r="D277" s="126" t="s">
        <v>112</v>
      </c>
      <c r="E277" s="132" t="s">
        <v>1</v>
      </c>
      <c r="F277" s="133" t="s">
        <v>785</v>
      </c>
      <c r="H277" s="134">
        <v>2.56</v>
      </c>
      <c r="L277" s="131"/>
      <c r="M277" s="135"/>
      <c r="T277" s="136"/>
      <c r="V277" s="424"/>
      <c r="W277" s="421"/>
      <c r="AS277" s="132" t="s">
        <v>112</v>
      </c>
      <c r="AT277" s="132" t="s">
        <v>65</v>
      </c>
      <c r="AU277" s="13" t="s">
        <v>65</v>
      </c>
      <c r="AV277" s="13" t="s">
        <v>30</v>
      </c>
      <c r="AW277" s="13" t="s">
        <v>55</v>
      </c>
      <c r="AX277" s="132" t="s">
        <v>101</v>
      </c>
    </row>
    <row r="278" spans="2:64" s="14" customFormat="1" x14ac:dyDescent="0.2">
      <c r="B278" s="137"/>
      <c r="D278" s="126" t="s">
        <v>112</v>
      </c>
      <c r="E278" s="138" t="s">
        <v>1</v>
      </c>
      <c r="F278" s="139" t="s">
        <v>127</v>
      </c>
      <c r="H278" s="140">
        <v>4.4800000000000004</v>
      </c>
      <c r="L278" s="137"/>
      <c r="M278" s="141"/>
      <c r="T278" s="142"/>
      <c r="V278" s="424"/>
      <c r="W278" s="422"/>
      <c r="AS278" s="138" t="s">
        <v>112</v>
      </c>
      <c r="AT278" s="138" t="s">
        <v>65</v>
      </c>
      <c r="AU278" s="14" t="s">
        <v>108</v>
      </c>
      <c r="AV278" s="14" t="s">
        <v>30</v>
      </c>
      <c r="AW278" s="14" t="s">
        <v>63</v>
      </c>
      <c r="AX278" s="138" t="s">
        <v>101</v>
      </c>
    </row>
    <row r="279" spans="2:64" s="14" customFormat="1" x14ac:dyDescent="0.2">
      <c r="B279" s="137"/>
      <c r="D279" s="126"/>
      <c r="E279" s="138"/>
      <c r="F279" s="139" t="s">
        <v>1853</v>
      </c>
      <c r="H279" s="140">
        <f>H278*0.82</f>
        <v>3.6736</v>
      </c>
      <c r="L279" s="137"/>
      <c r="M279" s="141"/>
      <c r="T279" s="142"/>
      <c r="V279" s="424"/>
      <c r="W279" s="422"/>
      <c r="AS279" s="138"/>
      <c r="AT279" s="138"/>
      <c r="AX279" s="138"/>
    </row>
    <row r="280" spans="2:64" s="11" customFormat="1" ht="22.9" customHeight="1" x14ac:dyDescent="0.2">
      <c r="B280" s="98"/>
      <c r="D280" s="99" t="s">
        <v>54</v>
      </c>
      <c r="E280" s="107" t="s">
        <v>171</v>
      </c>
      <c r="F280" s="107" t="s">
        <v>306</v>
      </c>
      <c r="J280" s="108">
        <f>BJ280</f>
        <v>0</v>
      </c>
      <c r="L280" s="98"/>
      <c r="M280" s="102"/>
      <c r="P280" s="103"/>
      <c r="R280" s="103"/>
      <c r="T280" s="104"/>
      <c r="V280" s="424"/>
      <c r="W280" s="419"/>
      <c r="AQ280" s="99" t="s">
        <v>63</v>
      </c>
      <c r="AS280" s="105" t="s">
        <v>54</v>
      </c>
      <c r="AT280" s="105" t="s">
        <v>63</v>
      </c>
      <c r="AX280" s="99" t="s">
        <v>101</v>
      </c>
      <c r="BJ280" s="106">
        <f>SUM(BJ281:BJ397)</f>
        <v>0</v>
      </c>
    </row>
    <row r="281" spans="2:64" s="1" customFormat="1" ht="24.2" customHeight="1" x14ac:dyDescent="0.2">
      <c r="B281" s="109"/>
      <c r="C281" s="110" t="s">
        <v>329</v>
      </c>
      <c r="D281" s="110" t="s">
        <v>103</v>
      </c>
      <c r="E281" s="111" t="s">
        <v>792</v>
      </c>
      <c r="F281" s="112" t="s">
        <v>793</v>
      </c>
      <c r="G281" s="113" t="s">
        <v>314</v>
      </c>
      <c r="H281" s="114">
        <v>6</v>
      </c>
      <c r="I281" s="115">
        <v>0</v>
      </c>
      <c r="J281" s="115">
        <f>ROUND(I281*H281,2)</f>
        <v>0</v>
      </c>
      <c r="K281" s="112" t="s">
        <v>107</v>
      </c>
      <c r="L281" s="28"/>
      <c r="M281" s="116"/>
      <c r="N281" s="117"/>
      <c r="O281" s="118"/>
      <c r="P281" s="118"/>
      <c r="Q281" s="118"/>
      <c r="R281" s="118"/>
      <c r="S281" s="118"/>
      <c r="T281" s="119"/>
      <c r="V281" s="424">
        <v>1</v>
      </c>
      <c r="W281" s="414">
        <v>6</v>
      </c>
      <c r="AQ281" s="120" t="s">
        <v>108</v>
      </c>
      <c r="AS281" s="120" t="s">
        <v>103</v>
      </c>
      <c r="AT281" s="120" t="s">
        <v>65</v>
      </c>
      <c r="AX281" s="17" t="s">
        <v>101</v>
      </c>
      <c r="BD281" s="121">
        <f>IF(N281="základní",J281,0)</f>
        <v>0</v>
      </c>
      <c r="BE281" s="121">
        <f>IF(N281="snížená",J281,0)</f>
        <v>0</v>
      </c>
      <c r="BF281" s="121">
        <f>IF(N281="zákl. přenesená",J281,0)</f>
        <v>0</v>
      </c>
      <c r="BG281" s="121">
        <f>IF(N281="sníž. přenesená",J281,0)</f>
        <v>0</v>
      </c>
      <c r="BH281" s="121">
        <f>IF(N281="nulová",J281,0)</f>
        <v>0</v>
      </c>
      <c r="BI281" s="17" t="s">
        <v>63</v>
      </c>
      <c r="BJ281" s="121">
        <f>ROUND(I281*H281,2)</f>
        <v>0</v>
      </c>
      <c r="BK281" s="17" t="s">
        <v>108</v>
      </c>
      <c r="BL281" s="120" t="s">
        <v>794</v>
      </c>
    </row>
    <row r="282" spans="2:64" s="1" customFormat="1" x14ac:dyDescent="0.2">
      <c r="B282" s="28"/>
      <c r="D282" s="122" t="s">
        <v>110</v>
      </c>
      <c r="F282" s="412" t="s">
        <v>795</v>
      </c>
      <c r="L282" s="28"/>
      <c r="M282" s="124"/>
      <c r="T282" s="48"/>
      <c r="V282" s="424"/>
      <c r="W282" s="414"/>
      <c r="AS282" s="17" t="s">
        <v>110</v>
      </c>
      <c r="AT282" s="17" t="s">
        <v>65</v>
      </c>
    </row>
    <row r="283" spans="2:64" s="1" customFormat="1" ht="24.2" customHeight="1" x14ac:dyDescent="0.2">
      <c r="B283" s="109"/>
      <c r="C283" s="143" t="s">
        <v>334</v>
      </c>
      <c r="D283" s="143" t="s">
        <v>252</v>
      </c>
      <c r="E283" s="144" t="s">
        <v>796</v>
      </c>
      <c r="F283" s="145" t="s">
        <v>797</v>
      </c>
      <c r="G283" s="146" t="s">
        <v>314</v>
      </c>
      <c r="H283" s="147">
        <v>4</v>
      </c>
      <c r="I283" s="148">
        <v>0</v>
      </c>
      <c r="J283" s="148">
        <f>ROUND(I283*H283,2)</f>
        <v>0</v>
      </c>
      <c r="K283" s="145" t="s">
        <v>107</v>
      </c>
      <c r="L283" s="149"/>
      <c r="M283" s="150"/>
      <c r="N283" s="151"/>
      <c r="O283" s="118"/>
      <c r="P283" s="118"/>
      <c r="Q283" s="118"/>
      <c r="R283" s="118"/>
      <c r="S283" s="118"/>
      <c r="T283" s="119"/>
      <c r="V283" s="424">
        <v>1</v>
      </c>
      <c r="W283" s="414">
        <v>4</v>
      </c>
      <c r="AQ283" s="120" t="s">
        <v>171</v>
      </c>
      <c r="AS283" s="120" t="s">
        <v>252</v>
      </c>
      <c r="AT283" s="120" t="s">
        <v>65</v>
      </c>
      <c r="AX283" s="17" t="s">
        <v>101</v>
      </c>
      <c r="BD283" s="121">
        <f>IF(N283="základní",J283,0)</f>
        <v>0</v>
      </c>
      <c r="BE283" s="121">
        <f>IF(N283="snížená",J283,0)</f>
        <v>0</v>
      </c>
      <c r="BF283" s="121">
        <f>IF(N283="zákl. přenesená",J283,0)</f>
        <v>0</v>
      </c>
      <c r="BG283" s="121">
        <f>IF(N283="sníž. přenesená",J283,0)</f>
        <v>0</v>
      </c>
      <c r="BH283" s="121">
        <f>IF(N283="nulová",J283,0)</f>
        <v>0</v>
      </c>
      <c r="BI283" s="17" t="s">
        <v>63</v>
      </c>
      <c r="BJ283" s="121">
        <f>ROUND(I283*H283,2)</f>
        <v>0</v>
      </c>
      <c r="BK283" s="17" t="s">
        <v>108</v>
      </c>
      <c r="BL283" s="120" t="s">
        <v>798</v>
      </c>
    </row>
    <row r="284" spans="2:64" s="1" customFormat="1" ht="24.2" customHeight="1" x14ac:dyDescent="0.2">
      <c r="B284" s="109"/>
      <c r="C284" s="143" t="s">
        <v>338</v>
      </c>
      <c r="D284" s="143" t="s">
        <v>252</v>
      </c>
      <c r="E284" s="144" t="s">
        <v>799</v>
      </c>
      <c r="F284" s="145" t="s">
        <v>800</v>
      </c>
      <c r="G284" s="146" t="s">
        <v>314</v>
      </c>
      <c r="H284" s="147">
        <v>1</v>
      </c>
      <c r="I284" s="148">
        <v>0</v>
      </c>
      <c r="J284" s="148">
        <f>ROUND(I284*H284,2)</f>
        <v>0</v>
      </c>
      <c r="K284" s="145" t="s">
        <v>107</v>
      </c>
      <c r="L284" s="149"/>
      <c r="M284" s="150"/>
      <c r="N284" s="151"/>
      <c r="O284" s="118"/>
      <c r="P284" s="118"/>
      <c r="Q284" s="118"/>
      <c r="R284" s="118"/>
      <c r="S284" s="118"/>
      <c r="T284" s="119"/>
      <c r="V284" s="424">
        <v>1</v>
      </c>
      <c r="W284" s="414">
        <v>1</v>
      </c>
      <c r="AQ284" s="120" t="s">
        <v>171</v>
      </c>
      <c r="AS284" s="120" t="s">
        <v>252</v>
      </c>
      <c r="AT284" s="120" t="s">
        <v>65</v>
      </c>
      <c r="AX284" s="17" t="s">
        <v>101</v>
      </c>
      <c r="BD284" s="121">
        <f>IF(N284="základní",J284,0)</f>
        <v>0</v>
      </c>
      <c r="BE284" s="121">
        <f>IF(N284="snížená",J284,0)</f>
        <v>0</v>
      </c>
      <c r="BF284" s="121">
        <f>IF(N284="zákl. přenesená",J284,0)</f>
        <v>0</v>
      </c>
      <c r="BG284" s="121">
        <f>IF(N284="sníž. přenesená",J284,0)</f>
        <v>0</v>
      </c>
      <c r="BH284" s="121">
        <f>IF(N284="nulová",J284,0)</f>
        <v>0</v>
      </c>
      <c r="BI284" s="17" t="s">
        <v>63</v>
      </c>
      <c r="BJ284" s="121">
        <f>ROUND(I284*H284,2)</f>
        <v>0</v>
      </c>
      <c r="BK284" s="17" t="s">
        <v>108</v>
      </c>
      <c r="BL284" s="120" t="s">
        <v>801</v>
      </c>
    </row>
    <row r="285" spans="2:64" s="1" customFormat="1" ht="37.9" customHeight="1" x14ac:dyDescent="0.2">
      <c r="B285" s="109"/>
      <c r="C285" s="110" t="s">
        <v>342</v>
      </c>
      <c r="D285" s="110" t="s">
        <v>103</v>
      </c>
      <c r="E285" s="111" t="s">
        <v>802</v>
      </c>
      <c r="F285" s="112" t="s">
        <v>803</v>
      </c>
      <c r="G285" s="113" t="s">
        <v>106</v>
      </c>
      <c r="H285" s="114">
        <f>2.6*0.82</f>
        <v>2.1320000000000001</v>
      </c>
      <c r="I285" s="115">
        <v>0</v>
      </c>
      <c r="J285" s="115">
        <f>ROUND(I285*H285,2)</f>
        <v>0</v>
      </c>
      <c r="K285" s="112" t="s">
        <v>1</v>
      </c>
      <c r="L285" s="28"/>
      <c r="M285" s="116"/>
      <c r="N285" s="117"/>
      <c r="O285" s="118"/>
      <c r="P285" s="118"/>
      <c r="Q285" s="118"/>
      <c r="R285" s="118"/>
      <c r="S285" s="118"/>
      <c r="T285" s="119"/>
      <c r="V285" s="424"/>
      <c r="W285" s="414"/>
      <c r="AQ285" s="120" t="s">
        <v>108</v>
      </c>
      <c r="AS285" s="120" t="s">
        <v>103</v>
      </c>
      <c r="AT285" s="120" t="s">
        <v>65</v>
      </c>
      <c r="AX285" s="17" t="s">
        <v>101</v>
      </c>
      <c r="BD285" s="121">
        <f>IF(N285="základní",J285,0)</f>
        <v>0</v>
      </c>
      <c r="BE285" s="121">
        <f>IF(N285="snížená",J285,0)</f>
        <v>0</v>
      </c>
      <c r="BF285" s="121">
        <f>IF(N285="zákl. přenesená",J285,0)</f>
        <v>0</v>
      </c>
      <c r="BG285" s="121">
        <f>IF(N285="sníž. přenesená",J285,0)</f>
        <v>0</v>
      </c>
      <c r="BH285" s="121">
        <f>IF(N285="nulová",J285,0)</f>
        <v>0</v>
      </c>
      <c r="BI285" s="17" t="s">
        <v>63</v>
      </c>
      <c r="BJ285" s="121">
        <f>ROUND(I285*H285,2)</f>
        <v>0</v>
      </c>
      <c r="BK285" s="17" t="s">
        <v>108</v>
      </c>
      <c r="BL285" s="120" t="s">
        <v>804</v>
      </c>
    </row>
    <row r="286" spans="2:64" s="1" customFormat="1" ht="37.9" customHeight="1" x14ac:dyDescent="0.2">
      <c r="B286" s="109"/>
      <c r="C286" s="110" t="s">
        <v>346</v>
      </c>
      <c r="D286" s="110" t="s">
        <v>103</v>
      </c>
      <c r="E286" s="111" t="s">
        <v>805</v>
      </c>
      <c r="F286" s="112" t="s">
        <v>806</v>
      </c>
      <c r="G286" s="113" t="s">
        <v>106</v>
      </c>
      <c r="H286" s="114">
        <f>11.2*0.82</f>
        <v>9.1839999999999993</v>
      </c>
      <c r="I286" s="115">
        <v>0</v>
      </c>
      <c r="J286" s="115">
        <f>ROUND(I286*H286,2)</f>
        <v>0</v>
      </c>
      <c r="K286" s="112" t="s">
        <v>107</v>
      </c>
      <c r="L286" s="28"/>
      <c r="M286" s="116"/>
      <c r="N286" s="117"/>
      <c r="O286" s="118"/>
      <c r="P286" s="118"/>
      <c r="Q286" s="118"/>
      <c r="R286" s="118"/>
      <c r="S286" s="118"/>
      <c r="T286" s="119"/>
      <c r="V286" s="424"/>
      <c r="W286" s="414"/>
      <c r="AQ286" s="120" t="s">
        <v>108</v>
      </c>
      <c r="AS286" s="120" t="s">
        <v>103</v>
      </c>
      <c r="AT286" s="120" t="s">
        <v>65</v>
      </c>
      <c r="AX286" s="17" t="s">
        <v>101</v>
      </c>
      <c r="BD286" s="121">
        <f>IF(N286="základní",J286,0)</f>
        <v>0</v>
      </c>
      <c r="BE286" s="121">
        <f>IF(N286="snížená",J286,0)</f>
        <v>0</v>
      </c>
      <c r="BF286" s="121">
        <f>IF(N286="zákl. přenesená",J286,0)</f>
        <v>0</v>
      </c>
      <c r="BG286" s="121">
        <f>IF(N286="sníž. přenesená",J286,0)</f>
        <v>0</v>
      </c>
      <c r="BH286" s="121">
        <f>IF(N286="nulová",J286,0)</f>
        <v>0</v>
      </c>
      <c r="BI286" s="17" t="s">
        <v>63</v>
      </c>
      <c r="BJ286" s="121">
        <f>ROUND(I286*H286,2)</f>
        <v>0</v>
      </c>
      <c r="BK286" s="17" t="s">
        <v>108</v>
      </c>
      <c r="BL286" s="120" t="s">
        <v>807</v>
      </c>
    </row>
    <row r="287" spans="2:64" s="1" customFormat="1" x14ac:dyDescent="0.2">
      <c r="B287" s="28"/>
      <c r="D287" s="122" t="s">
        <v>110</v>
      </c>
      <c r="F287" s="412" t="s">
        <v>808</v>
      </c>
      <c r="L287" s="28"/>
      <c r="M287" s="124"/>
      <c r="T287" s="48"/>
      <c r="V287" s="424"/>
      <c r="W287" s="414"/>
      <c r="AS287" s="17" t="s">
        <v>110</v>
      </c>
      <c r="AT287" s="17" t="s">
        <v>65</v>
      </c>
    </row>
    <row r="288" spans="2:64" s="1" customFormat="1" ht="24.2" customHeight="1" x14ac:dyDescent="0.2">
      <c r="B288" s="109"/>
      <c r="C288" s="143" t="s">
        <v>351</v>
      </c>
      <c r="D288" s="143" t="s">
        <v>252</v>
      </c>
      <c r="E288" s="144" t="s">
        <v>809</v>
      </c>
      <c r="F288" s="145" t="s">
        <v>810</v>
      </c>
      <c r="G288" s="146" t="s">
        <v>106</v>
      </c>
      <c r="H288" s="147">
        <f>10.15*0.82</f>
        <v>8.3230000000000004</v>
      </c>
      <c r="I288" s="148">
        <v>0</v>
      </c>
      <c r="J288" s="148">
        <f>ROUND(I288*H288,2)</f>
        <v>0</v>
      </c>
      <c r="K288" s="145" t="s">
        <v>107</v>
      </c>
      <c r="L288" s="149"/>
      <c r="M288" s="150"/>
      <c r="N288" s="151"/>
      <c r="O288" s="118"/>
      <c r="P288" s="118"/>
      <c r="Q288" s="118"/>
      <c r="R288" s="118"/>
      <c r="S288" s="118"/>
      <c r="T288" s="119"/>
      <c r="V288" s="424"/>
      <c r="W288" s="414"/>
      <c r="AQ288" s="120" t="s">
        <v>171</v>
      </c>
      <c r="AS288" s="120" t="s">
        <v>252</v>
      </c>
      <c r="AT288" s="120" t="s">
        <v>65</v>
      </c>
      <c r="AX288" s="17" t="s">
        <v>101</v>
      </c>
      <c r="BD288" s="121">
        <f>IF(N288="základní",J288,0)</f>
        <v>0</v>
      </c>
      <c r="BE288" s="121">
        <f>IF(N288="snížená",J288,0)</f>
        <v>0</v>
      </c>
      <c r="BF288" s="121">
        <f>IF(N288="zákl. přenesená",J288,0)</f>
        <v>0</v>
      </c>
      <c r="BG288" s="121">
        <f>IF(N288="sníž. přenesená",J288,0)</f>
        <v>0</v>
      </c>
      <c r="BH288" s="121">
        <f>IF(N288="nulová",J288,0)</f>
        <v>0</v>
      </c>
      <c r="BI288" s="17" t="s">
        <v>63</v>
      </c>
      <c r="BJ288" s="121">
        <f>ROUND(I288*H288,2)</f>
        <v>0</v>
      </c>
      <c r="BK288" s="17" t="s">
        <v>108</v>
      </c>
      <c r="BL288" s="120" t="s">
        <v>811</v>
      </c>
    </row>
    <row r="289" spans="2:64" s="13" customFormat="1" x14ac:dyDescent="0.2">
      <c r="B289" s="131"/>
      <c r="D289" s="126" t="s">
        <v>112</v>
      </c>
      <c r="F289" s="133" t="s">
        <v>1857</v>
      </c>
      <c r="H289" s="134">
        <f>10.15*0.82</f>
        <v>8.3230000000000004</v>
      </c>
      <c r="L289" s="131"/>
      <c r="M289" s="135"/>
      <c r="T289" s="136"/>
      <c r="V289" s="424"/>
      <c r="W289" s="421"/>
      <c r="AS289" s="132" t="s">
        <v>112</v>
      </c>
      <c r="AT289" s="132" t="s">
        <v>65</v>
      </c>
      <c r="AU289" s="13" t="s">
        <v>65</v>
      </c>
      <c r="AV289" s="13" t="s">
        <v>2</v>
      </c>
      <c r="AW289" s="13" t="s">
        <v>63</v>
      </c>
      <c r="AX289" s="132" t="s">
        <v>101</v>
      </c>
    </row>
    <row r="290" spans="2:64" s="1" customFormat="1" ht="24.2" customHeight="1" x14ac:dyDescent="0.2">
      <c r="B290" s="109"/>
      <c r="C290" s="143" t="s">
        <v>355</v>
      </c>
      <c r="D290" s="143" t="s">
        <v>252</v>
      </c>
      <c r="E290" s="144" t="s">
        <v>812</v>
      </c>
      <c r="F290" s="145" t="s">
        <v>813</v>
      </c>
      <c r="G290" s="146" t="s">
        <v>314</v>
      </c>
      <c r="H290" s="147">
        <v>1</v>
      </c>
      <c r="I290" s="148">
        <v>0</v>
      </c>
      <c r="J290" s="148">
        <f>ROUND(I290*H290,2)</f>
        <v>0</v>
      </c>
      <c r="K290" s="145" t="s">
        <v>107</v>
      </c>
      <c r="L290" s="149"/>
      <c r="M290" s="150"/>
      <c r="N290" s="151"/>
      <c r="O290" s="118"/>
      <c r="P290" s="118"/>
      <c r="Q290" s="118"/>
      <c r="R290" s="118"/>
      <c r="S290" s="118"/>
      <c r="T290" s="119"/>
      <c r="V290" s="424">
        <v>1</v>
      </c>
      <c r="W290" s="414">
        <v>1</v>
      </c>
      <c r="AQ290" s="120" t="s">
        <v>171</v>
      </c>
      <c r="AS290" s="120" t="s">
        <v>252</v>
      </c>
      <c r="AT290" s="120" t="s">
        <v>65</v>
      </c>
      <c r="AX290" s="17" t="s">
        <v>101</v>
      </c>
      <c r="BD290" s="121">
        <f>IF(N290="základní",J290,0)</f>
        <v>0</v>
      </c>
      <c r="BE290" s="121">
        <f>IF(N290="snížená",J290,0)</f>
        <v>0</v>
      </c>
      <c r="BF290" s="121">
        <f>IF(N290="zákl. přenesená",J290,0)</f>
        <v>0</v>
      </c>
      <c r="BG290" s="121">
        <f>IF(N290="sníž. přenesená",J290,0)</f>
        <v>0</v>
      </c>
      <c r="BH290" s="121">
        <f>IF(N290="nulová",J290,0)</f>
        <v>0</v>
      </c>
      <c r="BI290" s="17" t="s">
        <v>63</v>
      </c>
      <c r="BJ290" s="121">
        <f>ROUND(I290*H290,2)</f>
        <v>0</v>
      </c>
      <c r="BK290" s="17" t="s">
        <v>108</v>
      </c>
      <c r="BL290" s="120" t="s">
        <v>814</v>
      </c>
    </row>
    <row r="291" spans="2:64" s="1" customFormat="1" ht="37.9" customHeight="1" x14ac:dyDescent="0.2">
      <c r="B291" s="109"/>
      <c r="C291" s="110" t="s">
        <v>359</v>
      </c>
      <c r="D291" s="110" t="s">
        <v>103</v>
      </c>
      <c r="E291" s="111" t="s">
        <v>815</v>
      </c>
      <c r="F291" s="112" t="s">
        <v>816</v>
      </c>
      <c r="G291" s="113" t="s">
        <v>314</v>
      </c>
      <c r="H291" s="114">
        <v>1</v>
      </c>
      <c r="I291" s="115">
        <v>0</v>
      </c>
      <c r="J291" s="115">
        <f>ROUND(I291*H291,2)</f>
        <v>0</v>
      </c>
      <c r="K291" s="112" t="s">
        <v>107</v>
      </c>
      <c r="L291" s="28"/>
      <c r="M291" s="116"/>
      <c r="N291" s="117"/>
      <c r="O291" s="118"/>
      <c r="P291" s="118"/>
      <c r="Q291" s="118"/>
      <c r="R291" s="118"/>
      <c r="S291" s="118"/>
      <c r="T291" s="119"/>
      <c r="V291" s="424">
        <v>1</v>
      </c>
      <c r="W291" s="414">
        <v>1</v>
      </c>
      <c r="AQ291" s="120" t="s">
        <v>108</v>
      </c>
      <c r="AS291" s="120" t="s">
        <v>103</v>
      </c>
      <c r="AT291" s="120" t="s">
        <v>65</v>
      </c>
      <c r="AX291" s="17" t="s">
        <v>101</v>
      </c>
      <c r="BD291" s="121">
        <f>IF(N291="základní",J291,0)</f>
        <v>0</v>
      </c>
      <c r="BE291" s="121">
        <f>IF(N291="snížená",J291,0)</f>
        <v>0</v>
      </c>
      <c r="BF291" s="121">
        <f>IF(N291="zákl. přenesená",J291,0)</f>
        <v>0</v>
      </c>
      <c r="BG291" s="121">
        <f>IF(N291="sníž. přenesená",J291,0)</f>
        <v>0</v>
      </c>
      <c r="BH291" s="121">
        <f>IF(N291="nulová",J291,0)</f>
        <v>0</v>
      </c>
      <c r="BI291" s="17" t="s">
        <v>63</v>
      </c>
      <c r="BJ291" s="121">
        <f>ROUND(I291*H291,2)</f>
        <v>0</v>
      </c>
      <c r="BK291" s="17" t="s">
        <v>108</v>
      </c>
      <c r="BL291" s="120" t="s">
        <v>817</v>
      </c>
    </row>
    <row r="292" spans="2:64" s="1" customFormat="1" x14ac:dyDescent="0.2">
      <c r="B292" s="28"/>
      <c r="D292" s="122" t="s">
        <v>110</v>
      </c>
      <c r="F292" s="412" t="s">
        <v>818</v>
      </c>
      <c r="L292" s="28"/>
      <c r="M292" s="124"/>
      <c r="T292" s="48"/>
      <c r="V292" s="424"/>
      <c r="W292" s="414"/>
      <c r="AS292" s="17" t="s">
        <v>110</v>
      </c>
      <c r="AT292" s="17" t="s">
        <v>65</v>
      </c>
    </row>
    <row r="293" spans="2:64" s="1" customFormat="1" ht="24.2" customHeight="1" x14ac:dyDescent="0.2">
      <c r="B293" s="109"/>
      <c r="C293" s="143" t="s">
        <v>363</v>
      </c>
      <c r="D293" s="143" t="s">
        <v>252</v>
      </c>
      <c r="E293" s="144" t="s">
        <v>819</v>
      </c>
      <c r="F293" s="145" t="s">
        <v>820</v>
      </c>
      <c r="G293" s="146" t="s">
        <v>314</v>
      </c>
      <c r="H293" s="147">
        <v>1</v>
      </c>
      <c r="I293" s="148">
        <v>0</v>
      </c>
      <c r="J293" s="148">
        <f>ROUND(I293*H293,2)</f>
        <v>0</v>
      </c>
      <c r="K293" s="145" t="s">
        <v>107</v>
      </c>
      <c r="L293" s="149"/>
      <c r="M293" s="150"/>
      <c r="N293" s="151"/>
      <c r="O293" s="118"/>
      <c r="P293" s="118"/>
      <c r="Q293" s="118"/>
      <c r="R293" s="118"/>
      <c r="S293" s="118"/>
      <c r="T293" s="119"/>
      <c r="V293" s="424">
        <v>1</v>
      </c>
      <c r="W293" s="414">
        <v>1</v>
      </c>
      <c r="AQ293" s="120" t="s">
        <v>171</v>
      </c>
      <c r="AS293" s="120" t="s">
        <v>252</v>
      </c>
      <c r="AT293" s="120" t="s">
        <v>65</v>
      </c>
      <c r="AX293" s="17" t="s">
        <v>101</v>
      </c>
      <c r="BD293" s="121">
        <f>IF(N293="základní",J293,0)</f>
        <v>0</v>
      </c>
      <c r="BE293" s="121">
        <f>IF(N293="snížená",J293,0)</f>
        <v>0</v>
      </c>
      <c r="BF293" s="121">
        <f>IF(N293="zákl. přenesená",J293,0)</f>
        <v>0</v>
      </c>
      <c r="BG293" s="121">
        <f>IF(N293="sníž. přenesená",J293,0)</f>
        <v>0</v>
      </c>
      <c r="BH293" s="121">
        <f>IF(N293="nulová",J293,0)</f>
        <v>0</v>
      </c>
      <c r="BI293" s="17" t="s">
        <v>63</v>
      </c>
      <c r="BJ293" s="121">
        <f>ROUND(I293*H293,2)</f>
        <v>0</v>
      </c>
      <c r="BK293" s="17" t="s">
        <v>108</v>
      </c>
      <c r="BL293" s="120" t="s">
        <v>821</v>
      </c>
    </row>
    <row r="294" spans="2:64" s="1" customFormat="1" ht="44.25" customHeight="1" x14ac:dyDescent="0.2">
      <c r="B294" s="109"/>
      <c r="C294" s="110" t="s">
        <v>376</v>
      </c>
      <c r="D294" s="110" t="s">
        <v>103</v>
      </c>
      <c r="E294" s="111" t="s">
        <v>828</v>
      </c>
      <c r="F294" s="112" t="s">
        <v>829</v>
      </c>
      <c r="G294" s="113" t="s">
        <v>314</v>
      </c>
      <c r="H294" s="114">
        <v>3</v>
      </c>
      <c r="I294" s="115">
        <v>0</v>
      </c>
      <c r="J294" s="115">
        <f>ROUND(I294*H294,2)</f>
        <v>0</v>
      </c>
      <c r="K294" s="112" t="s">
        <v>107</v>
      </c>
      <c r="L294" s="28"/>
      <c r="M294" s="116"/>
      <c r="N294" s="117"/>
      <c r="O294" s="118"/>
      <c r="P294" s="118"/>
      <c r="Q294" s="118"/>
      <c r="R294" s="118"/>
      <c r="S294" s="118"/>
      <c r="T294" s="119"/>
      <c r="V294" s="424">
        <v>1</v>
      </c>
      <c r="W294" s="414">
        <v>3</v>
      </c>
      <c r="AQ294" s="120" t="s">
        <v>108</v>
      </c>
      <c r="AS294" s="120" t="s">
        <v>103</v>
      </c>
      <c r="AT294" s="120" t="s">
        <v>65</v>
      </c>
      <c r="AX294" s="17" t="s">
        <v>101</v>
      </c>
      <c r="BD294" s="121">
        <f>IF(N294="základní",J294,0)</f>
        <v>0</v>
      </c>
      <c r="BE294" s="121">
        <f>IF(N294="snížená",J294,0)</f>
        <v>0</v>
      </c>
      <c r="BF294" s="121">
        <f>IF(N294="zákl. přenesená",J294,0)</f>
        <v>0</v>
      </c>
      <c r="BG294" s="121">
        <f>IF(N294="sníž. přenesená",J294,0)</f>
        <v>0</v>
      </c>
      <c r="BH294" s="121">
        <f>IF(N294="nulová",J294,0)</f>
        <v>0</v>
      </c>
      <c r="BI294" s="17" t="s">
        <v>63</v>
      </c>
      <c r="BJ294" s="121">
        <f>ROUND(I294*H294,2)</f>
        <v>0</v>
      </c>
      <c r="BK294" s="17" t="s">
        <v>108</v>
      </c>
      <c r="BL294" s="120" t="s">
        <v>830</v>
      </c>
    </row>
    <row r="295" spans="2:64" s="1" customFormat="1" x14ac:dyDescent="0.2">
      <c r="B295" s="28"/>
      <c r="D295" s="122" t="s">
        <v>110</v>
      </c>
      <c r="F295" s="412" t="s">
        <v>831</v>
      </c>
      <c r="L295" s="28"/>
      <c r="M295" s="124"/>
      <c r="T295" s="48"/>
      <c r="V295" s="424"/>
      <c r="W295" s="414"/>
      <c r="AS295" s="17" t="s">
        <v>110</v>
      </c>
      <c r="AT295" s="17" t="s">
        <v>65</v>
      </c>
    </row>
    <row r="296" spans="2:64" s="1" customFormat="1" ht="24.2" customHeight="1" x14ac:dyDescent="0.2">
      <c r="B296" s="109"/>
      <c r="C296" s="143" t="s">
        <v>380</v>
      </c>
      <c r="D296" s="143" t="s">
        <v>252</v>
      </c>
      <c r="E296" s="144" t="s">
        <v>832</v>
      </c>
      <c r="F296" s="145" t="s">
        <v>833</v>
      </c>
      <c r="G296" s="146" t="s">
        <v>314</v>
      </c>
      <c r="H296" s="147">
        <v>1</v>
      </c>
      <c r="I296" s="148">
        <v>0</v>
      </c>
      <c r="J296" s="148">
        <f>ROUND(I296*H296,2)</f>
        <v>0</v>
      </c>
      <c r="K296" s="145" t="s">
        <v>107</v>
      </c>
      <c r="L296" s="149"/>
      <c r="M296" s="150"/>
      <c r="N296" s="151"/>
      <c r="O296" s="118"/>
      <c r="P296" s="118"/>
      <c r="Q296" s="118"/>
      <c r="R296" s="118"/>
      <c r="S296" s="118"/>
      <c r="T296" s="119"/>
      <c r="V296" s="424">
        <v>1</v>
      </c>
      <c r="W296" s="414">
        <v>1</v>
      </c>
      <c r="AQ296" s="120" t="s">
        <v>171</v>
      </c>
      <c r="AS296" s="120" t="s">
        <v>252</v>
      </c>
      <c r="AT296" s="120" t="s">
        <v>65</v>
      </c>
      <c r="AX296" s="17" t="s">
        <v>101</v>
      </c>
      <c r="BD296" s="121">
        <f>IF(N296="základní",J296,0)</f>
        <v>0</v>
      </c>
      <c r="BE296" s="121">
        <f>IF(N296="snížená",J296,0)</f>
        <v>0</v>
      </c>
      <c r="BF296" s="121">
        <f>IF(N296="zákl. přenesená",J296,0)</f>
        <v>0</v>
      </c>
      <c r="BG296" s="121">
        <f>IF(N296="sníž. přenesená",J296,0)</f>
        <v>0</v>
      </c>
      <c r="BH296" s="121">
        <f>IF(N296="nulová",J296,0)</f>
        <v>0</v>
      </c>
      <c r="BI296" s="17" t="s">
        <v>63</v>
      </c>
      <c r="BJ296" s="121">
        <f>ROUND(I296*H296,2)</f>
        <v>0</v>
      </c>
      <c r="BK296" s="17" t="s">
        <v>108</v>
      </c>
      <c r="BL296" s="120" t="s">
        <v>834</v>
      </c>
    </row>
    <row r="297" spans="2:64" s="1" customFormat="1" ht="24.2" customHeight="1" x14ac:dyDescent="0.2">
      <c r="B297" s="109"/>
      <c r="C297" s="143" t="s">
        <v>385</v>
      </c>
      <c r="D297" s="143" t="s">
        <v>252</v>
      </c>
      <c r="E297" s="144" t="s">
        <v>835</v>
      </c>
      <c r="F297" s="145" t="s">
        <v>836</v>
      </c>
      <c r="G297" s="146" t="s">
        <v>314</v>
      </c>
      <c r="H297" s="147">
        <v>1</v>
      </c>
      <c r="I297" s="148">
        <v>0</v>
      </c>
      <c r="J297" s="148">
        <f>ROUND(I297*H297,2)</f>
        <v>0</v>
      </c>
      <c r="K297" s="145" t="s">
        <v>1</v>
      </c>
      <c r="L297" s="149"/>
      <c r="M297" s="150"/>
      <c r="N297" s="151"/>
      <c r="O297" s="118"/>
      <c r="P297" s="118"/>
      <c r="Q297" s="118"/>
      <c r="R297" s="118"/>
      <c r="S297" s="118"/>
      <c r="T297" s="119"/>
      <c r="V297" s="424">
        <v>1</v>
      </c>
      <c r="W297" s="414">
        <v>1</v>
      </c>
      <c r="AQ297" s="120" t="s">
        <v>171</v>
      </c>
      <c r="AS297" s="120" t="s">
        <v>252</v>
      </c>
      <c r="AT297" s="120" t="s">
        <v>65</v>
      </c>
      <c r="AX297" s="17" t="s">
        <v>101</v>
      </c>
      <c r="BD297" s="121">
        <f>IF(N297="základní",J297,0)</f>
        <v>0</v>
      </c>
      <c r="BE297" s="121">
        <f>IF(N297="snížená",J297,0)</f>
        <v>0</v>
      </c>
      <c r="BF297" s="121">
        <f>IF(N297="zákl. přenesená",J297,0)</f>
        <v>0</v>
      </c>
      <c r="BG297" s="121">
        <f>IF(N297="sníž. přenesená",J297,0)</f>
        <v>0</v>
      </c>
      <c r="BH297" s="121">
        <f>IF(N297="nulová",J297,0)</f>
        <v>0</v>
      </c>
      <c r="BI297" s="17" t="s">
        <v>63</v>
      </c>
      <c r="BJ297" s="121">
        <f>ROUND(I297*H297,2)</f>
        <v>0</v>
      </c>
      <c r="BK297" s="17" t="s">
        <v>108</v>
      </c>
      <c r="BL297" s="120" t="s">
        <v>837</v>
      </c>
    </row>
    <row r="298" spans="2:64" s="1" customFormat="1" ht="44.25" customHeight="1" x14ac:dyDescent="0.2">
      <c r="B298" s="109"/>
      <c r="C298" s="110" t="s">
        <v>390</v>
      </c>
      <c r="D298" s="110" t="s">
        <v>103</v>
      </c>
      <c r="E298" s="111" t="s">
        <v>347</v>
      </c>
      <c r="F298" s="112" t="s">
        <v>348</v>
      </c>
      <c r="G298" s="113" t="s">
        <v>314</v>
      </c>
      <c r="H298" s="114">
        <v>3</v>
      </c>
      <c r="I298" s="115">
        <v>0</v>
      </c>
      <c r="J298" s="115">
        <f>ROUND(I298*H298,2)</f>
        <v>0</v>
      </c>
      <c r="K298" s="112" t="s">
        <v>107</v>
      </c>
      <c r="L298" s="28"/>
      <c r="M298" s="116"/>
      <c r="N298" s="117"/>
      <c r="O298" s="118"/>
      <c r="P298" s="118"/>
      <c r="Q298" s="118"/>
      <c r="R298" s="118"/>
      <c r="S298" s="118"/>
      <c r="T298" s="119"/>
      <c r="V298" s="424">
        <v>1</v>
      </c>
      <c r="W298" s="414">
        <v>3</v>
      </c>
      <c r="AQ298" s="120" t="s">
        <v>108</v>
      </c>
      <c r="AS298" s="120" t="s">
        <v>103</v>
      </c>
      <c r="AT298" s="120" t="s">
        <v>65</v>
      </c>
      <c r="AX298" s="17" t="s">
        <v>101</v>
      </c>
      <c r="BD298" s="121">
        <f>IF(N298="základní",J298,0)</f>
        <v>0</v>
      </c>
      <c r="BE298" s="121">
        <f>IF(N298="snížená",J298,0)</f>
        <v>0</v>
      </c>
      <c r="BF298" s="121">
        <f>IF(N298="zákl. přenesená",J298,0)</f>
        <v>0</v>
      </c>
      <c r="BG298" s="121">
        <f>IF(N298="sníž. přenesená",J298,0)</f>
        <v>0</v>
      </c>
      <c r="BH298" s="121">
        <f>IF(N298="nulová",J298,0)</f>
        <v>0</v>
      </c>
      <c r="BI298" s="17" t="s">
        <v>63</v>
      </c>
      <c r="BJ298" s="121">
        <f>ROUND(I298*H298,2)</f>
        <v>0</v>
      </c>
      <c r="BK298" s="17" t="s">
        <v>108</v>
      </c>
      <c r="BL298" s="120" t="s">
        <v>838</v>
      </c>
    </row>
    <row r="299" spans="2:64" s="1" customFormat="1" x14ac:dyDescent="0.2">
      <c r="B299" s="28"/>
      <c r="D299" s="122" t="s">
        <v>110</v>
      </c>
      <c r="F299" s="412" t="s">
        <v>350</v>
      </c>
      <c r="L299" s="28"/>
      <c r="M299" s="124"/>
      <c r="T299" s="48"/>
      <c r="V299" s="424"/>
      <c r="W299" s="414"/>
      <c r="AS299" s="17" t="s">
        <v>110</v>
      </c>
      <c r="AT299" s="17" t="s">
        <v>65</v>
      </c>
    </row>
    <row r="300" spans="2:64" s="1" customFormat="1" ht="21.75" customHeight="1" x14ac:dyDescent="0.2">
      <c r="B300" s="109"/>
      <c r="C300" s="143" t="s">
        <v>395</v>
      </c>
      <c r="D300" s="143" t="s">
        <v>252</v>
      </c>
      <c r="E300" s="144" t="s">
        <v>839</v>
      </c>
      <c r="F300" s="145" t="s">
        <v>840</v>
      </c>
      <c r="G300" s="146" t="s">
        <v>314</v>
      </c>
      <c r="H300" s="147">
        <v>3</v>
      </c>
      <c r="I300" s="148">
        <v>0</v>
      </c>
      <c r="J300" s="148">
        <f>ROUND(I300*H300,2)</f>
        <v>0</v>
      </c>
      <c r="K300" s="145" t="s">
        <v>1</v>
      </c>
      <c r="L300" s="149"/>
      <c r="M300" s="150"/>
      <c r="N300" s="151"/>
      <c r="O300" s="118"/>
      <c r="P300" s="118"/>
      <c r="Q300" s="118"/>
      <c r="R300" s="118"/>
      <c r="S300" s="118"/>
      <c r="T300" s="119"/>
      <c r="V300" s="424">
        <v>1</v>
      </c>
      <c r="W300" s="414">
        <v>3</v>
      </c>
      <c r="AQ300" s="120" t="s">
        <v>171</v>
      </c>
      <c r="AS300" s="120" t="s">
        <v>252</v>
      </c>
      <c r="AT300" s="120" t="s">
        <v>65</v>
      </c>
      <c r="AX300" s="17" t="s">
        <v>101</v>
      </c>
      <c r="BD300" s="121">
        <f>IF(N300="základní",J300,0)</f>
        <v>0</v>
      </c>
      <c r="BE300" s="121">
        <f>IF(N300="snížená",J300,0)</f>
        <v>0</v>
      </c>
      <c r="BF300" s="121">
        <f>IF(N300="zákl. přenesená",J300,0)</f>
        <v>0</v>
      </c>
      <c r="BG300" s="121">
        <f>IF(N300="sníž. přenesená",J300,0)</f>
        <v>0</v>
      </c>
      <c r="BH300" s="121">
        <f>IF(N300="nulová",J300,0)</f>
        <v>0</v>
      </c>
      <c r="BI300" s="17" t="s">
        <v>63</v>
      </c>
      <c r="BJ300" s="121">
        <f>ROUND(I300*H300,2)</f>
        <v>0</v>
      </c>
      <c r="BK300" s="17" t="s">
        <v>108</v>
      </c>
      <c r="BL300" s="120" t="s">
        <v>841</v>
      </c>
    </row>
    <row r="301" spans="2:64" s="1" customFormat="1" ht="44.25" customHeight="1" x14ac:dyDescent="0.2">
      <c r="B301" s="109"/>
      <c r="C301" s="110" t="s">
        <v>400</v>
      </c>
      <c r="D301" s="110" t="s">
        <v>103</v>
      </c>
      <c r="E301" s="111" t="s">
        <v>364</v>
      </c>
      <c r="F301" s="112" t="s">
        <v>365</v>
      </c>
      <c r="G301" s="113" t="s">
        <v>314</v>
      </c>
      <c r="H301" s="114">
        <v>4</v>
      </c>
      <c r="I301" s="115">
        <v>0</v>
      </c>
      <c r="J301" s="115">
        <f>ROUND(I301*H301,2)</f>
        <v>0</v>
      </c>
      <c r="K301" s="112" t="s">
        <v>107</v>
      </c>
      <c r="L301" s="28"/>
      <c r="M301" s="116"/>
      <c r="N301" s="117"/>
      <c r="O301" s="118"/>
      <c r="P301" s="118"/>
      <c r="Q301" s="118"/>
      <c r="R301" s="118"/>
      <c r="S301" s="118"/>
      <c r="T301" s="119"/>
      <c r="V301" s="424">
        <v>1</v>
      </c>
      <c r="W301" s="414">
        <v>4</v>
      </c>
      <c r="AQ301" s="120" t="s">
        <v>108</v>
      </c>
      <c r="AS301" s="120" t="s">
        <v>103</v>
      </c>
      <c r="AT301" s="120" t="s">
        <v>65</v>
      </c>
      <c r="AX301" s="17" t="s">
        <v>101</v>
      </c>
      <c r="BD301" s="121">
        <f>IF(N301="základní",J301,0)</f>
        <v>0</v>
      </c>
      <c r="BE301" s="121">
        <f>IF(N301="snížená",J301,0)</f>
        <v>0</v>
      </c>
      <c r="BF301" s="121">
        <f>IF(N301="zákl. přenesená",J301,0)</f>
        <v>0</v>
      </c>
      <c r="BG301" s="121">
        <f>IF(N301="sníž. přenesená",J301,0)</f>
        <v>0</v>
      </c>
      <c r="BH301" s="121">
        <f>IF(N301="nulová",J301,0)</f>
        <v>0</v>
      </c>
      <c r="BI301" s="17" t="s">
        <v>63</v>
      </c>
      <c r="BJ301" s="121">
        <f>ROUND(I301*H301,2)</f>
        <v>0</v>
      </c>
      <c r="BK301" s="17" t="s">
        <v>108</v>
      </c>
      <c r="BL301" s="120" t="s">
        <v>842</v>
      </c>
    </row>
    <row r="302" spans="2:64" s="1" customFormat="1" x14ac:dyDescent="0.2">
      <c r="B302" s="28"/>
      <c r="D302" s="122" t="s">
        <v>110</v>
      </c>
      <c r="F302" s="412" t="s">
        <v>367</v>
      </c>
      <c r="L302" s="28"/>
      <c r="M302" s="124"/>
      <c r="T302" s="48"/>
      <c r="V302" s="424"/>
      <c r="W302" s="414"/>
      <c r="AS302" s="17" t="s">
        <v>110</v>
      </c>
      <c r="AT302" s="17" t="s">
        <v>65</v>
      </c>
    </row>
    <row r="303" spans="2:64" s="1" customFormat="1" ht="33" customHeight="1" x14ac:dyDescent="0.2">
      <c r="B303" s="109"/>
      <c r="C303" s="143" t="s">
        <v>404</v>
      </c>
      <c r="D303" s="143" t="s">
        <v>252</v>
      </c>
      <c r="E303" s="144" t="s">
        <v>373</v>
      </c>
      <c r="F303" s="145" t="s">
        <v>374</v>
      </c>
      <c r="G303" s="146" t="s">
        <v>314</v>
      </c>
      <c r="H303" s="147">
        <v>1</v>
      </c>
      <c r="I303" s="148">
        <v>0</v>
      </c>
      <c r="J303" s="148">
        <f>ROUND(I303*H303,2)</f>
        <v>0</v>
      </c>
      <c r="K303" s="145" t="s">
        <v>107</v>
      </c>
      <c r="L303" s="149"/>
      <c r="M303" s="150"/>
      <c r="N303" s="151"/>
      <c r="O303" s="118"/>
      <c r="P303" s="118"/>
      <c r="Q303" s="118"/>
      <c r="R303" s="118"/>
      <c r="S303" s="118"/>
      <c r="T303" s="119"/>
      <c r="V303" s="424">
        <v>1</v>
      </c>
      <c r="W303" s="414">
        <v>1</v>
      </c>
      <c r="AQ303" s="120" t="s">
        <v>171</v>
      </c>
      <c r="AS303" s="120" t="s">
        <v>252</v>
      </c>
      <c r="AT303" s="120" t="s">
        <v>65</v>
      </c>
      <c r="AX303" s="17" t="s">
        <v>101</v>
      </c>
      <c r="BD303" s="121">
        <f>IF(N303="základní",J303,0)</f>
        <v>0</v>
      </c>
      <c r="BE303" s="121">
        <f>IF(N303="snížená",J303,0)</f>
        <v>0</v>
      </c>
      <c r="BF303" s="121">
        <f>IF(N303="zákl. přenesená",J303,0)</f>
        <v>0</v>
      </c>
      <c r="BG303" s="121">
        <f>IF(N303="sníž. přenesená",J303,0)</f>
        <v>0</v>
      </c>
      <c r="BH303" s="121">
        <f>IF(N303="nulová",J303,0)</f>
        <v>0</v>
      </c>
      <c r="BI303" s="17" t="s">
        <v>63</v>
      </c>
      <c r="BJ303" s="121">
        <f>ROUND(I303*H303,2)</f>
        <v>0</v>
      </c>
      <c r="BK303" s="17" t="s">
        <v>108</v>
      </c>
      <c r="BL303" s="120" t="s">
        <v>843</v>
      </c>
    </row>
    <row r="304" spans="2:64" s="1" customFormat="1" ht="33" customHeight="1" x14ac:dyDescent="0.2">
      <c r="B304" s="109"/>
      <c r="C304" s="143" t="s">
        <v>409</v>
      </c>
      <c r="D304" s="143" t="s">
        <v>252</v>
      </c>
      <c r="E304" s="144" t="s">
        <v>377</v>
      </c>
      <c r="F304" s="145" t="s">
        <v>378</v>
      </c>
      <c r="G304" s="146" t="s">
        <v>314</v>
      </c>
      <c r="H304" s="147">
        <v>2</v>
      </c>
      <c r="I304" s="148">
        <v>0</v>
      </c>
      <c r="J304" s="148">
        <f>ROUND(I304*H304,2)</f>
        <v>0</v>
      </c>
      <c r="K304" s="145" t="s">
        <v>107</v>
      </c>
      <c r="L304" s="149"/>
      <c r="M304" s="150"/>
      <c r="N304" s="151"/>
      <c r="O304" s="118"/>
      <c r="P304" s="118"/>
      <c r="Q304" s="118"/>
      <c r="R304" s="118"/>
      <c r="S304" s="118"/>
      <c r="T304" s="119"/>
      <c r="V304" s="424">
        <v>1</v>
      </c>
      <c r="W304" s="414">
        <v>2</v>
      </c>
      <c r="AQ304" s="120" t="s">
        <v>171</v>
      </c>
      <c r="AS304" s="120" t="s">
        <v>252</v>
      </c>
      <c r="AT304" s="120" t="s">
        <v>65</v>
      </c>
      <c r="AX304" s="17" t="s">
        <v>101</v>
      </c>
      <c r="BD304" s="121">
        <f>IF(N304="základní",J304,0)</f>
        <v>0</v>
      </c>
      <c r="BE304" s="121">
        <f>IF(N304="snížená",J304,0)</f>
        <v>0</v>
      </c>
      <c r="BF304" s="121">
        <f>IF(N304="zákl. přenesená",J304,0)</f>
        <v>0</v>
      </c>
      <c r="BG304" s="121">
        <f>IF(N304="sníž. přenesená",J304,0)</f>
        <v>0</v>
      </c>
      <c r="BH304" s="121">
        <f>IF(N304="nulová",J304,0)</f>
        <v>0</v>
      </c>
      <c r="BI304" s="17" t="s">
        <v>63</v>
      </c>
      <c r="BJ304" s="121">
        <f>ROUND(I304*H304,2)</f>
        <v>0</v>
      </c>
      <c r="BK304" s="17" t="s">
        <v>108</v>
      </c>
      <c r="BL304" s="120" t="s">
        <v>844</v>
      </c>
    </row>
    <row r="305" spans="2:64" s="1" customFormat="1" ht="37.9" customHeight="1" x14ac:dyDescent="0.2">
      <c r="B305" s="109"/>
      <c r="C305" s="110" t="s">
        <v>414</v>
      </c>
      <c r="D305" s="110" t="s">
        <v>103</v>
      </c>
      <c r="E305" s="111" t="s">
        <v>845</v>
      </c>
      <c r="F305" s="112" t="s">
        <v>846</v>
      </c>
      <c r="G305" s="113" t="s">
        <v>106</v>
      </c>
      <c r="H305" s="114">
        <f>1.5*0.82</f>
        <v>1.23</v>
      </c>
      <c r="I305" s="115">
        <v>0</v>
      </c>
      <c r="J305" s="115">
        <f>ROUND(I305*H305,2)</f>
        <v>0</v>
      </c>
      <c r="K305" s="112" t="s">
        <v>1</v>
      </c>
      <c r="L305" s="28"/>
      <c r="M305" s="116"/>
      <c r="N305" s="117"/>
      <c r="O305" s="118"/>
      <c r="P305" s="118"/>
      <c r="Q305" s="118"/>
      <c r="R305" s="118"/>
      <c r="S305" s="118"/>
      <c r="T305" s="119"/>
      <c r="V305" s="424"/>
      <c r="W305" s="414"/>
      <c r="AQ305" s="120" t="s">
        <v>108</v>
      </c>
      <c r="AS305" s="120" t="s">
        <v>103</v>
      </c>
      <c r="AT305" s="120" t="s">
        <v>65</v>
      </c>
      <c r="AX305" s="17" t="s">
        <v>101</v>
      </c>
      <c r="BD305" s="121">
        <f>IF(N305="základní",J305,0)</f>
        <v>0</v>
      </c>
      <c r="BE305" s="121">
        <f>IF(N305="snížená",J305,0)</f>
        <v>0</v>
      </c>
      <c r="BF305" s="121">
        <f>IF(N305="zákl. přenesená",J305,0)</f>
        <v>0</v>
      </c>
      <c r="BG305" s="121">
        <f>IF(N305="sníž. přenesená",J305,0)</f>
        <v>0</v>
      </c>
      <c r="BH305" s="121">
        <f>IF(N305="nulová",J305,0)</f>
        <v>0</v>
      </c>
      <c r="BI305" s="17" t="s">
        <v>63</v>
      </c>
      <c r="BJ305" s="121">
        <f>ROUND(I305*H305,2)</f>
        <v>0</v>
      </c>
      <c r="BK305" s="17" t="s">
        <v>108</v>
      </c>
      <c r="BL305" s="120" t="s">
        <v>847</v>
      </c>
    </row>
    <row r="306" spans="2:64" s="1" customFormat="1" ht="44.25" customHeight="1" x14ac:dyDescent="0.2">
      <c r="B306" s="109"/>
      <c r="C306" s="110" t="s">
        <v>420</v>
      </c>
      <c r="D306" s="110" t="s">
        <v>103</v>
      </c>
      <c r="E306" s="111" t="s">
        <v>848</v>
      </c>
      <c r="F306" s="112" t="s">
        <v>849</v>
      </c>
      <c r="G306" s="113" t="s">
        <v>106</v>
      </c>
      <c r="H306" s="114">
        <f>18.68*0.82</f>
        <v>15.317599999999999</v>
      </c>
      <c r="I306" s="115">
        <v>0</v>
      </c>
      <c r="J306" s="115">
        <f>ROUND(I306*H306,2)</f>
        <v>0</v>
      </c>
      <c r="K306" s="112" t="s">
        <v>107</v>
      </c>
      <c r="L306" s="28"/>
      <c r="M306" s="116"/>
      <c r="N306" s="117"/>
      <c r="O306" s="118"/>
      <c r="P306" s="118"/>
      <c r="Q306" s="118"/>
      <c r="R306" s="118"/>
      <c r="S306" s="118"/>
      <c r="T306" s="119"/>
      <c r="V306" s="424"/>
      <c r="W306" s="414"/>
      <c r="AQ306" s="120" t="s">
        <v>108</v>
      </c>
      <c r="AS306" s="120" t="s">
        <v>103</v>
      </c>
      <c r="AT306" s="120" t="s">
        <v>65</v>
      </c>
      <c r="AX306" s="17" t="s">
        <v>101</v>
      </c>
      <c r="BD306" s="121">
        <f>IF(N306="základní",J306,0)</f>
        <v>0</v>
      </c>
      <c r="BE306" s="121">
        <f>IF(N306="snížená",J306,0)</f>
        <v>0</v>
      </c>
      <c r="BF306" s="121">
        <f>IF(N306="zákl. přenesená",J306,0)</f>
        <v>0</v>
      </c>
      <c r="BG306" s="121">
        <f>IF(N306="sníž. přenesená",J306,0)</f>
        <v>0</v>
      </c>
      <c r="BH306" s="121">
        <f>IF(N306="nulová",J306,0)</f>
        <v>0</v>
      </c>
      <c r="BI306" s="17" t="s">
        <v>63</v>
      </c>
      <c r="BJ306" s="121">
        <f>ROUND(I306*H306,2)</f>
        <v>0</v>
      </c>
      <c r="BK306" s="17" t="s">
        <v>108</v>
      </c>
      <c r="BL306" s="120" t="s">
        <v>850</v>
      </c>
    </row>
    <row r="307" spans="2:64" s="1" customFormat="1" x14ac:dyDescent="0.2">
      <c r="B307" s="28"/>
      <c r="D307" s="122" t="s">
        <v>110</v>
      </c>
      <c r="F307" s="412" t="s">
        <v>851</v>
      </c>
      <c r="L307" s="28"/>
      <c r="M307" s="124"/>
      <c r="T307" s="48"/>
      <c r="V307" s="424"/>
      <c r="W307" s="414"/>
      <c r="AS307" s="17" t="s">
        <v>110</v>
      </c>
      <c r="AT307" s="17" t="s">
        <v>65</v>
      </c>
    </row>
    <row r="308" spans="2:64" s="1" customFormat="1" ht="24.2" customHeight="1" x14ac:dyDescent="0.2">
      <c r="B308" s="109"/>
      <c r="C308" s="143" t="s">
        <v>425</v>
      </c>
      <c r="D308" s="143" t="s">
        <v>252</v>
      </c>
      <c r="E308" s="144" t="s">
        <v>852</v>
      </c>
      <c r="F308" s="145" t="s">
        <v>853</v>
      </c>
      <c r="G308" s="146" t="s">
        <v>106</v>
      </c>
      <c r="H308" s="147">
        <f>18.96*0.82</f>
        <v>15.5472</v>
      </c>
      <c r="I308" s="148">
        <v>0</v>
      </c>
      <c r="J308" s="148">
        <f>ROUND(I308*H308,2)</f>
        <v>0</v>
      </c>
      <c r="K308" s="145" t="s">
        <v>1</v>
      </c>
      <c r="L308" s="149"/>
      <c r="M308" s="150"/>
      <c r="N308" s="151"/>
      <c r="O308" s="118"/>
      <c r="P308" s="118"/>
      <c r="Q308" s="118"/>
      <c r="R308" s="118"/>
      <c r="S308" s="118"/>
      <c r="T308" s="119"/>
      <c r="V308" s="424"/>
      <c r="W308" s="414"/>
      <c r="AQ308" s="120" t="s">
        <v>171</v>
      </c>
      <c r="AS308" s="120" t="s">
        <v>252</v>
      </c>
      <c r="AT308" s="120" t="s">
        <v>65</v>
      </c>
      <c r="AX308" s="17" t="s">
        <v>101</v>
      </c>
      <c r="BD308" s="121">
        <f>IF(N308="základní",J308,0)</f>
        <v>0</v>
      </c>
      <c r="BE308" s="121">
        <f>IF(N308="snížená",J308,0)</f>
        <v>0</v>
      </c>
      <c r="BF308" s="121">
        <f>IF(N308="zákl. přenesená",J308,0)</f>
        <v>0</v>
      </c>
      <c r="BG308" s="121">
        <f>IF(N308="sníž. přenesená",J308,0)</f>
        <v>0</v>
      </c>
      <c r="BH308" s="121">
        <f>IF(N308="nulová",J308,0)</f>
        <v>0</v>
      </c>
      <c r="BI308" s="17" t="s">
        <v>63</v>
      </c>
      <c r="BJ308" s="121">
        <f>ROUND(I308*H308,2)</f>
        <v>0</v>
      </c>
      <c r="BK308" s="17" t="s">
        <v>108</v>
      </c>
      <c r="BL308" s="120" t="s">
        <v>854</v>
      </c>
    </row>
    <row r="309" spans="2:64" s="13" customFormat="1" x14ac:dyDescent="0.2">
      <c r="B309" s="131"/>
      <c r="D309" s="126" t="s">
        <v>112</v>
      </c>
      <c r="F309" s="133" t="s">
        <v>1858</v>
      </c>
      <c r="H309" s="134">
        <f>18.96*0.82</f>
        <v>15.5472</v>
      </c>
      <c r="L309" s="131"/>
      <c r="M309" s="135"/>
      <c r="T309" s="136"/>
      <c r="V309" s="424"/>
      <c r="W309" s="421"/>
      <c r="AS309" s="132" t="s">
        <v>112</v>
      </c>
      <c r="AT309" s="132" t="s">
        <v>65</v>
      </c>
      <c r="AU309" s="13" t="s">
        <v>65</v>
      </c>
      <c r="AV309" s="13" t="s">
        <v>2</v>
      </c>
      <c r="AW309" s="13" t="s">
        <v>63</v>
      </c>
      <c r="AX309" s="132" t="s">
        <v>101</v>
      </c>
    </row>
    <row r="310" spans="2:64" s="1" customFormat="1" ht="44.25" customHeight="1" x14ac:dyDescent="0.2">
      <c r="B310" s="109"/>
      <c r="C310" s="110" t="s">
        <v>430</v>
      </c>
      <c r="D310" s="110" t="s">
        <v>103</v>
      </c>
      <c r="E310" s="111" t="s">
        <v>855</v>
      </c>
      <c r="F310" s="112" t="s">
        <v>856</v>
      </c>
      <c r="G310" s="113" t="s">
        <v>106</v>
      </c>
      <c r="H310" s="114">
        <f>43.5*0.82</f>
        <v>35.669999999999995</v>
      </c>
      <c r="I310" s="115">
        <v>0</v>
      </c>
      <c r="J310" s="115">
        <f>ROUND(I310*H310,2)</f>
        <v>0</v>
      </c>
      <c r="K310" s="112" t="s">
        <v>107</v>
      </c>
      <c r="L310" s="28"/>
      <c r="M310" s="116"/>
      <c r="N310" s="117"/>
      <c r="O310" s="118"/>
      <c r="P310" s="118"/>
      <c r="Q310" s="118"/>
      <c r="R310" s="118"/>
      <c r="S310" s="118"/>
      <c r="T310" s="119"/>
      <c r="V310" s="424"/>
      <c r="W310" s="414"/>
      <c r="AQ310" s="120" t="s">
        <v>108</v>
      </c>
      <c r="AS310" s="120" t="s">
        <v>103</v>
      </c>
      <c r="AT310" s="120" t="s">
        <v>65</v>
      </c>
      <c r="AX310" s="17" t="s">
        <v>101</v>
      </c>
      <c r="BD310" s="121">
        <f>IF(N310="základní",J310,0)</f>
        <v>0</v>
      </c>
      <c r="BE310" s="121">
        <f>IF(N310="snížená",J310,0)</f>
        <v>0</v>
      </c>
      <c r="BF310" s="121">
        <f>IF(N310="zákl. přenesená",J310,0)</f>
        <v>0</v>
      </c>
      <c r="BG310" s="121">
        <f>IF(N310="sníž. přenesená",J310,0)</f>
        <v>0</v>
      </c>
      <c r="BH310" s="121">
        <f>IF(N310="nulová",J310,0)</f>
        <v>0</v>
      </c>
      <c r="BI310" s="17" t="s">
        <v>63</v>
      </c>
      <c r="BJ310" s="121">
        <f>ROUND(I310*H310,2)</f>
        <v>0</v>
      </c>
      <c r="BK310" s="17" t="s">
        <v>108</v>
      </c>
      <c r="BL310" s="120" t="s">
        <v>857</v>
      </c>
    </row>
    <row r="311" spans="2:64" s="1" customFormat="1" x14ac:dyDescent="0.2">
      <c r="B311" s="28"/>
      <c r="D311" s="122" t="s">
        <v>110</v>
      </c>
      <c r="F311" s="412" t="s">
        <v>858</v>
      </c>
      <c r="L311" s="28"/>
      <c r="M311" s="124"/>
      <c r="T311" s="48"/>
      <c r="V311" s="424"/>
      <c r="W311" s="414"/>
      <c r="AS311" s="17" t="s">
        <v>110</v>
      </c>
      <c r="AT311" s="17" t="s">
        <v>65</v>
      </c>
    </row>
    <row r="312" spans="2:64" s="1" customFormat="1" ht="24.2" customHeight="1" x14ac:dyDescent="0.2">
      <c r="B312" s="109"/>
      <c r="C312" s="143" t="s">
        <v>435</v>
      </c>
      <c r="D312" s="143" t="s">
        <v>252</v>
      </c>
      <c r="E312" s="144" t="s">
        <v>859</v>
      </c>
      <c r="F312" s="145" t="s">
        <v>860</v>
      </c>
      <c r="G312" s="146" t="s">
        <v>106</v>
      </c>
      <c r="H312" s="147">
        <f>44.153*0.82</f>
        <v>36.205459999999995</v>
      </c>
      <c r="I312" s="148">
        <v>0</v>
      </c>
      <c r="J312" s="148">
        <f>ROUND(I312*H312,2)</f>
        <v>0</v>
      </c>
      <c r="K312" s="145" t="s">
        <v>107</v>
      </c>
      <c r="L312" s="149"/>
      <c r="M312" s="150"/>
      <c r="N312" s="151"/>
      <c r="O312" s="118"/>
      <c r="P312" s="118"/>
      <c r="Q312" s="118"/>
      <c r="R312" s="118"/>
      <c r="S312" s="118"/>
      <c r="T312" s="119"/>
      <c r="V312" s="424"/>
      <c r="W312" s="414"/>
      <c r="AQ312" s="120" t="s">
        <v>171</v>
      </c>
      <c r="AS312" s="120" t="s">
        <v>252</v>
      </c>
      <c r="AT312" s="120" t="s">
        <v>65</v>
      </c>
      <c r="AX312" s="17" t="s">
        <v>101</v>
      </c>
      <c r="BD312" s="121">
        <f>IF(N312="základní",J312,0)</f>
        <v>0</v>
      </c>
      <c r="BE312" s="121">
        <f>IF(N312="snížená",J312,0)</f>
        <v>0</v>
      </c>
      <c r="BF312" s="121">
        <f>IF(N312="zákl. přenesená",J312,0)</f>
        <v>0</v>
      </c>
      <c r="BG312" s="121">
        <f>IF(N312="sníž. přenesená",J312,0)</f>
        <v>0</v>
      </c>
      <c r="BH312" s="121">
        <f>IF(N312="nulová",J312,0)</f>
        <v>0</v>
      </c>
      <c r="BI312" s="17" t="s">
        <v>63</v>
      </c>
      <c r="BJ312" s="121">
        <f>ROUND(I312*H312,2)</f>
        <v>0</v>
      </c>
      <c r="BK312" s="17" t="s">
        <v>108</v>
      </c>
      <c r="BL312" s="120" t="s">
        <v>861</v>
      </c>
    </row>
    <row r="313" spans="2:64" s="13" customFormat="1" x14ac:dyDescent="0.2">
      <c r="B313" s="131"/>
      <c r="D313" s="126" t="s">
        <v>112</v>
      </c>
      <c r="F313" s="133" t="s">
        <v>1859</v>
      </c>
      <c r="H313" s="134">
        <f>44.153*0.82</f>
        <v>36.205459999999995</v>
      </c>
      <c r="L313" s="131"/>
      <c r="M313" s="135"/>
      <c r="T313" s="136"/>
      <c r="V313" s="424"/>
      <c r="W313" s="421"/>
      <c r="AS313" s="132" t="s">
        <v>112</v>
      </c>
      <c r="AT313" s="132" t="s">
        <v>65</v>
      </c>
      <c r="AU313" s="13" t="s">
        <v>65</v>
      </c>
      <c r="AV313" s="13" t="s">
        <v>2</v>
      </c>
      <c r="AW313" s="13" t="s">
        <v>63</v>
      </c>
      <c r="AX313" s="132" t="s">
        <v>101</v>
      </c>
    </row>
    <row r="314" spans="2:64" s="1" customFormat="1" ht="44.25" customHeight="1" x14ac:dyDescent="0.2">
      <c r="B314" s="109"/>
      <c r="C314" s="110" t="s">
        <v>440</v>
      </c>
      <c r="D314" s="110" t="s">
        <v>103</v>
      </c>
      <c r="E314" s="111" t="s">
        <v>863</v>
      </c>
      <c r="F314" s="112" t="s">
        <v>864</v>
      </c>
      <c r="G314" s="113" t="s">
        <v>106</v>
      </c>
      <c r="H314" s="114">
        <f>377.1*0.82</f>
        <v>309.22199999999998</v>
      </c>
      <c r="I314" s="115">
        <v>0</v>
      </c>
      <c r="J314" s="115">
        <f>ROUND(I314*H314,2)</f>
        <v>0</v>
      </c>
      <c r="K314" s="112" t="s">
        <v>107</v>
      </c>
      <c r="L314" s="28"/>
      <c r="M314" s="116"/>
      <c r="N314" s="117"/>
      <c r="O314" s="118"/>
      <c r="P314" s="118"/>
      <c r="Q314" s="118"/>
      <c r="R314" s="118"/>
      <c r="S314" s="118"/>
      <c r="T314" s="119"/>
      <c r="V314" s="424"/>
      <c r="W314" s="414"/>
      <c r="AQ314" s="120" t="s">
        <v>108</v>
      </c>
      <c r="AS314" s="120" t="s">
        <v>103</v>
      </c>
      <c r="AT314" s="120" t="s">
        <v>65</v>
      </c>
      <c r="AX314" s="17" t="s">
        <v>101</v>
      </c>
      <c r="BD314" s="121">
        <f>IF(N314="základní",J314,0)</f>
        <v>0</v>
      </c>
      <c r="BE314" s="121">
        <f>IF(N314="snížená",J314,0)</f>
        <v>0</v>
      </c>
      <c r="BF314" s="121">
        <f>IF(N314="zákl. přenesená",J314,0)</f>
        <v>0</v>
      </c>
      <c r="BG314" s="121">
        <f>IF(N314="sníž. přenesená",J314,0)</f>
        <v>0</v>
      </c>
      <c r="BH314" s="121">
        <f>IF(N314="nulová",J314,0)</f>
        <v>0</v>
      </c>
      <c r="BI314" s="17" t="s">
        <v>63</v>
      </c>
      <c r="BJ314" s="121">
        <f>ROUND(I314*H314,2)</f>
        <v>0</v>
      </c>
      <c r="BK314" s="17" t="s">
        <v>108</v>
      </c>
      <c r="BL314" s="120" t="s">
        <v>865</v>
      </c>
    </row>
    <row r="315" spans="2:64" s="1" customFormat="1" x14ac:dyDescent="0.2">
      <c r="B315" s="28"/>
      <c r="D315" s="122" t="s">
        <v>110</v>
      </c>
      <c r="F315" s="412" t="s">
        <v>866</v>
      </c>
      <c r="L315" s="28"/>
      <c r="M315" s="124"/>
      <c r="T315" s="48"/>
      <c r="V315" s="424"/>
      <c r="W315" s="414"/>
      <c r="AS315" s="17" t="s">
        <v>110</v>
      </c>
      <c r="AT315" s="17" t="s">
        <v>65</v>
      </c>
    </row>
    <row r="316" spans="2:64" s="1" customFormat="1" ht="24.2" customHeight="1" x14ac:dyDescent="0.2">
      <c r="B316" s="109"/>
      <c r="C316" s="143" t="s">
        <v>445</v>
      </c>
      <c r="D316" s="143" t="s">
        <v>252</v>
      </c>
      <c r="E316" s="144" t="s">
        <v>867</v>
      </c>
      <c r="F316" s="145" t="s">
        <v>868</v>
      </c>
      <c r="G316" s="146" t="s">
        <v>106</v>
      </c>
      <c r="H316" s="147">
        <f>382.757*0.82</f>
        <v>313.86073999999996</v>
      </c>
      <c r="I316" s="148">
        <v>0</v>
      </c>
      <c r="J316" s="148">
        <f>ROUND(I316*H316,2)</f>
        <v>0</v>
      </c>
      <c r="K316" s="145" t="s">
        <v>107</v>
      </c>
      <c r="L316" s="149"/>
      <c r="M316" s="150"/>
      <c r="N316" s="151"/>
      <c r="O316" s="118"/>
      <c r="P316" s="118"/>
      <c r="Q316" s="118"/>
      <c r="R316" s="118"/>
      <c r="S316" s="118"/>
      <c r="T316" s="119"/>
      <c r="V316" s="424"/>
      <c r="W316" s="414"/>
      <c r="AQ316" s="120" t="s">
        <v>171</v>
      </c>
      <c r="AS316" s="120" t="s">
        <v>252</v>
      </c>
      <c r="AT316" s="120" t="s">
        <v>65</v>
      </c>
      <c r="AX316" s="17" t="s">
        <v>101</v>
      </c>
      <c r="BD316" s="121">
        <f>IF(N316="základní",J316,0)</f>
        <v>0</v>
      </c>
      <c r="BE316" s="121">
        <f>IF(N316="snížená",J316,0)</f>
        <v>0</v>
      </c>
      <c r="BF316" s="121">
        <f>IF(N316="zákl. přenesená",J316,0)</f>
        <v>0</v>
      </c>
      <c r="BG316" s="121">
        <f>IF(N316="sníž. přenesená",J316,0)</f>
        <v>0</v>
      </c>
      <c r="BH316" s="121">
        <f>IF(N316="nulová",J316,0)</f>
        <v>0</v>
      </c>
      <c r="BI316" s="17" t="s">
        <v>63</v>
      </c>
      <c r="BJ316" s="121">
        <f>ROUND(I316*H316,2)</f>
        <v>0</v>
      </c>
      <c r="BK316" s="17" t="s">
        <v>108</v>
      </c>
      <c r="BL316" s="120" t="s">
        <v>869</v>
      </c>
    </row>
    <row r="317" spans="2:64" s="13" customFormat="1" x14ac:dyDescent="0.2">
      <c r="B317" s="131"/>
      <c r="D317" s="126" t="s">
        <v>112</v>
      </c>
      <c r="F317" s="133" t="s">
        <v>1860</v>
      </c>
      <c r="H317" s="134">
        <f>382.757*0.82</f>
        <v>313.86073999999996</v>
      </c>
      <c r="L317" s="131"/>
      <c r="M317" s="135"/>
      <c r="T317" s="136"/>
      <c r="V317" s="424"/>
      <c r="W317" s="421"/>
      <c r="AS317" s="132" t="s">
        <v>112</v>
      </c>
      <c r="AT317" s="132" t="s">
        <v>65</v>
      </c>
      <c r="AU317" s="13" t="s">
        <v>65</v>
      </c>
      <c r="AV317" s="13" t="s">
        <v>2</v>
      </c>
      <c r="AW317" s="13" t="s">
        <v>63</v>
      </c>
      <c r="AX317" s="132" t="s">
        <v>101</v>
      </c>
    </row>
    <row r="318" spans="2:64" s="1" customFormat="1" ht="44.25" customHeight="1" x14ac:dyDescent="0.2">
      <c r="B318" s="109"/>
      <c r="C318" s="110" t="s">
        <v>449</v>
      </c>
      <c r="D318" s="110" t="s">
        <v>103</v>
      </c>
      <c r="E318" s="111" t="s">
        <v>870</v>
      </c>
      <c r="F318" s="112" t="s">
        <v>871</v>
      </c>
      <c r="G318" s="113" t="s">
        <v>106</v>
      </c>
      <c r="H318" s="114">
        <f>6*0.82</f>
        <v>4.92</v>
      </c>
      <c r="I318" s="115">
        <v>0</v>
      </c>
      <c r="J318" s="115">
        <f>ROUND(I318*H318,2)</f>
        <v>0</v>
      </c>
      <c r="K318" s="112" t="s">
        <v>107</v>
      </c>
      <c r="L318" s="28"/>
      <c r="M318" s="116"/>
      <c r="N318" s="117"/>
      <c r="O318" s="118"/>
      <c r="P318" s="118"/>
      <c r="Q318" s="118"/>
      <c r="R318" s="118"/>
      <c r="S318" s="118"/>
      <c r="T318" s="119"/>
      <c r="V318" s="424"/>
      <c r="W318" s="414"/>
      <c r="AQ318" s="120" t="s">
        <v>108</v>
      </c>
      <c r="AS318" s="120" t="s">
        <v>103</v>
      </c>
      <c r="AT318" s="120" t="s">
        <v>65</v>
      </c>
      <c r="AX318" s="17" t="s">
        <v>101</v>
      </c>
      <c r="BD318" s="121">
        <f>IF(N318="základní",J318,0)</f>
        <v>0</v>
      </c>
      <c r="BE318" s="121">
        <f>IF(N318="snížená",J318,0)</f>
        <v>0</v>
      </c>
      <c r="BF318" s="121">
        <f>IF(N318="zákl. přenesená",J318,0)</f>
        <v>0</v>
      </c>
      <c r="BG318" s="121">
        <f>IF(N318="sníž. přenesená",J318,0)</f>
        <v>0</v>
      </c>
      <c r="BH318" s="121">
        <f>IF(N318="nulová",J318,0)</f>
        <v>0</v>
      </c>
      <c r="BI318" s="17" t="s">
        <v>63</v>
      </c>
      <c r="BJ318" s="121">
        <f>ROUND(I318*H318,2)</f>
        <v>0</v>
      </c>
      <c r="BK318" s="17" t="s">
        <v>108</v>
      </c>
      <c r="BL318" s="120" t="s">
        <v>872</v>
      </c>
    </row>
    <row r="319" spans="2:64" s="1" customFormat="1" x14ac:dyDescent="0.2">
      <c r="B319" s="28"/>
      <c r="D319" s="122" t="s">
        <v>110</v>
      </c>
      <c r="F319" s="412" t="s">
        <v>873</v>
      </c>
      <c r="L319" s="28"/>
      <c r="M319" s="124"/>
      <c r="T319" s="48"/>
      <c r="V319" s="424"/>
      <c r="W319" s="414"/>
      <c r="AS319" s="17" t="s">
        <v>110</v>
      </c>
      <c r="AT319" s="17" t="s">
        <v>65</v>
      </c>
    </row>
    <row r="320" spans="2:64" s="1" customFormat="1" ht="24.2" customHeight="1" x14ac:dyDescent="0.2">
      <c r="B320" s="109"/>
      <c r="C320" s="143" t="s">
        <v>454</v>
      </c>
      <c r="D320" s="143" t="s">
        <v>252</v>
      </c>
      <c r="E320" s="144" t="s">
        <v>874</v>
      </c>
      <c r="F320" s="145" t="s">
        <v>875</v>
      </c>
      <c r="G320" s="146" t="s">
        <v>106</v>
      </c>
      <c r="H320" s="147">
        <f>6.09*0.82</f>
        <v>4.9937999999999994</v>
      </c>
      <c r="I320" s="148">
        <v>0</v>
      </c>
      <c r="J320" s="148">
        <f>ROUND(I320*H320,2)</f>
        <v>0</v>
      </c>
      <c r="K320" s="145" t="s">
        <v>107</v>
      </c>
      <c r="L320" s="149"/>
      <c r="M320" s="150"/>
      <c r="N320" s="151"/>
      <c r="O320" s="118"/>
      <c r="P320" s="118"/>
      <c r="Q320" s="118"/>
      <c r="R320" s="118"/>
      <c r="S320" s="118"/>
      <c r="T320" s="119"/>
      <c r="V320" s="424"/>
      <c r="W320" s="414"/>
      <c r="AQ320" s="120" t="s">
        <v>171</v>
      </c>
      <c r="AS320" s="120" t="s">
        <v>252</v>
      </c>
      <c r="AT320" s="120" t="s">
        <v>65</v>
      </c>
      <c r="AX320" s="17" t="s">
        <v>101</v>
      </c>
      <c r="BD320" s="121">
        <f>IF(N320="základní",J320,0)</f>
        <v>0</v>
      </c>
      <c r="BE320" s="121">
        <f>IF(N320="snížená",J320,0)</f>
        <v>0</v>
      </c>
      <c r="BF320" s="121">
        <f>IF(N320="zákl. přenesená",J320,0)</f>
        <v>0</v>
      </c>
      <c r="BG320" s="121">
        <f>IF(N320="sníž. přenesená",J320,0)</f>
        <v>0</v>
      </c>
      <c r="BH320" s="121">
        <f>IF(N320="nulová",J320,0)</f>
        <v>0</v>
      </c>
      <c r="BI320" s="17" t="s">
        <v>63</v>
      </c>
      <c r="BJ320" s="121">
        <f>ROUND(I320*H320,2)</f>
        <v>0</v>
      </c>
      <c r="BK320" s="17" t="s">
        <v>108</v>
      </c>
      <c r="BL320" s="120" t="s">
        <v>876</v>
      </c>
    </row>
    <row r="321" spans="2:64" s="13" customFormat="1" x14ac:dyDescent="0.2">
      <c r="B321" s="131"/>
      <c r="D321" s="126" t="s">
        <v>112</v>
      </c>
      <c r="F321" s="133" t="s">
        <v>1861</v>
      </c>
      <c r="H321" s="134">
        <f>6.09*0.82</f>
        <v>4.9937999999999994</v>
      </c>
      <c r="L321" s="131"/>
      <c r="M321" s="135"/>
      <c r="T321" s="136"/>
      <c r="V321" s="424"/>
      <c r="W321" s="421"/>
      <c r="AS321" s="132" t="s">
        <v>112</v>
      </c>
      <c r="AT321" s="132" t="s">
        <v>65</v>
      </c>
      <c r="AU321" s="13" t="s">
        <v>65</v>
      </c>
      <c r="AV321" s="13" t="s">
        <v>2</v>
      </c>
      <c r="AW321" s="13" t="s">
        <v>63</v>
      </c>
      <c r="AX321" s="132" t="s">
        <v>101</v>
      </c>
    </row>
    <row r="322" spans="2:64" s="1" customFormat="1" ht="37.9" customHeight="1" x14ac:dyDescent="0.2">
      <c r="B322" s="109"/>
      <c r="C322" s="110" t="s">
        <v>458</v>
      </c>
      <c r="D322" s="110" t="s">
        <v>103</v>
      </c>
      <c r="E322" s="111" t="s">
        <v>877</v>
      </c>
      <c r="F322" s="112" t="s">
        <v>878</v>
      </c>
      <c r="G322" s="113" t="s">
        <v>314</v>
      </c>
      <c r="H322" s="114">
        <v>2</v>
      </c>
      <c r="I322" s="115">
        <v>0</v>
      </c>
      <c r="J322" s="115">
        <f>ROUND(I322*H322,2)</f>
        <v>0</v>
      </c>
      <c r="K322" s="112" t="s">
        <v>107</v>
      </c>
      <c r="L322" s="28"/>
      <c r="M322" s="116"/>
      <c r="N322" s="117"/>
      <c r="O322" s="118"/>
      <c r="P322" s="118"/>
      <c r="Q322" s="118"/>
      <c r="R322" s="118"/>
      <c r="S322" s="118"/>
      <c r="T322" s="119"/>
      <c r="V322" s="424">
        <v>1</v>
      </c>
      <c r="W322" s="414">
        <v>2</v>
      </c>
      <c r="AQ322" s="120" t="s">
        <v>108</v>
      </c>
      <c r="AS322" s="120" t="s">
        <v>103</v>
      </c>
      <c r="AT322" s="120" t="s">
        <v>65</v>
      </c>
      <c r="AX322" s="17" t="s">
        <v>101</v>
      </c>
      <c r="BD322" s="121">
        <f>IF(N322="základní",J322,0)</f>
        <v>0</v>
      </c>
      <c r="BE322" s="121">
        <f>IF(N322="snížená",J322,0)</f>
        <v>0</v>
      </c>
      <c r="BF322" s="121">
        <f>IF(N322="zákl. přenesená",J322,0)</f>
        <v>0</v>
      </c>
      <c r="BG322" s="121">
        <f>IF(N322="sníž. přenesená",J322,0)</f>
        <v>0</v>
      </c>
      <c r="BH322" s="121">
        <f>IF(N322="nulová",J322,0)</f>
        <v>0</v>
      </c>
      <c r="BI322" s="17" t="s">
        <v>63</v>
      </c>
      <c r="BJ322" s="121">
        <f>ROUND(I322*H322,2)</f>
        <v>0</v>
      </c>
      <c r="BK322" s="17" t="s">
        <v>108</v>
      </c>
      <c r="BL322" s="120" t="s">
        <v>879</v>
      </c>
    </row>
    <row r="323" spans="2:64" s="1" customFormat="1" x14ac:dyDescent="0.2">
      <c r="B323" s="28"/>
      <c r="D323" s="122" t="s">
        <v>110</v>
      </c>
      <c r="F323" s="412" t="s">
        <v>880</v>
      </c>
      <c r="L323" s="28"/>
      <c r="M323" s="124"/>
      <c r="T323" s="48"/>
      <c r="V323" s="424"/>
      <c r="W323" s="414"/>
      <c r="AS323" s="17" t="s">
        <v>110</v>
      </c>
      <c r="AT323" s="17" t="s">
        <v>65</v>
      </c>
    </row>
    <row r="324" spans="2:64" s="1" customFormat="1" ht="16.5" customHeight="1" x14ac:dyDescent="0.2">
      <c r="B324" s="109"/>
      <c r="C324" s="143" t="s">
        <v>463</v>
      </c>
      <c r="D324" s="143" t="s">
        <v>252</v>
      </c>
      <c r="E324" s="144" t="s">
        <v>881</v>
      </c>
      <c r="F324" s="145" t="s">
        <v>882</v>
      </c>
      <c r="G324" s="146" t="s">
        <v>314</v>
      </c>
      <c r="H324" s="147">
        <v>2</v>
      </c>
      <c r="I324" s="148">
        <v>0</v>
      </c>
      <c r="J324" s="148">
        <f>ROUND(I324*H324,2)</f>
        <v>0</v>
      </c>
      <c r="K324" s="145" t="s">
        <v>107</v>
      </c>
      <c r="L324" s="149"/>
      <c r="M324" s="150"/>
      <c r="N324" s="151"/>
      <c r="O324" s="118"/>
      <c r="P324" s="118"/>
      <c r="Q324" s="118"/>
      <c r="R324" s="118"/>
      <c r="S324" s="118"/>
      <c r="T324" s="119"/>
      <c r="V324" s="424">
        <v>1</v>
      </c>
      <c r="W324" s="414">
        <v>2</v>
      </c>
      <c r="AQ324" s="120" t="s">
        <v>171</v>
      </c>
      <c r="AS324" s="120" t="s">
        <v>252</v>
      </c>
      <c r="AT324" s="120" t="s">
        <v>65</v>
      </c>
      <c r="AX324" s="17" t="s">
        <v>101</v>
      </c>
      <c r="BD324" s="121">
        <f>IF(N324="základní",J324,0)</f>
        <v>0</v>
      </c>
      <c r="BE324" s="121">
        <f>IF(N324="snížená",J324,0)</f>
        <v>0</v>
      </c>
      <c r="BF324" s="121">
        <f>IF(N324="zákl. přenesená",J324,0)</f>
        <v>0</v>
      </c>
      <c r="BG324" s="121">
        <f>IF(N324="sníž. přenesená",J324,0)</f>
        <v>0</v>
      </c>
      <c r="BH324" s="121">
        <f>IF(N324="nulová",J324,0)</f>
        <v>0</v>
      </c>
      <c r="BI324" s="17" t="s">
        <v>63</v>
      </c>
      <c r="BJ324" s="121">
        <f>ROUND(I324*H324,2)</f>
        <v>0</v>
      </c>
      <c r="BK324" s="17" t="s">
        <v>108</v>
      </c>
      <c r="BL324" s="120" t="s">
        <v>883</v>
      </c>
    </row>
    <row r="325" spans="2:64" s="1" customFormat="1" ht="37.9" customHeight="1" x14ac:dyDescent="0.2">
      <c r="B325" s="109"/>
      <c r="C325" s="110" t="s">
        <v>476</v>
      </c>
      <c r="D325" s="110" t="s">
        <v>103</v>
      </c>
      <c r="E325" s="111" t="s">
        <v>891</v>
      </c>
      <c r="F325" s="112" t="s">
        <v>892</v>
      </c>
      <c r="G325" s="113" t="s">
        <v>314</v>
      </c>
      <c r="H325" s="114">
        <v>2</v>
      </c>
      <c r="I325" s="115">
        <v>0</v>
      </c>
      <c r="J325" s="115">
        <f>ROUND(I325*H325,2)</f>
        <v>0</v>
      </c>
      <c r="K325" s="112" t="s">
        <v>107</v>
      </c>
      <c r="L325" s="28"/>
      <c r="M325" s="116"/>
      <c r="N325" s="117"/>
      <c r="O325" s="118"/>
      <c r="P325" s="118"/>
      <c r="Q325" s="118"/>
      <c r="R325" s="118"/>
      <c r="S325" s="118"/>
      <c r="T325" s="119"/>
      <c r="V325" s="424">
        <v>1</v>
      </c>
      <c r="W325" s="414">
        <v>2</v>
      </c>
      <c r="AQ325" s="120" t="s">
        <v>108</v>
      </c>
      <c r="AS325" s="120" t="s">
        <v>103</v>
      </c>
      <c r="AT325" s="120" t="s">
        <v>65</v>
      </c>
      <c r="AX325" s="17" t="s">
        <v>101</v>
      </c>
      <c r="BD325" s="121">
        <f>IF(N325="základní",J325,0)</f>
        <v>0</v>
      </c>
      <c r="BE325" s="121">
        <f>IF(N325="snížená",J325,0)</f>
        <v>0</v>
      </c>
      <c r="BF325" s="121">
        <f>IF(N325="zákl. přenesená",J325,0)</f>
        <v>0</v>
      </c>
      <c r="BG325" s="121">
        <f>IF(N325="sníž. přenesená",J325,0)</f>
        <v>0</v>
      </c>
      <c r="BH325" s="121">
        <f>IF(N325="nulová",J325,0)</f>
        <v>0</v>
      </c>
      <c r="BI325" s="17" t="s">
        <v>63</v>
      </c>
      <c r="BJ325" s="121">
        <f>ROUND(I325*H325,2)</f>
        <v>0</v>
      </c>
      <c r="BK325" s="17" t="s">
        <v>108</v>
      </c>
      <c r="BL325" s="120" t="s">
        <v>893</v>
      </c>
    </row>
    <row r="326" spans="2:64" s="1" customFormat="1" x14ac:dyDescent="0.2">
      <c r="B326" s="28"/>
      <c r="D326" s="122" t="s">
        <v>110</v>
      </c>
      <c r="F326" s="412" t="s">
        <v>894</v>
      </c>
      <c r="L326" s="28"/>
      <c r="M326" s="124"/>
      <c r="T326" s="48"/>
      <c r="V326" s="424"/>
      <c r="W326" s="414"/>
      <c r="AS326" s="17" t="s">
        <v>110</v>
      </c>
      <c r="AT326" s="17" t="s">
        <v>65</v>
      </c>
    </row>
    <row r="327" spans="2:64" s="1" customFormat="1" ht="16.5" customHeight="1" x14ac:dyDescent="0.2">
      <c r="B327" s="109"/>
      <c r="C327" s="143" t="s">
        <v>481</v>
      </c>
      <c r="D327" s="143" t="s">
        <v>252</v>
      </c>
      <c r="E327" s="144" t="s">
        <v>446</v>
      </c>
      <c r="F327" s="145" t="s">
        <v>447</v>
      </c>
      <c r="G327" s="146" t="s">
        <v>314</v>
      </c>
      <c r="H327" s="147">
        <v>2</v>
      </c>
      <c r="I327" s="148">
        <v>0</v>
      </c>
      <c r="J327" s="148">
        <f>ROUND(I327*H327,2)</f>
        <v>0</v>
      </c>
      <c r="K327" s="145" t="s">
        <v>107</v>
      </c>
      <c r="L327" s="149"/>
      <c r="M327" s="150"/>
      <c r="N327" s="151"/>
      <c r="O327" s="118"/>
      <c r="P327" s="118"/>
      <c r="Q327" s="118"/>
      <c r="R327" s="118"/>
      <c r="S327" s="118"/>
      <c r="T327" s="119"/>
      <c r="V327" s="424">
        <v>1</v>
      </c>
      <c r="W327" s="414">
        <v>2</v>
      </c>
      <c r="AQ327" s="120" t="s">
        <v>171</v>
      </c>
      <c r="AS327" s="120" t="s">
        <v>252</v>
      </c>
      <c r="AT327" s="120" t="s">
        <v>65</v>
      </c>
      <c r="AX327" s="17" t="s">
        <v>101</v>
      </c>
      <c r="BD327" s="121">
        <f>IF(N327="základní",J327,0)</f>
        <v>0</v>
      </c>
      <c r="BE327" s="121">
        <f>IF(N327="snížená",J327,0)</f>
        <v>0</v>
      </c>
      <c r="BF327" s="121">
        <f>IF(N327="zákl. přenesená",J327,0)</f>
        <v>0</v>
      </c>
      <c r="BG327" s="121">
        <f>IF(N327="sníž. přenesená",J327,0)</f>
        <v>0</v>
      </c>
      <c r="BH327" s="121">
        <f>IF(N327="nulová",J327,0)</f>
        <v>0</v>
      </c>
      <c r="BI327" s="17" t="s">
        <v>63</v>
      </c>
      <c r="BJ327" s="121">
        <f>ROUND(I327*H327,2)</f>
        <v>0</v>
      </c>
      <c r="BK327" s="17" t="s">
        <v>108</v>
      </c>
      <c r="BL327" s="120" t="s">
        <v>895</v>
      </c>
    </row>
    <row r="328" spans="2:64" s="1" customFormat="1" ht="37.9" customHeight="1" x14ac:dyDescent="0.2">
      <c r="B328" s="109"/>
      <c r="C328" s="110" t="s">
        <v>485</v>
      </c>
      <c r="D328" s="110" t="s">
        <v>103</v>
      </c>
      <c r="E328" s="111" t="s">
        <v>896</v>
      </c>
      <c r="F328" s="112" t="s">
        <v>897</v>
      </c>
      <c r="G328" s="113" t="s">
        <v>314</v>
      </c>
      <c r="H328" s="114">
        <v>2</v>
      </c>
      <c r="I328" s="115">
        <v>0</v>
      </c>
      <c r="J328" s="115">
        <f>ROUND(I328*H328,2)</f>
        <v>0</v>
      </c>
      <c r="K328" s="112" t="s">
        <v>107</v>
      </c>
      <c r="L328" s="28"/>
      <c r="M328" s="116"/>
      <c r="N328" s="117"/>
      <c r="O328" s="118"/>
      <c r="P328" s="118"/>
      <c r="Q328" s="118"/>
      <c r="R328" s="118"/>
      <c r="S328" s="118"/>
      <c r="T328" s="119"/>
      <c r="V328" s="424"/>
      <c r="W328" s="414"/>
      <c r="AQ328" s="120" t="s">
        <v>108</v>
      </c>
      <c r="AS328" s="120" t="s">
        <v>103</v>
      </c>
      <c r="AT328" s="120" t="s">
        <v>65</v>
      </c>
      <c r="AX328" s="17" t="s">
        <v>101</v>
      </c>
      <c r="BD328" s="121">
        <f>IF(N328="základní",J328,0)</f>
        <v>0</v>
      </c>
      <c r="BE328" s="121">
        <f>IF(N328="snížená",J328,0)</f>
        <v>0</v>
      </c>
      <c r="BF328" s="121">
        <f>IF(N328="zákl. přenesená",J328,0)</f>
        <v>0</v>
      </c>
      <c r="BG328" s="121">
        <f>IF(N328="sníž. přenesená",J328,0)</f>
        <v>0</v>
      </c>
      <c r="BH328" s="121">
        <f>IF(N328="nulová",J328,0)</f>
        <v>0</v>
      </c>
      <c r="BI328" s="17" t="s">
        <v>63</v>
      </c>
      <c r="BJ328" s="121">
        <f>ROUND(I328*H328,2)</f>
        <v>0</v>
      </c>
      <c r="BK328" s="17" t="s">
        <v>108</v>
      </c>
      <c r="BL328" s="120" t="s">
        <v>898</v>
      </c>
    </row>
    <row r="329" spans="2:64" s="1" customFormat="1" x14ac:dyDescent="0.2">
      <c r="B329" s="28"/>
      <c r="D329" s="122" t="s">
        <v>110</v>
      </c>
      <c r="F329" s="412" t="s">
        <v>899</v>
      </c>
      <c r="L329" s="28"/>
      <c r="M329" s="124"/>
      <c r="T329" s="48"/>
      <c r="V329" s="424"/>
      <c r="W329" s="414"/>
      <c r="AS329" s="17" t="s">
        <v>110</v>
      </c>
      <c r="AT329" s="17" t="s">
        <v>65</v>
      </c>
    </row>
    <row r="330" spans="2:64" s="1" customFormat="1" ht="21.75" customHeight="1" x14ac:dyDescent="0.2">
      <c r="B330" s="109"/>
      <c r="C330" s="143" t="s">
        <v>490</v>
      </c>
      <c r="D330" s="143" t="s">
        <v>252</v>
      </c>
      <c r="E330" s="144" t="s">
        <v>455</v>
      </c>
      <c r="F330" s="145" t="s">
        <v>456</v>
      </c>
      <c r="G330" s="146" t="s">
        <v>314</v>
      </c>
      <c r="H330" s="147">
        <v>2</v>
      </c>
      <c r="I330" s="148">
        <v>0</v>
      </c>
      <c r="J330" s="148">
        <f t="shared" ref="J330:J335" si="0">ROUND(I330*H330,2)</f>
        <v>0</v>
      </c>
      <c r="K330" s="145" t="s">
        <v>107</v>
      </c>
      <c r="L330" s="149"/>
      <c r="M330" s="150"/>
      <c r="N330" s="151"/>
      <c r="O330" s="118"/>
      <c r="P330" s="118"/>
      <c r="Q330" s="118"/>
      <c r="R330" s="118"/>
      <c r="S330" s="118"/>
      <c r="T330" s="119"/>
      <c r="V330" s="424">
        <v>1</v>
      </c>
      <c r="W330" s="414">
        <v>2</v>
      </c>
      <c r="AQ330" s="120" t="s">
        <v>171</v>
      </c>
      <c r="AS330" s="120" t="s">
        <v>252</v>
      </c>
      <c r="AT330" s="120" t="s">
        <v>65</v>
      </c>
      <c r="AX330" s="17" t="s">
        <v>101</v>
      </c>
      <c r="BD330" s="121">
        <f t="shared" ref="BD330:BD335" si="1">IF(N330="základní",J330,0)</f>
        <v>0</v>
      </c>
      <c r="BE330" s="121">
        <f t="shared" ref="BE330:BE335" si="2">IF(N330="snížená",J330,0)</f>
        <v>0</v>
      </c>
      <c r="BF330" s="121">
        <f t="shared" ref="BF330:BF335" si="3">IF(N330="zákl. přenesená",J330,0)</f>
        <v>0</v>
      </c>
      <c r="BG330" s="121">
        <f t="shared" ref="BG330:BG335" si="4">IF(N330="sníž. přenesená",J330,0)</f>
        <v>0</v>
      </c>
      <c r="BH330" s="121">
        <f t="shared" ref="BH330:BH335" si="5">IF(N330="nulová",J330,0)</f>
        <v>0</v>
      </c>
      <c r="BI330" s="17" t="s">
        <v>63</v>
      </c>
      <c r="BJ330" s="121">
        <f t="shared" ref="BJ330:BJ335" si="6">ROUND(I330*H330,2)</f>
        <v>0</v>
      </c>
      <c r="BK330" s="17" t="s">
        <v>108</v>
      </c>
      <c r="BL330" s="120" t="s">
        <v>900</v>
      </c>
    </row>
    <row r="331" spans="2:64" s="1" customFormat="1" ht="49.15" customHeight="1" x14ac:dyDescent="0.2">
      <c r="B331" s="109"/>
      <c r="C331" s="110" t="s">
        <v>494</v>
      </c>
      <c r="D331" s="110" t="s">
        <v>103</v>
      </c>
      <c r="E331" s="111" t="s">
        <v>901</v>
      </c>
      <c r="F331" s="112" t="s">
        <v>902</v>
      </c>
      <c r="G331" s="113" t="s">
        <v>314</v>
      </c>
      <c r="H331" s="114">
        <v>2</v>
      </c>
      <c r="I331" s="115">
        <v>0</v>
      </c>
      <c r="J331" s="115">
        <f t="shared" si="0"/>
        <v>0</v>
      </c>
      <c r="K331" s="112" t="s">
        <v>1</v>
      </c>
      <c r="L331" s="28"/>
      <c r="M331" s="116"/>
      <c r="N331" s="117"/>
      <c r="O331" s="118"/>
      <c r="P331" s="118"/>
      <c r="Q331" s="118"/>
      <c r="R331" s="118"/>
      <c r="S331" s="118"/>
      <c r="T331" s="119"/>
      <c r="V331" s="424">
        <v>1</v>
      </c>
      <c r="W331" s="414">
        <v>2</v>
      </c>
      <c r="AQ331" s="120" t="s">
        <v>108</v>
      </c>
      <c r="AS331" s="120" t="s">
        <v>103</v>
      </c>
      <c r="AT331" s="120" t="s">
        <v>65</v>
      </c>
      <c r="AX331" s="17" t="s">
        <v>101</v>
      </c>
      <c r="BD331" s="121">
        <f t="shared" si="1"/>
        <v>0</v>
      </c>
      <c r="BE331" s="121">
        <f t="shared" si="2"/>
        <v>0</v>
      </c>
      <c r="BF331" s="121">
        <f t="shared" si="3"/>
        <v>0</v>
      </c>
      <c r="BG331" s="121">
        <f t="shared" si="4"/>
        <v>0</v>
      </c>
      <c r="BH331" s="121">
        <f t="shared" si="5"/>
        <v>0</v>
      </c>
      <c r="BI331" s="17" t="s">
        <v>63</v>
      </c>
      <c r="BJ331" s="121">
        <f t="shared" si="6"/>
        <v>0</v>
      </c>
      <c r="BK331" s="17" t="s">
        <v>108</v>
      </c>
      <c r="BL331" s="120" t="s">
        <v>903</v>
      </c>
    </row>
    <row r="332" spans="2:64" s="1" customFormat="1" ht="24.2" customHeight="1" x14ac:dyDescent="0.2">
      <c r="B332" s="109"/>
      <c r="C332" s="143" t="s">
        <v>499</v>
      </c>
      <c r="D332" s="143" t="s">
        <v>252</v>
      </c>
      <c r="E332" s="144" t="s">
        <v>322</v>
      </c>
      <c r="F332" s="145" t="s">
        <v>904</v>
      </c>
      <c r="G332" s="146" t="s">
        <v>314</v>
      </c>
      <c r="H332" s="147">
        <v>2</v>
      </c>
      <c r="I332" s="148">
        <v>0</v>
      </c>
      <c r="J332" s="148">
        <f t="shared" si="0"/>
        <v>0</v>
      </c>
      <c r="K332" s="145" t="s">
        <v>1</v>
      </c>
      <c r="L332" s="149"/>
      <c r="M332" s="150"/>
      <c r="N332" s="151"/>
      <c r="O332" s="118"/>
      <c r="P332" s="118"/>
      <c r="Q332" s="118"/>
      <c r="R332" s="118"/>
      <c r="S332" s="118"/>
      <c r="T332" s="119"/>
      <c r="V332" s="424">
        <v>1</v>
      </c>
      <c r="W332" s="414">
        <v>2</v>
      </c>
      <c r="AQ332" s="120" t="s">
        <v>171</v>
      </c>
      <c r="AS332" s="120" t="s">
        <v>252</v>
      </c>
      <c r="AT332" s="120" t="s">
        <v>65</v>
      </c>
      <c r="AX332" s="17" t="s">
        <v>101</v>
      </c>
      <c r="BD332" s="121">
        <f t="shared" si="1"/>
        <v>0</v>
      </c>
      <c r="BE332" s="121">
        <f t="shared" si="2"/>
        <v>0</v>
      </c>
      <c r="BF332" s="121">
        <f t="shared" si="3"/>
        <v>0</v>
      </c>
      <c r="BG332" s="121">
        <f t="shared" si="4"/>
        <v>0</v>
      </c>
      <c r="BH332" s="121">
        <f t="shared" si="5"/>
        <v>0</v>
      </c>
      <c r="BI332" s="17" t="s">
        <v>63</v>
      </c>
      <c r="BJ332" s="121">
        <f t="shared" si="6"/>
        <v>0</v>
      </c>
      <c r="BK332" s="17" t="s">
        <v>108</v>
      </c>
      <c r="BL332" s="120" t="s">
        <v>905</v>
      </c>
    </row>
    <row r="333" spans="2:64" s="1" customFormat="1" ht="49.15" customHeight="1" x14ac:dyDescent="0.2">
      <c r="B333" s="109"/>
      <c r="C333" s="110" t="s">
        <v>503</v>
      </c>
      <c r="D333" s="110" t="s">
        <v>103</v>
      </c>
      <c r="E333" s="111" t="s">
        <v>906</v>
      </c>
      <c r="F333" s="112" t="s">
        <v>907</v>
      </c>
      <c r="G333" s="113" t="s">
        <v>314</v>
      </c>
      <c r="H333" s="114">
        <v>2</v>
      </c>
      <c r="I333" s="115">
        <v>0</v>
      </c>
      <c r="J333" s="115">
        <f t="shared" si="0"/>
        <v>0</v>
      </c>
      <c r="K333" s="112" t="s">
        <v>1</v>
      </c>
      <c r="L333" s="28"/>
      <c r="M333" s="116"/>
      <c r="N333" s="117"/>
      <c r="O333" s="118"/>
      <c r="P333" s="118"/>
      <c r="Q333" s="118"/>
      <c r="R333" s="118"/>
      <c r="S333" s="118"/>
      <c r="T333" s="119"/>
      <c r="V333" s="424">
        <v>1</v>
      </c>
      <c r="W333" s="414">
        <v>2</v>
      </c>
      <c r="AQ333" s="120" t="s">
        <v>108</v>
      </c>
      <c r="AS333" s="120" t="s">
        <v>103</v>
      </c>
      <c r="AT333" s="120" t="s">
        <v>65</v>
      </c>
      <c r="AX333" s="17" t="s">
        <v>101</v>
      </c>
      <c r="BD333" s="121">
        <f t="shared" si="1"/>
        <v>0</v>
      </c>
      <c r="BE333" s="121">
        <f t="shared" si="2"/>
        <v>0</v>
      </c>
      <c r="BF333" s="121">
        <f t="shared" si="3"/>
        <v>0</v>
      </c>
      <c r="BG333" s="121">
        <f t="shared" si="4"/>
        <v>0</v>
      </c>
      <c r="BH333" s="121">
        <f t="shared" si="5"/>
        <v>0</v>
      </c>
      <c r="BI333" s="17" t="s">
        <v>63</v>
      </c>
      <c r="BJ333" s="121">
        <f t="shared" si="6"/>
        <v>0</v>
      </c>
      <c r="BK333" s="17" t="s">
        <v>108</v>
      </c>
      <c r="BL333" s="120" t="s">
        <v>908</v>
      </c>
    </row>
    <row r="334" spans="2:64" s="1" customFormat="1" ht="24.2" customHeight="1" x14ac:dyDescent="0.2">
      <c r="B334" s="109"/>
      <c r="C334" s="143" t="s">
        <v>508</v>
      </c>
      <c r="D334" s="143" t="s">
        <v>252</v>
      </c>
      <c r="E334" s="144" t="s">
        <v>909</v>
      </c>
      <c r="F334" s="145" t="s">
        <v>910</v>
      </c>
      <c r="G334" s="146" t="s">
        <v>314</v>
      </c>
      <c r="H334" s="147">
        <v>2</v>
      </c>
      <c r="I334" s="148">
        <v>0</v>
      </c>
      <c r="J334" s="148">
        <f t="shared" si="0"/>
        <v>0</v>
      </c>
      <c r="K334" s="145" t="s">
        <v>107</v>
      </c>
      <c r="L334" s="149"/>
      <c r="M334" s="150"/>
      <c r="N334" s="151"/>
      <c r="O334" s="118"/>
      <c r="P334" s="118"/>
      <c r="Q334" s="118"/>
      <c r="R334" s="118"/>
      <c r="S334" s="118"/>
      <c r="T334" s="119"/>
      <c r="V334" s="424">
        <v>1</v>
      </c>
      <c r="W334" s="414">
        <v>2</v>
      </c>
      <c r="AQ334" s="120" t="s">
        <v>171</v>
      </c>
      <c r="AS334" s="120" t="s">
        <v>252</v>
      </c>
      <c r="AT334" s="120" t="s">
        <v>65</v>
      </c>
      <c r="AX334" s="17" t="s">
        <v>101</v>
      </c>
      <c r="BD334" s="121">
        <f t="shared" si="1"/>
        <v>0</v>
      </c>
      <c r="BE334" s="121">
        <f t="shared" si="2"/>
        <v>0</v>
      </c>
      <c r="BF334" s="121">
        <f t="shared" si="3"/>
        <v>0</v>
      </c>
      <c r="BG334" s="121">
        <f t="shared" si="4"/>
        <v>0</v>
      </c>
      <c r="BH334" s="121">
        <f t="shared" si="5"/>
        <v>0</v>
      </c>
      <c r="BI334" s="17" t="s">
        <v>63</v>
      </c>
      <c r="BJ334" s="121">
        <f t="shared" si="6"/>
        <v>0</v>
      </c>
      <c r="BK334" s="17" t="s">
        <v>108</v>
      </c>
      <c r="BL334" s="120" t="s">
        <v>911</v>
      </c>
    </row>
    <row r="335" spans="2:64" s="1" customFormat="1" ht="49.15" customHeight="1" x14ac:dyDescent="0.2">
      <c r="B335" s="109"/>
      <c r="C335" s="110" t="s">
        <v>512</v>
      </c>
      <c r="D335" s="110" t="s">
        <v>103</v>
      </c>
      <c r="E335" s="111" t="s">
        <v>912</v>
      </c>
      <c r="F335" s="112" t="s">
        <v>913</v>
      </c>
      <c r="G335" s="113" t="s">
        <v>314</v>
      </c>
      <c r="H335" s="114">
        <v>5</v>
      </c>
      <c r="I335" s="115">
        <v>0</v>
      </c>
      <c r="J335" s="115">
        <f t="shared" si="0"/>
        <v>0</v>
      </c>
      <c r="K335" s="112" t="s">
        <v>107</v>
      </c>
      <c r="L335" s="28"/>
      <c r="M335" s="116"/>
      <c r="N335" s="117"/>
      <c r="O335" s="118"/>
      <c r="P335" s="118"/>
      <c r="Q335" s="118"/>
      <c r="R335" s="118"/>
      <c r="S335" s="118"/>
      <c r="T335" s="119"/>
      <c r="V335" s="424">
        <v>1</v>
      </c>
      <c r="W335" s="414">
        <v>5</v>
      </c>
      <c r="AQ335" s="120" t="s">
        <v>108</v>
      </c>
      <c r="AS335" s="120" t="s">
        <v>103</v>
      </c>
      <c r="AT335" s="120" t="s">
        <v>65</v>
      </c>
      <c r="AX335" s="17" t="s">
        <v>101</v>
      </c>
      <c r="BD335" s="121">
        <f t="shared" si="1"/>
        <v>0</v>
      </c>
      <c r="BE335" s="121">
        <f t="shared" si="2"/>
        <v>0</v>
      </c>
      <c r="BF335" s="121">
        <f t="shared" si="3"/>
        <v>0</v>
      </c>
      <c r="BG335" s="121">
        <f t="shared" si="4"/>
        <v>0</v>
      </c>
      <c r="BH335" s="121">
        <f t="shared" si="5"/>
        <v>0</v>
      </c>
      <c r="BI335" s="17" t="s">
        <v>63</v>
      </c>
      <c r="BJ335" s="121">
        <f t="shared" si="6"/>
        <v>0</v>
      </c>
      <c r="BK335" s="17" t="s">
        <v>108</v>
      </c>
      <c r="BL335" s="120" t="s">
        <v>914</v>
      </c>
    </row>
    <row r="336" spans="2:64" s="1" customFormat="1" x14ac:dyDescent="0.2">
      <c r="B336" s="28"/>
      <c r="D336" s="122" t="s">
        <v>110</v>
      </c>
      <c r="F336" s="412" t="s">
        <v>915</v>
      </c>
      <c r="L336" s="28"/>
      <c r="M336" s="124"/>
      <c r="T336" s="48"/>
      <c r="V336" s="424"/>
      <c r="W336" s="414"/>
      <c r="AS336" s="17" t="s">
        <v>110</v>
      </c>
      <c r="AT336" s="17" t="s">
        <v>65</v>
      </c>
    </row>
    <row r="337" spans="2:64" s="1" customFormat="1" ht="24.2" customHeight="1" x14ac:dyDescent="0.2">
      <c r="B337" s="109"/>
      <c r="C337" s="143" t="s">
        <v>516</v>
      </c>
      <c r="D337" s="143" t="s">
        <v>252</v>
      </c>
      <c r="E337" s="144" t="s">
        <v>916</v>
      </c>
      <c r="F337" s="145" t="s">
        <v>917</v>
      </c>
      <c r="G337" s="146" t="s">
        <v>314</v>
      </c>
      <c r="H337" s="147">
        <v>5</v>
      </c>
      <c r="I337" s="148">
        <v>0</v>
      </c>
      <c r="J337" s="148">
        <f>ROUND(I337*H337,2)</f>
        <v>0</v>
      </c>
      <c r="K337" s="145" t="s">
        <v>1</v>
      </c>
      <c r="L337" s="149"/>
      <c r="M337" s="150"/>
      <c r="N337" s="151"/>
      <c r="O337" s="118"/>
      <c r="P337" s="118"/>
      <c r="Q337" s="118"/>
      <c r="R337" s="118"/>
      <c r="S337" s="118"/>
      <c r="T337" s="119"/>
      <c r="V337" s="424">
        <v>1</v>
      </c>
      <c r="W337" s="414">
        <v>5</v>
      </c>
      <c r="AQ337" s="120" t="s">
        <v>171</v>
      </c>
      <c r="AS337" s="120" t="s">
        <v>252</v>
      </c>
      <c r="AT337" s="120" t="s">
        <v>65</v>
      </c>
      <c r="AX337" s="17" t="s">
        <v>101</v>
      </c>
      <c r="BD337" s="121">
        <f>IF(N337="základní",J337,0)</f>
        <v>0</v>
      </c>
      <c r="BE337" s="121">
        <f>IF(N337="snížená",J337,0)</f>
        <v>0</v>
      </c>
      <c r="BF337" s="121">
        <f>IF(N337="zákl. přenesená",J337,0)</f>
        <v>0</v>
      </c>
      <c r="BG337" s="121">
        <f>IF(N337="sníž. přenesená",J337,0)</f>
        <v>0</v>
      </c>
      <c r="BH337" s="121">
        <f>IF(N337="nulová",J337,0)</f>
        <v>0</v>
      </c>
      <c r="BI337" s="17" t="s">
        <v>63</v>
      </c>
      <c r="BJ337" s="121">
        <f>ROUND(I337*H337,2)</f>
        <v>0</v>
      </c>
      <c r="BK337" s="17" t="s">
        <v>108</v>
      </c>
      <c r="BL337" s="120" t="s">
        <v>918</v>
      </c>
    </row>
    <row r="338" spans="2:64" s="1" customFormat="1" ht="37.9" customHeight="1" x14ac:dyDescent="0.2">
      <c r="B338" s="109"/>
      <c r="C338" s="110" t="s">
        <v>521</v>
      </c>
      <c r="D338" s="110" t="s">
        <v>103</v>
      </c>
      <c r="E338" s="111" t="s">
        <v>919</v>
      </c>
      <c r="F338" s="112" t="s">
        <v>920</v>
      </c>
      <c r="G338" s="113" t="s">
        <v>314</v>
      </c>
      <c r="H338" s="114">
        <v>5</v>
      </c>
      <c r="I338" s="115">
        <v>0</v>
      </c>
      <c r="J338" s="115">
        <f>ROUND(I338*H338,2)</f>
        <v>0</v>
      </c>
      <c r="K338" s="112" t="s">
        <v>107</v>
      </c>
      <c r="L338" s="28"/>
      <c r="M338" s="116"/>
      <c r="N338" s="117"/>
      <c r="O338" s="118"/>
      <c r="P338" s="118"/>
      <c r="Q338" s="118"/>
      <c r="R338" s="118"/>
      <c r="S338" s="118"/>
      <c r="T338" s="119"/>
      <c r="V338" s="424">
        <v>1</v>
      </c>
      <c r="W338" s="414">
        <v>5</v>
      </c>
      <c r="AQ338" s="120" t="s">
        <v>108</v>
      </c>
      <c r="AS338" s="120" t="s">
        <v>103</v>
      </c>
      <c r="AT338" s="120" t="s">
        <v>65</v>
      </c>
      <c r="AX338" s="17" t="s">
        <v>101</v>
      </c>
      <c r="BD338" s="121">
        <f>IF(N338="základní",J338,0)</f>
        <v>0</v>
      </c>
      <c r="BE338" s="121">
        <f>IF(N338="snížená",J338,0)</f>
        <v>0</v>
      </c>
      <c r="BF338" s="121">
        <f>IF(N338="zákl. přenesená",J338,0)</f>
        <v>0</v>
      </c>
      <c r="BG338" s="121">
        <f>IF(N338="sníž. přenesená",J338,0)</f>
        <v>0</v>
      </c>
      <c r="BH338" s="121">
        <f>IF(N338="nulová",J338,0)</f>
        <v>0</v>
      </c>
      <c r="BI338" s="17" t="s">
        <v>63</v>
      </c>
      <c r="BJ338" s="121">
        <f>ROUND(I338*H338,2)</f>
        <v>0</v>
      </c>
      <c r="BK338" s="17" t="s">
        <v>108</v>
      </c>
      <c r="BL338" s="120" t="s">
        <v>921</v>
      </c>
    </row>
    <row r="339" spans="2:64" s="1" customFormat="1" x14ac:dyDescent="0.2">
      <c r="B339" s="28"/>
      <c r="D339" s="122" t="s">
        <v>110</v>
      </c>
      <c r="F339" s="412" t="s">
        <v>922</v>
      </c>
      <c r="L339" s="28"/>
      <c r="M339" s="124"/>
      <c r="T339" s="48"/>
      <c r="V339" s="424"/>
      <c r="W339" s="414"/>
      <c r="AS339" s="17" t="s">
        <v>110</v>
      </c>
      <c r="AT339" s="17" t="s">
        <v>65</v>
      </c>
    </row>
    <row r="340" spans="2:64" s="1" customFormat="1" ht="16.5" customHeight="1" x14ac:dyDescent="0.2">
      <c r="B340" s="109"/>
      <c r="C340" s="143" t="s">
        <v>525</v>
      </c>
      <c r="D340" s="143" t="s">
        <v>252</v>
      </c>
      <c r="E340" s="144" t="s">
        <v>491</v>
      </c>
      <c r="F340" s="145" t="s">
        <v>492</v>
      </c>
      <c r="G340" s="146" t="s">
        <v>314</v>
      </c>
      <c r="H340" s="147">
        <v>5</v>
      </c>
      <c r="I340" s="148">
        <v>0</v>
      </c>
      <c r="J340" s="148">
        <f>ROUND(I340*H340,2)</f>
        <v>0</v>
      </c>
      <c r="K340" s="145" t="s">
        <v>107</v>
      </c>
      <c r="L340" s="149"/>
      <c r="M340" s="150"/>
      <c r="N340" s="151"/>
      <c r="O340" s="118"/>
      <c r="P340" s="118"/>
      <c r="Q340" s="118"/>
      <c r="R340" s="118"/>
      <c r="S340" s="118"/>
      <c r="T340" s="119"/>
      <c r="V340" s="424">
        <v>1</v>
      </c>
      <c r="W340" s="414">
        <v>5</v>
      </c>
      <c r="AQ340" s="120" t="s">
        <v>171</v>
      </c>
      <c r="AS340" s="120" t="s">
        <v>252</v>
      </c>
      <c r="AT340" s="120" t="s">
        <v>65</v>
      </c>
      <c r="AX340" s="17" t="s">
        <v>101</v>
      </c>
      <c r="BD340" s="121">
        <f>IF(N340="základní",J340,0)</f>
        <v>0</v>
      </c>
      <c r="BE340" s="121">
        <f>IF(N340="snížená",J340,0)</f>
        <v>0</v>
      </c>
      <c r="BF340" s="121">
        <f>IF(N340="zákl. přenesená",J340,0)</f>
        <v>0</v>
      </c>
      <c r="BG340" s="121">
        <f>IF(N340="sníž. přenesená",J340,0)</f>
        <v>0</v>
      </c>
      <c r="BH340" s="121">
        <f>IF(N340="nulová",J340,0)</f>
        <v>0</v>
      </c>
      <c r="BI340" s="17" t="s">
        <v>63</v>
      </c>
      <c r="BJ340" s="121">
        <f>ROUND(I340*H340,2)</f>
        <v>0</v>
      </c>
      <c r="BK340" s="17" t="s">
        <v>108</v>
      </c>
      <c r="BL340" s="120" t="s">
        <v>923</v>
      </c>
    </row>
    <row r="341" spans="2:64" s="1" customFormat="1" ht="37.9" customHeight="1" x14ac:dyDescent="0.2">
      <c r="B341" s="109"/>
      <c r="C341" s="110" t="s">
        <v>529</v>
      </c>
      <c r="D341" s="110" t="s">
        <v>103</v>
      </c>
      <c r="E341" s="111" t="s">
        <v>924</v>
      </c>
      <c r="F341" s="112" t="s">
        <v>925</v>
      </c>
      <c r="G341" s="113" t="s">
        <v>314</v>
      </c>
      <c r="H341" s="114">
        <v>1</v>
      </c>
      <c r="I341" s="115">
        <v>0</v>
      </c>
      <c r="J341" s="115">
        <f>ROUND(I341*H341,2)</f>
        <v>0</v>
      </c>
      <c r="K341" s="112" t="s">
        <v>107</v>
      </c>
      <c r="L341" s="28"/>
      <c r="M341" s="116"/>
      <c r="N341" s="117"/>
      <c r="O341" s="118"/>
      <c r="P341" s="118"/>
      <c r="Q341" s="118"/>
      <c r="R341" s="118"/>
      <c r="S341" s="118"/>
      <c r="T341" s="119"/>
      <c r="V341" s="424">
        <v>1</v>
      </c>
      <c r="W341" s="414">
        <v>1</v>
      </c>
      <c r="AQ341" s="120" t="s">
        <v>108</v>
      </c>
      <c r="AS341" s="120" t="s">
        <v>103</v>
      </c>
      <c r="AT341" s="120" t="s">
        <v>65</v>
      </c>
      <c r="AX341" s="17" t="s">
        <v>101</v>
      </c>
      <c r="BD341" s="121">
        <f>IF(N341="základní",J341,0)</f>
        <v>0</v>
      </c>
      <c r="BE341" s="121">
        <f>IF(N341="snížená",J341,0)</f>
        <v>0</v>
      </c>
      <c r="BF341" s="121">
        <f>IF(N341="zákl. přenesená",J341,0)</f>
        <v>0</v>
      </c>
      <c r="BG341" s="121">
        <f>IF(N341="sníž. přenesená",J341,0)</f>
        <v>0</v>
      </c>
      <c r="BH341" s="121">
        <f>IF(N341="nulová",J341,0)</f>
        <v>0</v>
      </c>
      <c r="BI341" s="17" t="s">
        <v>63</v>
      </c>
      <c r="BJ341" s="121">
        <f>ROUND(I341*H341,2)</f>
        <v>0</v>
      </c>
      <c r="BK341" s="17" t="s">
        <v>108</v>
      </c>
      <c r="BL341" s="120" t="s">
        <v>926</v>
      </c>
    </row>
    <row r="342" spans="2:64" s="1" customFormat="1" x14ac:dyDescent="0.2">
      <c r="B342" s="28"/>
      <c r="D342" s="122" t="s">
        <v>110</v>
      </c>
      <c r="F342" s="412" t="s">
        <v>927</v>
      </c>
      <c r="L342" s="28"/>
      <c r="M342" s="124"/>
      <c r="T342" s="48"/>
      <c r="V342" s="424"/>
      <c r="W342" s="414"/>
      <c r="AS342" s="17" t="s">
        <v>110</v>
      </c>
      <c r="AT342" s="17" t="s">
        <v>65</v>
      </c>
    </row>
    <row r="343" spans="2:64" s="1" customFormat="1" ht="16.5" customHeight="1" x14ac:dyDescent="0.2">
      <c r="B343" s="109"/>
      <c r="C343" s="143" t="s">
        <v>534</v>
      </c>
      <c r="D343" s="143" t="s">
        <v>252</v>
      </c>
      <c r="E343" s="144" t="s">
        <v>928</v>
      </c>
      <c r="F343" s="145" t="s">
        <v>929</v>
      </c>
      <c r="G343" s="146" t="s">
        <v>314</v>
      </c>
      <c r="H343" s="147">
        <v>1</v>
      </c>
      <c r="I343" s="148">
        <v>0</v>
      </c>
      <c r="J343" s="148">
        <f>ROUND(I343*H343,2)</f>
        <v>0</v>
      </c>
      <c r="K343" s="145" t="s">
        <v>107</v>
      </c>
      <c r="L343" s="149"/>
      <c r="M343" s="150"/>
      <c r="N343" s="151"/>
      <c r="O343" s="118"/>
      <c r="P343" s="118"/>
      <c r="Q343" s="118"/>
      <c r="R343" s="118"/>
      <c r="S343" s="118"/>
      <c r="T343" s="119"/>
      <c r="V343" s="424">
        <v>1</v>
      </c>
      <c r="W343" s="414">
        <v>1</v>
      </c>
      <c r="AQ343" s="120" t="s">
        <v>171</v>
      </c>
      <c r="AS343" s="120" t="s">
        <v>252</v>
      </c>
      <c r="AT343" s="120" t="s">
        <v>65</v>
      </c>
      <c r="AX343" s="17" t="s">
        <v>101</v>
      </c>
      <c r="BD343" s="121">
        <f>IF(N343="základní",J343,0)</f>
        <v>0</v>
      </c>
      <c r="BE343" s="121">
        <f>IF(N343="snížená",J343,0)</f>
        <v>0</v>
      </c>
      <c r="BF343" s="121">
        <f>IF(N343="zákl. přenesená",J343,0)</f>
        <v>0</v>
      </c>
      <c r="BG343" s="121">
        <f>IF(N343="sníž. přenesená",J343,0)</f>
        <v>0</v>
      </c>
      <c r="BH343" s="121">
        <f>IF(N343="nulová",J343,0)</f>
        <v>0</v>
      </c>
      <c r="BI343" s="17" t="s">
        <v>63</v>
      </c>
      <c r="BJ343" s="121">
        <f>ROUND(I343*H343,2)</f>
        <v>0</v>
      </c>
      <c r="BK343" s="17" t="s">
        <v>108</v>
      </c>
      <c r="BL343" s="120" t="s">
        <v>930</v>
      </c>
    </row>
    <row r="344" spans="2:64" s="1" customFormat="1" ht="44.25" customHeight="1" x14ac:dyDescent="0.2">
      <c r="B344" s="109"/>
      <c r="C344" s="110" t="s">
        <v>555</v>
      </c>
      <c r="D344" s="110" t="s">
        <v>103</v>
      </c>
      <c r="E344" s="111" t="s">
        <v>943</v>
      </c>
      <c r="F344" s="112" t="s">
        <v>944</v>
      </c>
      <c r="G344" s="113" t="s">
        <v>314</v>
      </c>
      <c r="H344" s="114">
        <v>2</v>
      </c>
      <c r="I344" s="115">
        <v>0</v>
      </c>
      <c r="J344" s="115">
        <f>ROUND(I344*H344,2)</f>
        <v>0</v>
      </c>
      <c r="K344" s="112" t="s">
        <v>107</v>
      </c>
      <c r="L344" s="28"/>
      <c r="M344" s="116"/>
      <c r="N344" s="117"/>
      <c r="O344" s="118"/>
      <c r="P344" s="118"/>
      <c r="Q344" s="118"/>
      <c r="R344" s="118"/>
      <c r="S344" s="118"/>
      <c r="T344" s="119"/>
      <c r="V344" s="424">
        <v>1</v>
      </c>
      <c r="W344" s="414">
        <v>2</v>
      </c>
      <c r="AQ344" s="120" t="s">
        <v>108</v>
      </c>
      <c r="AS344" s="120" t="s">
        <v>103</v>
      </c>
      <c r="AT344" s="120" t="s">
        <v>65</v>
      </c>
      <c r="AX344" s="17" t="s">
        <v>101</v>
      </c>
      <c r="BD344" s="121">
        <f>IF(N344="základní",J344,0)</f>
        <v>0</v>
      </c>
      <c r="BE344" s="121">
        <f>IF(N344="snížená",J344,0)</f>
        <v>0</v>
      </c>
      <c r="BF344" s="121">
        <f>IF(N344="zákl. přenesená",J344,0)</f>
        <v>0</v>
      </c>
      <c r="BG344" s="121">
        <f>IF(N344="sníž. přenesená",J344,0)</f>
        <v>0</v>
      </c>
      <c r="BH344" s="121">
        <f>IF(N344="nulová",J344,0)</f>
        <v>0</v>
      </c>
      <c r="BI344" s="17" t="s">
        <v>63</v>
      </c>
      <c r="BJ344" s="121">
        <f>ROUND(I344*H344,2)</f>
        <v>0</v>
      </c>
      <c r="BK344" s="17" t="s">
        <v>108</v>
      </c>
      <c r="BL344" s="120" t="s">
        <v>945</v>
      </c>
    </row>
    <row r="345" spans="2:64" s="1" customFormat="1" x14ac:dyDescent="0.2">
      <c r="B345" s="28"/>
      <c r="D345" s="122" t="s">
        <v>110</v>
      </c>
      <c r="F345" s="412" t="s">
        <v>946</v>
      </c>
      <c r="L345" s="28"/>
      <c r="M345" s="124"/>
      <c r="T345" s="48"/>
      <c r="V345" s="424"/>
      <c r="W345" s="414"/>
      <c r="AS345" s="17" t="s">
        <v>110</v>
      </c>
      <c r="AT345" s="17" t="s">
        <v>65</v>
      </c>
    </row>
    <row r="346" spans="2:64" s="1" customFormat="1" ht="24.2" customHeight="1" x14ac:dyDescent="0.2">
      <c r="B346" s="109"/>
      <c r="C346" s="143" t="s">
        <v>557</v>
      </c>
      <c r="D346" s="143" t="s">
        <v>252</v>
      </c>
      <c r="E346" s="144" t="s">
        <v>947</v>
      </c>
      <c r="F346" s="145" t="s">
        <v>948</v>
      </c>
      <c r="G346" s="146" t="s">
        <v>314</v>
      </c>
      <c r="H346" s="147">
        <v>2</v>
      </c>
      <c r="I346" s="148">
        <v>0</v>
      </c>
      <c r="J346" s="148">
        <f>ROUND(I346*H346,2)</f>
        <v>0</v>
      </c>
      <c r="K346" s="145" t="s">
        <v>107</v>
      </c>
      <c r="L346" s="149"/>
      <c r="M346" s="150"/>
      <c r="N346" s="151"/>
      <c r="O346" s="118"/>
      <c r="P346" s="118"/>
      <c r="Q346" s="118"/>
      <c r="R346" s="118"/>
      <c r="S346" s="118"/>
      <c r="T346" s="119"/>
      <c r="V346" s="424">
        <v>1</v>
      </c>
      <c r="W346" s="414">
        <v>2</v>
      </c>
      <c r="AQ346" s="120" t="s">
        <v>171</v>
      </c>
      <c r="AS346" s="120" t="s">
        <v>252</v>
      </c>
      <c r="AT346" s="120" t="s">
        <v>65</v>
      </c>
      <c r="AX346" s="17" t="s">
        <v>101</v>
      </c>
      <c r="BD346" s="121">
        <f>IF(N346="základní",J346,0)</f>
        <v>0</v>
      </c>
      <c r="BE346" s="121">
        <f>IF(N346="snížená",J346,0)</f>
        <v>0</v>
      </c>
      <c r="BF346" s="121">
        <f>IF(N346="zákl. přenesená",J346,0)</f>
        <v>0</v>
      </c>
      <c r="BG346" s="121">
        <f>IF(N346="sníž. přenesená",J346,0)</f>
        <v>0</v>
      </c>
      <c r="BH346" s="121">
        <f>IF(N346="nulová",J346,0)</f>
        <v>0</v>
      </c>
      <c r="BI346" s="17" t="s">
        <v>63</v>
      </c>
      <c r="BJ346" s="121">
        <f>ROUND(I346*H346,2)</f>
        <v>0</v>
      </c>
      <c r="BK346" s="17" t="s">
        <v>108</v>
      </c>
      <c r="BL346" s="120" t="s">
        <v>949</v>
      </c>
    </row>
    <row r="347" spans="2:64" s="1" customFormat="1" ht="21.75" customHeight="1" x14ac:dyDescent="0.2">
      <c r="B347" s="109"/>
      <c r="C347" s="143" t="s">
        <v>562</v>
      </c>
      <c r="D347" s="143" t="s">
        <v>252</v>
      </c>
      <c r="E347" s="144" t="s">
        <v>950</v>
      </c>
      <c r="F347" s="145" t="s">
        <v>951</v>
      </c>
      <c r="G347" s="146" t="s">
        <v>314</v>
      </c>
      <c r="H347" s="147">
        <v>2</v>
      </c>
      <c r="I347" s="148">
        <v>0</v>
      </c>
      <c r="J347" s="148">
        <f>ROUND(I347*H347,2)</f>
        <v>0</v>
      </c>
      <c r="K347" s="145" t="s">
        <v>107</v>
      </c>
      <c r="L347" s="149"/>
      <c r="M347" s="150"/>
      <c r="N347" s="151"/>
      <c r="O347" s="118"/>
      <c r="P347" s="118"/>
      <c r="Q347" s="118"/>
      <c r="R347" s="118"/>
      <c r="S347" s="118"/>
      <c r="T347" s="119"/>
      <c r="V347" s="424">
        <v>1</v>
      </c>
      <c r="W347" s="414">
        <v>2</v>
      </c>
      <c r="AQ347" s="120" t="s">
        <v>171</v>
      </c>
      <c r="AS347" s="120" t="s">
        <v>252</v>
      </c>
      <c r="AT347" s="120" t="s">
        <v>65</v>
      </c>
      <c r="AX347" s="17" t="s">
        <v>101</v>
      </c>
      <c r="BD347" s="121">
        <f>IF(N347="základní",J347,0)</f>
        <v>0</v>
      </c>
      <c r="BE347" s="121">
        <f>IF(N347="snížená",J347,0)</f>
        <v>0</v>
      </c>
      <c r="BF347" s="121">
        <f>IF(N347="zákl. přenesená",J347,0)</f>
        <v>0</v>
      </c>
      <c r="BG347" s="121">
        <f>IF(N347="sníž. přenesená",J347,0)</f>
        <v>0</v>
      </c>
      <c r="BH347" s="121">
        <f>IF(N347="nulová",J347,0)</f>
        <v>0</v>
      </c>
      <c r="BI347" s="17" t="s">
        <v>63</v>
      </c>
      <c r="BJ347" s="121">
        <f>ROUND(I347*H347,2)</f>
        <v>0</v>
      </c>
      <c r="BK347" s="17" t="s">
        <v>108</v>
      </c>
      <c r="BL347" s="120" t="s">
        <v>952</v>
      </c>
    </row>
    <row r="348" spans="2:64" s="1" customFormat="1" ht="44.25" customHeight="1" x14ac:dyDescent="0.2">
      <c r="B348" s="109"/>
      <c r="C348" s="110" t="s">
        <v>567</v>
      </c>
      <c r="D348" s="110" t="s">
        <v>103</v>
      </c>
      <c r="E348" s="111" t="s">
        <v>953</v>
      </c>
      <c r="F348" s="112" t="s">
        <v>954</v>
      </c>
      <c r="G348" s="113" t="s">
        <v>314</v>
      </c>
      <c r="H348" s="114">
        <v>2</v>
      </c>
      <c r="I348" s="115">
        <v>0</v>
      </c>
      <c r="J348" s="115">
        <f>ROUND(I348*H348,2)</f>
        <v>0</v>
      </c>
      <c r="K348" s="112" t="s">
        <v>107</v>
      </c>
      <c r="L348" s="28"/>
      <c r="M348" s="116"/>
      <c r="N348" s="117"/>
      <c r="O348" s="118"/>
      <c r="P348" s="118"/>
      <c r="Q348" s="118"/>
      <c r="R348" s="118"/>
      <c r="S348" s="118"/>
      <c r="T348" s="119"/>
      <c r="V348" s="424">
        <v>1</v>
      </c>
      <c r="W348" s="414">
        <v>2</v>
      </c>
      <c r="AQ348" s="120" t="s">
        <v>108</v>
      </c>
      <c r="AS348" s="120" t="s">
        <v>103</v>
      </c>
      <c r="AT348" s="120" t="s">
        <v>65</v>
      </c>
      <c r="AX348" s="17" t="s">
        <v>101</v>
      </c>
      <c r="BD348" s="121">
        <f>IF(N348="základní",J348,0)</f>
        <v>0</v>
      </c>
      <c r="BE348" s="121">
        <f>IF(N348="snížená",J348,0)</f>
        <v>0</v>
      </c>
      <c r="BF348" s="121">
        <f>IF(N348="zákl. přenesená",J348,0)</f>
        <v>0</v>
      </c>
      <c r="BG348" s="121">
        <f>IF(N348="sníž. přenesená",J348,0)</f>
        <v>0</v>
      </c>
      <c r="BH348" s="121">
        <f>IF(N348="nulová",J348,0)</f>
        <v>0</v>
      </c>
      <c r="BI348" s="17" t="s">
        <v>63</v>
      </c>
      <c r="BJ348" s="121">
        <f>ROUND(I348*H348,2)</f>
        <v>0</v>
      </c>
      <c r="BK348" s="17" t="s">
        <v>108</v>
      </c>
      <c r="BL348" s="120" t="s">
        <v>955</v>
      </c>
    </row>
    <row r="349" spans="2:64" s="1" customFormat="1" x14ac:dyDescent="0.2">
      <c r="B349" s="28"/>
      <c r="D349" s="122" t="s">
        <v>110</v>
      </c>
      <c r="F349" s="412" t="s">
        <v>956</v>
      </c>
      <c r="L349" s="28"/>
      <c r="M349" s="124"/>
      <c r="T349" s="48"/>
      <c r="V349" s="424"/>
      <c r="W349" s="414"/>
      <c r="AS349" s="17" t="s">
        <v>110</v>
      </c>
      <c r="AT349" s="17" t="s">
        <v>65</v>
      </c>
    </row>
    <row r="350" spans="2:64" s="1" customFormat="1" ht="24.2" customHeight="1" x14ac:dyDescent="0.2">
      <c r="B350" s="109"/>
      <c r="C350" s="143" t="s">
        <v>572</v>
      </c>
      <c r="D350" s="143" t="s">
        <v>252</v>
      </c>
      <c r="E350" s="144" t="s">
        <v>957</v>
      </c>
      <c r="F350" s="145" t="s">
        <v>958</v>
      </c>
      <c r="G350" s="146" t="s">
        <v>314</v>
      </c>
      <c r="H350" s="147">
        <v>2</v>
      </c>
      <c r="I350" s="148">
        <v>0</v>
      </c>
      <c r="J350" s="148">
        <f>ROUND(I350*H350,2)</f>
        <v>0</v>
      </c>
      <c r="K350" s="145" t="s">
        <v>107</v>
      </c>
      <c r="L350" s="149"/>
      <c r="M350" s="150"/>
      <c r="N350" s="151"/>
      <c r="O350" s="118"/>
      <c r="P350" s="118"/>
      <c r="Q350" s="118"/>
      <c r="R350" s="118"/>
      <c r="S350" s="118"/>
      <c r="T350" s="119"/>
      <c r="V350" s="424">
        <v>1</v>
      </c>
      <c r="W350" s="414">
        <v>2</v>
      </c>
      <c r="AQ350" s="120" t="s">
        <v>171</v>
      </c>
      <c r="AS350" s="120" t="s">
        <v>252</v>
      </c>
      <c r="AT350" s="120" t="s">
        <v>65</v>
      </c>
      <c r="AX350" s="17" t="s">
        <v>101</v>
      </c>
      <c r="BD350" s="121">
        <f>IF(N350="základní",J350,0)</f>
        <v>0</v>
      </c>
      <c r="BE350" s="121">
        <f>IF(N350="snížená",J350,0)</f>
        <v>0</v>
      </c>
      <c r="BF350" s="121">
        <f>IF(N350="zákl. přenesená",J350,0)</f>
        <v>0</v>
      </c>
      <c r="BG350" s="121">
        <f>IF(N350="sníž. přenesená",J350,0)</f>
        <v>0</v>
      </c>
      <c r="BH350" s="121">
        <f>IF(N350="nulová",J350,0)</f>
        <v>0</v>
      </c>
      <c r="BI350" s="17" t="s">
        <v>63</v>
      </c>
      <c r="BJ350" s="121">
        <f>ROUND(I350*H350,2)</f>
        <v>0</v>
      </c>
      <c r="BK350" s="17" t="s">
        <v>108</v>
      </c>
      <c r="BL350" s="120" t="s">
        <v>959</v>
      </c>
    </row>
    <row r="351" spans="2:64" s="1" customFormat="1" ht="21.75" customHeight="1" x14ac:dyDescent="0.2">
      <c r="B351" s="109"/>
      <c r="C351" s="143" t="s">
        <v>579</v>
      </c>
      <c r="D351" s="143" t="s">
        <v>252</v>
      </c>
      <c r="E351" s="144" t="s">
        <v>513</v>
      </c>
      <c r="F351" s="145" t="s">
        <v>514</v>
      </c>
      <c r="G351" s="146" t="s">
        <v>314</v>
      </c>
      <c r="H351" s="147">
        <v>2</v>
      </c>
      <c r="I351" s="148">
        <v>0</v>
      </c>
      <c r="J351" s="148">
        <f>ROUND(I351*H351,2)</f>
        <v>0</v>
      </c>
      <c r="K351" s="145" t="s">
        <v>107</v>
      </c>
      <c r="L351" s="149"/>
      <c r="M351" s="150"/>
      <c r="N351" s="151"/>
      <c r="O351" s="118"/>
      <c r="P351" s="118"/>
      <c r="Q351" s="118"/>
      <c r="R351" s="118"/>
      <c r="S351" s="118"/>
      <c r="T351" s="119"/>
      <c r="V351" s="424">
        <v>1</v>
      </c>
      <c r="W351" s="414">
        <v>2</v>
      </c>
      <c r="AQ351" s="120" t="s">
        <v>171</v>
      </c>
      <c r="AS351" s="120" t="s">
        <v>252</v>
      </c>
      <c r="AT351" s="120" t="s">
        <v>65</v>
      </c>
      <c r="AX351" s="17" t="s">
        <v>101</v>
      </c>
      <c r="BD351" s="121">
        <f>IF(N351="základní",J351,0)</f>
        <v>0</v>
      </c>
      <c r="BE351" s="121">
        <f>IF(N351="snížená",J351,0)</f>
        <v>0</v>
      </c>
      <c r="BF351" s="121">
        <f>IF(N351="zákl. přenesená",J351,0)</f>
        <v>0</v>
      </c>
      <c r="BG351" s="121">
        <f>IF(N351="sníž. přenesená",J351,0)</f>
        <v>0</v>
      </c>
      <c r="BH351" s="121">
        <f>IF(N351="nulová",J351,0)</f>
        <v>0</v>
      </c>
      <c r="BI351" s="17" t="s">
        <v>63</v>
      </c>
      <c r="BJ351" s="121">
        <f>ROUND(I351*H351,2)</f>
        <v>0</v>
      </c>
      <c r="BK351" s="17" t="s">
        <v>108</v>
      </c>
      <c r="BL351" s="120" t="s">
        <v>960</v>
      </c>
    </row>
    <row r="352" spans="2:64" s="1" customFormat="1" ht="44.25" customHeight="1" x14ac:dyDescent="0.2">
      <c r="B352" s="109"/>
      <c r="C352" s="110" t="s">
        <v>584</v>
      </c>
      <c r="D352" s="110" t="s">
        <v>103</v>
      </c>
      <c r="E352" s="111" t="s">
        <v>961</v>
      </c>
      <c r="F352" s="112" t="s">
        <v>962</v>
      </c>
      <c r="G352" s="113" t="s">
        <v>314</v>
      </c>
      <c r="H352" s="114">
        <v>1</v>
      </c>
      <c r="I352" s="115">
        <v>0</v>
      </c>
      <c r="J352" s="115">
        <f>ROUND(I352*H352,2)</f>
        <v>0</v>
      </c>
      <c r="K352" s="112" t="s">
        <v>107</v>
      </c>
      <c r="L352" s="28"/>
      <c r="M352" s="116"/>
      <c r="N352" s="117"/>
      <c r="O352" s="118"/>
      <c r="P352" s="118"/>
      <c r="Q352" s="118"/>
      <c r="R352" s="118"/>
      <c r="S352" s="118"/>
      <c r="T352" s="119"/>
      <c r="V352" s="424">
        <v>1</v>
      </c>
      <c r="W352" s="414">
        <v>1</v>
      </c>
      <c r="AQ352" s="120" t="s">
        <v>108</v>
      </c>
      <c r="AS352" s="120" t="s">
        <v>103</v>
      </c>
      <c r="AT352" s="120" t="s">
        <v>65</v>
      </c>
      <c r="AX352" s="17" t="s">
        <v>101</v>
      </c>
      <c r="BD352" s="121">
        <f>IF(N352="základní",J352,0)</f>
        <v>0</v>
      </c>
      <c r="BE352" s="121">
        <f>IF(N352="snížená",J352,0)</f>
        <v>0</v>
      </c>
      <c r="BF352" s="121">
        <f>IF(N352="zákl. přenesená",J352,0)</f>
        <v>0</v>
      </c>
      <c r="BG352" s="121">
        <f>IF(N352="sníž. přenesená",J352,0)</f>
        <v>0</v>
      </c>
      <c r="BH352" s="121">
        <f>IF(N352="nulová",J352,0)</f>
        <v>0</v>
      </c>
      <c r="BI352" s="17" t="s">
        <v>63</v>
      </c>
      <c r="BJ352" s="121">
        <f>ROUND(I352*H352,2)</f>
        <v>0</v>
      </c>
      <c r="BK352" s="17" t="s">
        <v>108</v>
      </c>
      <c r="BL352" s="120" t="s">
        <v>963</v>
      </c>
    </row>
    <row r="353" spans="2:64" s="1" customFormat="1" x14ac:dyDescent="0.2">
      <c r="B353" s="28"/>
      <c r="D353" s="122" t="s">
        <v>110</v>
      </c>
      <c r="F353" s="412" t="s">
        <v>964</v>
      </c>
      <c r="L353" s="28"/>
      <c r="M353" s="124"/>
      <c r="T353" s="48"/>
      <c r="V353" s="424"/>
      <c r="W353" s="414"/>
      <c r="AS353" s="17" t="s">
        <v>110</v>
      </c>
      <c r="AT353" s="17" t="s">
        <v>65</v>
      </c>
    </row>
    <row r="354" spans="2:64" s="1" customFormat="1" ht="24.2" customHeight="1" x14ac:dyDescent="0.2">
      <c r="B354" s="109"/>
      <c r="C354" s="143" t="s">
        <v>589</v>
      </c>
      <c r="D354" s="143" t="s">
        <v>252</v>
      </c>
      <c r="E354" s="144" t="s">
        <v>965</v>
      </c>
      <c r="F354" s="145" t="s">
        <v>966</v>
      </c>
      <c r="G354" s="146" t="s">
        <v>314</v>
      </c>
      <c r="H354" s="147">
        <v>1</v>
      </c>
      <c r="I354" s="148">
        <v>0</v>
      </c>
      <c r="J354" s="148">
        <f>ROUND(I354*H354,2)</f>
        <v>0</v>
      </c>
      <c r="K354" s="145" t="s">
        <v>107</v>
      </c>
      <c r="L354" s="149"/>
      <c r="M354" s="150"/>
      <c r="N354" s="151"/>
      <c r="O354" s="118"/>
      <c r="P354" s="118"/>
      <c r="Q354" s="118"/>
      <c r="R354" s="118"/>
      <c r="S354" s="118"/>
      <c r="T354" s="119"/>
      <c r="V354" s="424">
        <v>1</v>
      </c>
      <c r="W354" s="414">
        <v>1</v>
      </c>
      <c r="AQ354" s="120" t="s">
        <v>171</v>
      </c>
      <c r="AS354" s="120" t="s">
        <v>252</v>
      </c>
      <c r="AT354" s="120" t="s">
        <v>65</v>
      </c>
      <c r="AX354" s="17" t="s">
        <v>101</v>
      </c>
      <c r="BD354" s="121">
        <f>IF(N354="základní",J354,0)</f>
        <v>0</v>
      </c>
      <c r="BE354" s="121">
        <f>IF(N354="snížená",J354,0)</f>
        <v>0</v>
      </c>
      <c r="BF354" s="121">
        <f>IF(N354="zákl. přenesená",J354,0)</f>
        <v>0</v>
      </c>
      <c r="BG354" s="121">
        <f>IF(N354="sníž. přenesená",J354,0)</f>
        <v>0</v>
      </c>
      <c r="BH354" s="121">
        <f>IF(N354="nulová",J354,0)</f>
        <v>0</v>
      </c>
      <c r="BI354" s="17" t="s">
        <v>63</v>
      </c>
      <c r="BJ354" s="121">
        <f>ROUND(I354*H354,2)</f>
        <v>0</v>
      </c>
      <c r="BK354" s="17" t="s">
        <v>108</v>
      </c>
      <c r="BL354" s="120" t="s">
        <v>967</v>
      </c>
    </row>
    <row r="355" spans="2:64" s="13" customFormat="1" ht="22.5" x14ac:dyDescent="0.2">
      <c r="B355" s="131"/>
      <c r="D355" s="126" t="s">
        <v>112</v>
      </c>
      <c r="E355" s="132" t="s">
        <v>1</v>
      </c>
      <c r="F355" s="133" t="s">
        <v>968</v>
      </c>
      <c r="H355" s="134">
        <v>1</v>
      </c>
      <c r="L355" s="131"/>
      <c r="M355" s="135"/>
      <c r="T355" s="136"/>
      <c r="V355" s="424"/>
      <c r="W355" s="421"/>
      <c r="AS355" s="132" t="s">
        <v>112</v>
      </c>
      <c r="AT355" s="132" t="s">
        <v>65</v>
      </c>
      <c r="AU355" s="13" t="s">
        <v>65</v>
      </c>
      <c r="AV355" s="13" t="s">
        <v>30</v>
      </c>
      <c r="AW355" s="13" t="s">
        <v>63</v>
      </c>
      <c r="AX355" s="132" t="s">
        <v>101</v>
      </c>
    </row>
    <row r="356" spans="2:64" s="1" customFormat="1" ht="44.25" customHeight="1" x14ac:dyDescent="0.2">
      <c r="B356" s="109"/>
      <c r="C356" s="110" t="s">
        <v>593</v>
      </c>
      <c r="D356" s="110" t="s">
        <v>103</v>
      </c>
      <c r="E356" s="111" t="s">
        <v>969</v>
      </c>
      <c r="F356" s="112" t="s">
        <v>970</v>
      </c>
      <c r="G356" s="113" t="s">
        <v>314</v>
      </c>
      <c r="H356" s="114">
        <v>5</v>
      </c>
      <c r="I356" s="115">
        <v>0</v>
      </c>
      <c r="J356" s="115">
        <f>ROUND(I356*H356,2)</f>
        <v>0</v>
      </c>
      <c r="K356" s="112" t="s">
        <v>107</v>
      </c>
      <c r="L356" s="28"/>
      <c r="M356" s="116"/>
      <c r="N356" s="117"/>
      <c r="O356" s="118"/>
      <c r="P356" s="118"/>
      <c r="Q356" s="118"/>
      <c r="R356" s="118"/>
      <c r="S356" s="118"/>
      <c r="T356" s="119"/>
      <c r="V356" s="424">
        <v>1</v>
      </c>
      <c r="W356" s="414">
        <v>5</v>
      </c>
      <c r="AQ356" s="120" t="s">
        <v>108</v>
      </c>
      <c r="AS356" s="120" t="s">
        <v>103</v>
      </c>
      <c r="AT356" s="120" t="s">
        <v>65</v>
      </c>
      <c r="AX356" s="17" t="s">
        <v>101</v>
      </c>
      <c r="BD356" s="121">
        <f>IF(N356="základní",J356,0)</f>
        <v>0</v>
      </c>
      <c r="BE356" s="121">
        <f>IF(N356="snížená",J356,0)</f>
        <v>0</v>
      </c>
      <c r="BF356" s="121">
        <f>IF(N356="zákl. přenesená",J356,0)</f>
        <v>0</v>
      </c>
      <c r="BG356" s="121">
        <f>IF(N356="sníž. přenesená",J356,0)</f>
        <v>0</v>
      </c>
      <c r="BH356" s="121">
        <f>IF(N356="nulová",J356,0)</f>
        <v>0</v>
      </c>
      <c r="BI356" s="17" t="s">
        <v>63</v>
      </c>
      <c r="BJ356" s="121">
        <f>ROUND(I356*H356,2)</f>
        <v>0</v>
      </c>
      <c r="BK356" s="17" t="s">
        <v>108</v>
      </c>
      <c r="BL356" s="120" t="s">
        <v>971</v>
      </c>
    </row>
    <row r="357" spans="2:64" s="1" customFormat="1" x14ac:dyDescent="0.2">
      <c r="B357" s="28"/>
      <c r="D357" s="122" t="s">
        <v>110</v>
      </c>
      <c r="F357" s="412" t="s">
        <v>972</v>
      </c>
      <c r="L357" s="28"/>
      <c r="M357" s="124"/>
      <c r="T357" s="48"/>
      <c r="V357" s="424"/>
      <c r="W357" s="414"/>
      <c r="AS357" s="17" t="s">
        <v>110</v>
      </c>
      <c r="AT357" s="17" t="s">
        <v>65</v>
      </c>
    </row>
    <row r="358" spans="2:64" s="1" customFormat="1" ht="24.2" customHeight="1" x14ac:dyDescent="0.2">
      <c r="B358" s="109"/>
      <c r="C358" s="143" t="s">
        <v>597</v>
      </c>
      <c r="D358" s="143" t="s">
        <v>252</v>
      </c>
      <c r="E358" s="144" t="s">
        <v>973</v>
      </c>
      <c r="F358" s="145" t="s">
        <v>974</v>
      </c>
      <c r="G358" s="146" t="s">
        <v>314</v>
      </c>
      <c r="H358" s="147">
        <v>5</v>
      </c>
      <c r="I358" s="148">
        <v>0</v>
      </c>
      <c r="J358" s="148">
        <f>ROUND(I358*H358,2)</f>
        <v>0</v>
      </c>
      <c r="K358" s="145" t="s">
        <v>107</v>
      </c>
      <c r="L358" s="149"/>
      <c r="M358" s="150"/>
      <c r="N358" s="151"/>
      <c r="O358" s="118"/>
      <c r="P358" s="118"/>
      <c r="Q358" s="118"/>
      <c r="R358" s="118"/>
      <c r="S358" s="118"/>
      <c r="T358" s="119"/>
      <c r="V358" s="424">
        <v>1</v>
      </c>
      <c r="W358" s="414">
        <v>5</v>
      </c>
      <c r="AQ358" s="120" t="s">
        <v>171</v>
      </c>
      <c r="AS358" s="120" t="s">
        <v>252</v>
      </c>
      <c r="AT358" s="120" t="s">
        <v>65</v>
      </c>
      <c r="AX358" s="17" t="s">
        <v>101</v>
      </c>
      <c r="BD358" s="121">
        <f>IF(N358="základní",J358,0)</f>
        <v>0</v>
      </c>
      <c r="BE358" s="121">
        <f>IF(N358="snížená",J358,0)</f>
        <v>0</v>
      </c>
      <c r="BF358" s="121">
        <f>IF(N358="zákl. přenesená",J358,0)</f>
        <v>0</v>
      </c>
      <c r="BG358" s="121">
        <f>IF(N358="sníž. přenesená",J358,0)</f>
        <v>0</v>
      </c>
      <c r="BH358" s="121">
        <f>IF(N358="nulová",J358,0)</f>
        <v>0</v>
      </c>
      <c r="BI358" s="17" t="s">
        <v>63</v>
      </c>
      <c r="BJ358" s="121">
        <f>ROUND(I358*H358,2)</f>
        <v>0</v>
      </c>
      <c r="BK358" s="17" t="s">
        <v>108</v>
      </c>
      <c r="BL358" s="120" t="s">
        <v>975</v>
      </c>
    </row>
    <row r="359" spans="2:64" s="1" customFormat="1" ht="21.75" customHeight="1" x14ac:dyDescent="0.2">
      <c r="B359" s="109"/>
      <c r="C359" s="143" t="s">
        <v>602</v>
      </c>
      <c r="D359" s="143" t="s">
        <v>252</v>
      </c>
      <c r="E359" s="144" t="s">
        <v>539</v>
      </c>
      <c r="F359" s="145" t="s">
        <v>540</v>
      </c>
      <c r="G359" s="146" t="s">
        <v>314</v>
      </c>
      <c r="H359" s="147">
        <v>5</v>
      </c>
      <c r="I359" s="148">
        <v>0</v>
      </c>
      <c r="J359" s="148">
        <f>ROUND(I359*H359,2)</f>
        <v>0</v>
      </c>
      <c r="K359" s="145" t="s">
        <v>107</v>
      </c>
      <c r="L359" s="149"/>
      <c r="M359" s="150"/>
      <c r="N359" s="151"/>
      <c r="O359" s="118"/>
      <c r="P359" s="118"/>
      <c r="Q359" s="118"/>
      <c r="R359" s="118"/>
      <c r="S359" s="118"/>
      <c r="T359" s="119"/>
      <c r="V359" s="424">
        <v>1</v>
      </c>
      <c r="W359" s="414">
        <v>5</v>
      </c>
      <c r="AQ359" s="120" t="s">
        <v>171</v>
      </c>
      <c r="AS359" s="120" t="s">
        <v>252</v>
      </c>
      <c r="AT359" s="120" t="s">
        <v>65</v>
      </c>
      <c r="AX359" s="17" t="s">
        <v>101</v>
      </c>
      <c r="BD359" s="121">
        <f>IF(N359="základní",J359,0)</f>
        <v>0</v>
      </c>
      <c r="BE359" s="121">
        <f>IF(N359="snížená",J359,0)</f>
        <v>0</v>
      </c>
      <c r="BF359" s="121">
        <f>IF(N359="zákl. přenesená",J359,0)</f>
        <v>0</v>
      </c>
      <c r="BG359" s="121">
        <f>IF(N359="sníž. přenesená",J359,0)</f>
        <v>0</v>
      </c>
      <c r="BH359" s="121">
        <f>IF(N359="nulová",J359,0)</f>
        <v>0</v>
      </c>
      <c r="BI359" s="17" t="s">
        <v>63</v>
      </c>
      <c r="BJ359" s="121">
        <f>ROUND(I359*H359,2)</f>
        <v>0</v>
      </c>
      <c r="BK359" s="17" t="s">
        <v>108</v>
      </c>
      <c r="BL359" s="120" t="s">
        <v>976</v>
      </c>
    </row>
    <row r="360" spans="2:64" s="1" customFormat="1" ht="16.5" customHeight="1" x14ac:dyDescent="0.2">
      <c r="B360" s="109"/>
      <c r="C360" s="110" t="s">
        <v>606</v>
      </c>
      <c r="D360" s="110" t="s">
        <v>103</v>
      </c>
      <c r="E360" s="111" t="s">
        <v>558</v>
      </c>
      <c r="F360" s="112" t="s">
        <v>559</v>
      </c>
      <c r="G360" s="113" t="s">
        <v>106</v>
      </c>
      <c r="H360" s="114">
        <f>61.9*0.82</f>
        <v>50.757999999999996</v>
      </c>
      <c r="I360" s="115">
        <v>0</v>
      </c>
      <c r="J360" s="115">
        <f>ROUND(I360*H360,2)</f>
        <v>0</v>
      </c>
      <c r="K360" s="112" t="s">
        <v>107</v>
      </c>
      <c r="L360" s="28"/>
      <c r="M360" s="116"/>
      <c r="N360" s="117"/>
      <c r="O360" s="118"/>
      <c r="P360" s="118"/>
      <c r="Q360" s="118"/>
      <c r="R360" s="118"/>
      <c r="S360" s="118"/>
      <c r="T360" s="119"/>
      <c r="V360" s="424"/>
      <c r="W360" s="414"/>
      <c r="AQ360" s="120" t="s">
        <v>108</v>
      </c>
      <c r="AS360" s="120" t="s">
        <v>103</v>
      </c>
      <c r="AT360" s="120" t="s">
        <v>65</v>
      </c>
      <c r="AX360" s="17" t="s">
        <v>101</v>
      </c>
      <c r="BD360" s="121">
        <f>IF(N360="základní",J360,0)</f>
        <v>0</v>
      </c>
      <c r="BE360" s="121">
        <f>IF(N360="snížená",J360,0)</f>
        <v>0</v>
      </c>
      <c r="BF360" s="121">
        <f>IF(N360="zákl. přenesená",J360,0)</f>
        <v>0</v>
      </c>
      <c r="BG360" s="121">
        <f>IF(N360="sníž. přenesená",J360,0)</f>
        <v>0</v>
      </c>
      <c r="BH360" s="121">
        <f>IF(N360="nulová",J360,0)</f>
        <v>0</v>
      </c>
      <c r="BI360" s="17" t="s">
        <v>63</v>
      </c>
      <c r="BJ360" s="121">
        <f>ROUND(I360*H360,2)</f>
        <v>0</v>
      </c>
      <c r="BK360" s="17" t="s">
        <v>108</v>
      </c>
      <c r="BL360" s="120" t="s">
        <v>977</v>
      </c>
    </row>
    <row r="361" spans="2:64" s="1" customFormat="1" x14ac:dyDescent="0.2">
      <c r="B361" s="28"/>
      <c r="D361" s="122" t="s">
        <v>110</v>
      </c>
      <c r="F361" s="412" t="s">
        <v>561</v>
      </c>
      <c r="L361" s="28"/>
      <c r="M361" s="124"/>
      <c r="T361" s="48"/>
      <c r="V361" s="424"/>
      <c r="W361" s="414"/>
      <c r="AS361" s="17" t="s">
        <v>110</v>
      </c>
      <c r="AT361" s="17" t="s">
        <v>65</v>
      </c>
    </row>
    <row r="362" spans="2:64" s="13" customFormat="1" x14ac:dyDescent="0.2">
      <c r="B362" s="131"/>
      <c r="D362" s="126" t="s">
        <v>112</v>
      </c>
      <c r="E362" s="132" t="s">
        <v>1</v>
      </c>
      <c r="F362" s="133" t="s">
        <v>978</v>
      </c>
      <c r="H362" s="134">
        <v>43.5</v>
      </c>
      <c r="L362" s="131"/>
      <c r="M362" s="135"/>
      <c r="T362" s="136"/>
      <c r="V362" s="424"/>
      <c r="W362" s="421"/>
      <c r="AS362" s="132" t="s">
        <v>112</v>
      </c>
      <c r="AT362" s="132" t="s">
        <v>65</v>
      </c>
      <c r="AU362" s="13" t="s">
        <v>65</v>
      </c>
      <c r="AV362" s="13" t="s">
        <v>30</v>
      </c>
      <c r="AW362" s="13" t="s">
        <v>55</v>
      </c>
      <c r="AX362" s="132" t="s">
        <v>101</v>
      </c>
    </row>
    <row r="363" spans="2:64" s="13" customFormat="1" x14ac:dyDescent="0.2">
      <c r="B363" s="131"/>
      <c r="D363" s="126" t="s">
        <v>112</v>
      </c>
      <c r="E363" s="132" t="s">
        <v>1</v>
      </c>
      <c r="F363" s="133" t="s">
        <v>979</v>
      </c>
      <c r="H363" s="134">
        <v>18.399999999999999</v>
      </c>
      <c r="L363" s="131"/>
      <c r="M363" s="135"/>
      <c r="T363" s="136"/>
      <c r="V363" s="424"/>
      <c r="W363" s="421"/>
      <c r="AS363" s="132" t="s">
        <v>112</v>
      </c>
      <c r="AT363" s="132" t="s">
        <v>65</v>
      </c>
      <c r="AU363" s="13" t="s">
        <v>65</v>
      </c>
      <c r="AV363" s="13" t="s">
        <v>30</v>
      </c>
      <c r="AW363" s="13" t="s">
        <v>55</v>
      </c>
      <c r="AX363" s="132" t="s">
        <v>101</v>
      </c>
    </row>
    <row r="364" spans="2:64" s="14" customFormat="1" x14ac:dyDescent="0.2">
      <c r="B364" s="137"/>
      <c r="D364" s="126" t="s">
        <v>112</v>
      </c>
      <c r="E364" s="138" t="s">
        <v>1</v>
      </c>
      <c r="F364" s="139" t="s">
        <v>127</v>
      </c>
      <c r="H364" s="140">
        <v>61.9</v>
      </c>
      <c r="L364" s="137"/>
      <c r="M364" s="141"/>
      <c r="T364" s="142"/>
      <c r="V364" s="424"/>
      <c r="W364" s="422"/>
      <c r="AS364" s="138" t="s">
        <v>112</v>
      </c>
      <c r="AT364" s="138" t="s">
        <v>65</v>
      </c>
      <c r="AU364" s="14" t="s">
        <v>108</v>
      </c>
      <c r="AV364" s="14" t="s">
        <v>30</v>
      </c>
      <c r="AW364" s="14" t="s">
        <v>63</v>
      </c>
      <c r="AX364" s="138" t="s">
        <v>101</v>
      </c>
    </row>
    <row r="365" spans="2:64" s="14" customFormat="1" x14ac:dyDescent="0.2">
      <c r="B365" s="137"/>
      <c r="D365" s="126"/>
      <c r="E365" s="138"/>
      <c r="F365" s="139" t="s">
        <v>1853</v>
      </c>
      <c r="H365" s="140">
        <f>H364*0.82</f>
        <v>50.757999999999996</v>
      </c>
      <c r="L365" s="137"/>
      <c r="M365" s="141"/>
      <c r="T365" s="142"/>
      <c r="V365" s="424"/>
      <c r="W365" s="422"/>
      <c r="AS365" s="138"/>
      <c r="AT365" s="138"/>
      <c r="AX365" s="138"/>
    </row>
    <row r="366" spans="2:64" s="1" customFormat="1" ht="21.75" customHeight="1" x14ac:dyDescent="0.2">
      <c r="B366" s="109"/>
      <c r="C366" s="110" t="s">
        <v>610</v>
      </c>
      <c r="D366" s="110" t="s">
        <v>103</v>
      </c>
      <c r="E366" s="111" t="s">
        <v>568</v>
      </c>
      <c r="F366" s="112" t="s">
        <v>569</v>
      </c>
      <c r="G366" s="113" t="s">
        <v>106</v>
      </c>
      <c r="H366" s="114">
        <f>377.1*0.82</f>
        <v>309.22199999999998</v>
      </c>
      <c r="I366" s="115">
        <v>0</v>
      </c>
      <c r="J366" s="115">
        <f>ROUND(I366*H366,2)</f>
        <v>0</v>
      </c>
      <c r="K366" s="112" t="s">
        <v>107</v>
      </c>
      <c r="L366" s="28"/>
      <c r="M366" s="116"/>
      <c r="N366" s="117"/>
      <c r="O366" s="118"/>
      <c r="P366" s="118"/>
      <c r="Q366" s="118"/>
      <c r="R366" s="118"/>
      <c r="S366" s="118"/>
      <c r="T366" s="119"/>
      <c r="V366" s="424"/>
      <c r="W366" s="414"/>
      <c r="AQ366" s="120" t="s">
        <v>108</v>
      </c>
      <c r="AS366" s="120" t="s">
        <v>103</v>
      </c>
      <c r="AT366" s="120" t="s">
        <v>65</v>
      </c>
      <c r="AX366" s="17" t="s">
        <v>101</v>
      </c>
      <c r="BD366" s="121">
        <f>IF(N366="základní",J366,0)</f>
        <v>0</v>
      </c>
      <c r="BE366" s="121">
        <f>IF(N366="snížená",J366,0)</f>
        <v>0</v>
      </c>
      <c r="BF366" s="121">
        <f>IF(N366="zákl. přenesená",J366,0)</f>
        <v>0</v>
      </c>
      <c r="BG366" s="121">
        <f>IF(N366="sníž. přenesená",J366,0)</f>
        <v>0</v>
      </c>
      <c r="BH366" s="121">
        <f>IF(N366="nulová",J366,0)</f>
        <v>0</v>
      </c>
      <c r="BI366" s="17" t="s">
        <v>63</v>
      </c>
      <c r="BJ366" s="121">
        <f>ROUND(I366*H366,2)</f>
        <v>0</v>
      </c>
      <c r="BK366" s="17" t="s">
        <v>108</v>
      </c>
      <c r="BL366" s="120" t="s">
        <v>980</v>
      </c>
    </row>
    <row r="367" spans="2:64" s="1" customFormat="1" x14ac:dyDescent="0.2">
      <c r="B367" s="28"/>
      <c r="D367" s="122" t="s">
        <v>110</v>
      </c>
      <c r="F367" s="412" t="s">
        <v>571</v>
      </c>
      <c r="L367" s="28"/>
      <c r="M367" s="124"/>
      <c r="T367" s="48"/>
      <c r="V367" s="424"/>
      <c r="W367" s="414"/>
      <c r="AS367" s="17" t="s">
        <v>110</v>
      </c>
      <c r="AT367" s="17" t="s">
        <v>65</v>
      </c>
    </row>
    <row r="368" spans="2:64" s="1" customFormat="1" ht="24.2" customHeight="1" x14ac:dyDescent="0.2">
      <c r="B368" s="109"/>
      <c r="C368" s="110" t="s">
        <v>615</v>
      </c>
      <c r="D368" s="110" t="s">
        <v>103</v>
      </c>
      <c r="E368" s="111" t="s">
        <v>981</v>
      </c>
      <c r="F368" s="112" t="s">
        <v>982</v>
      </c>
      <c r="G368" s="113" t="s">
        <v>314</v>
      </c>
      <c r="H368" s="114">
        <v>11</v>
      </c>
      <c r="I368" s="115">
        <v>0</v>
      </c>
      <c r="J368" s="115">
        <f>ROUND(I368*H368,2)</f>
        <v>0</v>
      </c>
      <c r="K368" s="112" t="s">
        <v>107</v>
      </c>
      <c r="L368" s="28"/>
      <c r="M368" s="116"/>
      <c r="N368" s="117"/>
      <c r="O368" s="118"/>
      <c r="P368" s="118"/>
      <c r="Q368" s="118"/>
      <c r="R368" s="118"/>
      <c r="S368" s="118"/>
      <c r="T368" s="119"/>
      <c r="V368" s="424">
        <v>3</v>
      </c>
      <c r="W368" s="414">
        <v>11</v>
      </c>
      <c r="AQ368" s="120" t="s">
        <v>108</v>
      </c>
      <c r="AS368" s="120" t="s">
        <v>103</v>
      </c>
      <c r="AT368" s="120" t="s">
        <v>65</v>
      </c>
      <c r="AX368" s="17" t="s">
        <v>101</v>
      </c>
      <c r="BD368" s="121">
        <f>IF(N368="základní",J368,0)</f>
        <v>0</v>
      </c>
      <c r="BE368" s="121">
        <f>IF(N368="snížená",J368,0)</f>
        <v>0</v>
      </c>
      <c r="BF368" s="121">
        <f>IF(N368="zákl. přenesená",J368,0)</f>
        <v>0</v>
      </c>
      <c r="BG368" s="121">
        <f>IF(N368="sníž. přenesená",J368,0)</f>
        <v>0</v>
      </c>
      <c r="BH368" s="121">
        <f>IF(N368="nulová",J368,0)</f>
        <v>0</v>
      </c>
      <c r="BI368" s="17" t="s">
        <v>63</v>
      </c>
      <c r="BJ368" s="121">
        <f>ROUND(I368*H368,2)</f>
        <v>0</v>
      </c>
      <c r="BK368" s="17" t="s">
        <v>108</v>
      </c>
      <c r="BL368" s="120" t="s">
        <v>983</v>
      </c>
    </row>
    <row r="369" spans="2:64" s="1" customFormat="1" x14ac:dyDescent="0.2">
      <c r="B369" s="28"/>
      <c r="D369" s="122" t="s">
        <v>110</v>
      </c>
      <c r="F369" s="412" t="s">
        <v>984</v>
      </c>
      <c r="L369" s="28"/>
      <c r="M369" s="124"/>
      <c r="T369" s="48"/>
      <c r="V369" s="424"/>
      <c r="W369" s="414"/>
      <c r="AS369" s="17" t="s">
        <v>110</v>
      </c>
      <c r="AT369" s="17" t="s">
        <v>65</v>
      </c>
    </row>
    <row r="370" spans="2:64" s="1" customFormat="1" ht="24.2" customHeight="1" x14ac:dyDescent="0.2">
      <c r="B370" s="109"/>
      <c r="C370" s="143" t="s">
        <v>620</v>
      </c>
      <c r="D370" s="143" t="s">
        <v>252</v>
      </c>
      <c r="E370" s="144" t="s">
        <v>985</v>
      </c>
      <c r="F370" s="145" t="s">
        <v>986</v>
      </c>
      <c r="G370" s="146" t="s">
        <v>314</v>
      </c>
      <c r="H370" s="147">
        <v>1</v>
      </c>
      <c r="I370" s="148">
        <v>0</v>
      </c>
      <c r="J370" s="148">
        <f>ROUND(I370*H370,2)</f>
        <v>0</v>
      </c>
      <c r="K370" s="145" t="s">
        <v>987</v>
      </c>
      <c r="L370" s="149"/>
      <c r="M370" s="150"/>
      <c r="N370" s="151"/>
      <c r="O370" s="118"/>
      <c r="P370" s="118"/>
      <c r="Q370" s="118"/>
      <c r="R370" s="118"/>
      <c r="S370" s="118"/>
      <c r="T370" s="119"/>
      <c r="V370" s="424">
        <v>1</v>
      </c>
      <c r="W370" s="414">
        <v>1</v>
      </c>
      <c r="AQ370" s="120" t="s">
        <v>171</v>
      </c>
      <c r="AS370" s="120" t="s">
        <v>252</v>
      </c>
      <c r="AT370" s="120" t="s">
        <v>65</v>
      </c>
      <c r="AX370" s="17" t="s">
        <v>101</v>
      </c>
      <c r="BD370" s="121">
        <f>IF(N370="základní",J370,0)</f>
        <v>0</v>
      </c>
      <c r="BE370" s="121">
        <f>IF(N370="snížená",J370,0)</f>
        <v>0</v>
      </c>
      <c r="BF370" s="121">
        <f>IF(N370="zákl. přenesená",J370,0)</f>
        <v>0</v>
      </c>
      <c r="BG370" s="121">
        <f>IF(N370="sníž. přenesená",J370,0)</f>
        <v>0</v>
      </c>
      <c r="BH370" s="121">
        <f>IF(N370="nulová",J370,0)</f>
        <v>0</v>
      </c>
      <c r="BI370" s="17" t="s">
        <v>63</v>
      </c>
      <c r="BJ370" s="121">
        <f>ROUND(I370*H370,2)</f>
        <v>0</v>
      </c>
      <c r="BK370" s="17" t="s">
        <v>108</v>
      </c>
      <c r="BL370" s="120" t="s">
        <v>988</v>
      </c>
    </row>
    <row r="371" spans="2:64" s="1" customFormat="1" ht="24.2" customHeight="1" x14ac:dyDescent="0.2">
      <c r="B371" s="109"/>
      <c r="C371" s="143" t="s">
        <v>632</v>
      </c>
      <c r="D371" s="143" t="s">
        <v>252</v>
      </c>
      <c r="E371" s="144" t="s">
        <v>992</v>
      </c>
      <c r="F371" s="145" t="s">
        <v>993</v>
      </c>
      <c r="G371" s="146" t="s">
        <v>314</v>
      </c>
      <c r="H371" s="147">
        <v>1</v>
      </c>
      <c r="I371" s="148">
        <v>0</v>
      </c>
      <c r="J371" s="148">
        <f>ROUND(I371*H371,2)</f>
        <v>0</v>
      </c>
      <c r="K371" s="145" t="s">
        <v>107</v>
      </c>
      <c r="L371" s="149"/>
      <c r="M371" s="150"/>
      <c r="N371" s="151"/>
      <c r="O371" s="118"/>
      <c r="P371" s="118"/>
      <c r="Q371" s="118"/>
      <c r="R371" s="118"/>
      <c r="S371" s="118"/>
      <c r="T371" s="119"/>
      <c r="V371" s="424">
        <v>1</v>
      </c>
      <c r="W371" s="414">
        <v>1</v>
      </c>
      <c r="AQ371" s="120" t="s">
        <v>171</v>
      </c>
      <c r="AS371" s="120" t="s">
        <v>252</v>
      </c>
      <c r="AT371" s="120" t="s">
        <v>65</v>
      </c>
      <c r="AX371" s="17" t="s">
        <v>101</v>
      </c>
      <c r="BD371" s="121">
        <f>IF(N371="základní",J371,0)</f>
        <v>0</v>
      </c>
      <c r="BE371" s="121">
        <f>IF(N371="snížená",J371,0)</f>
        <v>0</v>
      </c>
      <c r="BF371" s="121">
        <f>IF(N371="zákl. přenesená",J371,0)</f>
        <v>0</v>
      </c>
      <c r="BG371" s="121">
        <f>IF(N371="sníž. přenesená",J371,0)</f>
        <v>0</v>
      </c>
      <c r="BH371" s="121">
        <f>IF(N371="nulová",J371,0)</f>
        <v>0</v>
      </c>
      <c r="BI371" s="17" t="s">
        <v>63</v>
      </c>
      <c r="BJ371" s="121">
        <f>ROUND(I371*H371,2)</f>
        <v>0</v>
      </c>
      <c r="BK371" s="17" t="s">
        <v>108</v>
      </c>
      <c r="BL371" s="120" t="s">
        <v>994</v>
      </c>
    </row>
    <row r="372" spans="2:64" s="1" customFormat="1" ht="24.2" customHeight="1" x14ac:dyDescent="0.2">
      <c r="B372" s="109"/>
      <c r="C372" s="143" t="s">
        <v>641</v>
      </c>
      <c r="D372" s="143" t="s">
        <v>252</v>
      </c>
      <c r="E372" s="144" t="s">
        <v>995</v>
      </c>
      <c r="F372" s="145" t="s">
        <v>996</v>
      </c>
      <c r="G372" s="146" t="s">
        <v>314</v>
      </c>
      <c r="H372" s="147">
        <v>7</v>
      </c>
      <c r="I372" s="148">
        <v>0</v>
      </c>
      <c r="J372" s="148">
        <f>ROUND(I372*H372,2)</f>
        <v>0</v>
      </c>
      <c r="K372" s="145" t="s">
        <v>107</v>
      </c>
      <c r="L372" s="149"/>
      <c r="M372" s="150"/>
      <c r="N372" s="151"/>
      <c r="O372" s="118"/>
      <c r="P372" s="118"/>
      <c r="Q372" s="118"/>
      <c r="R372" s="118"/>
      <c r="S372" s="118"/>
      <c r="T372" s="119"/>
      <c r="V372" s="424">
        <v>2</v>
      </c>
      <c r="W372" s="414">
        <v>7</v>
      </c>
      <c r="AQ372" s="120" t="s">
        <v>171</v>
      </c>
      <c r="AS372" s="120" t="s">
        <v>252</v>
      </c>
      <c r="AT372" s="120" t="s">
        <v>65</v>
      </c>
      <c r="AX372" s="17" t="s">
        <v>101</v>
      </c>
      <c r="BD372" s="121">
        <f>IF(N372="základní",J372,0)</f>
        <v>0</v>
      </c>
      <c r="BE372" s="121">
        <f>IF(N372="snížená",J372,0)</f>
        <v>0</v>
      </c>
      <c r="BF372" s="121">
        <f>IF(N372="zákl. přenesená",J372,0)</f>
        <v>0</v>
      </c>
      <c r="BG372" s="121">
        <f>IF(N372="sníž. přenesená",J372,0)</f>
        <v>0</v>
      </c>
      <c r="BH372" s="121">
        <f>IF(N372="nulová",J372,0)</f>
        <v>0</v>
      </c>
      <c r="BI372" s="17" t="s">
        <v>63</v>
      </c>
      <c r="BJ372" s="121">
        <f>ROUND(I372*H372,2)</f>
        <v>0</v>
      </c>
      <c r="BK372" s="17" t="s">
        <v>108</v>
      </c>
      <c r="BL372" s="120" t="s">
        <v>997</v>
      </c>
    </row>
    <row r="373" spans="2:64" s="1" customFormat="1" ht="24.2" customHeight="1" x14ac:dyDescent="0.2">
      <c r="B373" s="109"/>
      <c r="C373" s="110" t="s">
        <v>998</v>
      </c>
      <c r="D373" s="110" t="s">
        <v>103</v>
      </c>
      <c r="E373" s="111" t="s">
        <v>999</v>
      </c>
      <c r="F373" s="112" t="s">
        <v>1000</v>
      </c>
      <c r="G373" s="113" t="s">
        <v>314</v>
      </c>
      <c r="H373" s="114">
        <v>3</v>
      </c>
      <c r="I373" s="115">
        <v>0</v>
      </c>
      <c r="J373" s="115">
        <f>ROUND(I373*H373,2)</f>
        <v>0</v>
      </c>
      <c r="K373" s="112" t="s">
        <v>107</v>
      </c>
      <c r="L373" s="28"/>
      <c r="M373" s="116"/>
      <c r="N373" s="117"/>
      <c r="O373" s="118"/>
      <c r="P373" s="118"/>
      <c r="Q373" s="118"/>
      <c r="R373" s="118"/>
      <c r="S373" s="118"/>
      <c r="T373" s="119"/>
      <c r="V373" s="424">
        <v>1</v>
      </c>
      <c r="W373" s="414">
        <v>3</v>
      </c>
      <c r="AQ373" s="120" t="s">
        <v>108</v>
      </c>
      <c r="AS373" s="120" t="s">
        <v>103</v>
      </c>
      <c r="AT373" s="120" t="s">
        <v>65</v>
      </c>
      <c r="AX373" s="17" t="s">
        <v>101</v>
      </c>
      <c r="BD373" s="121">
        <f>IF(N373="základní",J373,0)</f>
        <v>0</v>
      </c>
      <c r="BE373" s="121">
        <f>IF(N373="snížená",J373,0)</f>
        <v>0</v>
      </c>
      <c r="BF373" s="121">
        <f>IF(N373="zákl. přenesená",J373,0)</f>
        <v>0</v>
      </c>
      <c r="BG373" s="121">
        <f>IF(N373="sníž. přenesená",J373,0)</f>
        <v>0</v>
      </c>
      <c r="BH373" s="121">
        <f>IF(N373="nulová",J373,0)</f>
        <v>0</v>
      </c>
      <c r="BI373" s="17" t="s">
        <v>63</v>
      </c>
      <c r="BJ373" s="121">
        <f>ROUND(I373*H373,2)</f>
        <v>0</v>
      </c>
      <c r="BK373" s="17" t="s">
        <v>108</v>
      </c>
      <c r="BL373" s="120" t="s">
        <v>1001</v>
      </c>
    </row>
    <row r="374" spans="2:64" s="1" customFormat="1" x14ac:dyDescent="0.2">
      <c r="B374" s="28"/>
      <c r="D374" s="122" t="s">
        <v>110</v>
      </c>
      <c r="F374" s="412" t="s">
        <v>1002</v>
      </c>
      <c r="L374" s="28"/>
      <c r="M374" s="124"/>
      <c r="T374" s="48"/>
      <c r="V374" s="424"/>
      <c r="W374" s="414"/>
      <c r="AS374" s="17" t="s">
        <v>110</v>
      </c>
      <c r="AT374" s="17" t="s">
        <v>65</v>
      </c>
    </row>
    <row r="375" spans="2:64" s="1" customFormat="1" ht="24.2" customHeight="1" x14ac:dyDescent="0.2">
      <c r="B375" s="109"/>
      <c r="C375" s="143" t="s">
        <v>1007</v>
      </c>
      <c r="D375" s="143" t="s">
        <v>252</v>
      </c>
      <c r="E375" s="144" t="s">
        <v>1008</v>
      </c>
      <c r="F375" s="145" t="s">
        <v>1009</v>
      </c>
      <c r="G375" s="146" t="s">
        <v>314</v>
      </c>
      <c r="H375" s="147">
        <v>1</v>
      </c>
      <c r="I375" s="148">
        <v>0</v>
      </c>
      <c r="J375" s="148">
        <f>ROUND(I375*H375,2)</f>
        <v>0</v>
      </c>
      <c r="K375" s="145" t="s">
        <v>1</v>
      </c>
      <c r="L375" s="149"/>
      <c r="M375" s="150"/>
      <c r="N375" s="151"/>
      <c r="O375" s="118"/>
      <c r="P375" s="118"/>
      <c r="Q375" s="118"/>
      <c r="R375" s="118"/>
      <c r="S375" s="118"/>
      <c r="T375" s="119"/>
      <c r="V375" s="424"/>
      <c r="W375" s="414"/>
      <c r="AQ375" s="120" t="s">
        <v>171</v>
      </c>
      <c r="AS375" s="120" t="s">
        <v>252</v>
      </c>
      <c r="AT375" s="120" t="s">
        <v>65</v>
      </c>
      <c r="AX375" s="17" t="s">
        <v>101</v>
      </c>
      <c r="BD375" s="121">
        <f>IF(N375="základní",J375,0)</f>
        <v>0</v>
      </c>
      <c r="BE375" s="121">
        <f>IF(N375="snížená",J375,0)</f>
        <v>0</v>
      </c>
      <c r="BF375" s="121">
        <f>IF(N375="zákl. přenesená",J375,0)</f>
        <v>0</v>
      </c>
      <c r="BG375" s="121">
        <f>IF(N375="sníž. přenesená",J375,0)</f>
        <v>0</v>
      </c>
      <c r="BH375" s="121">
        <f>IF(N375="nulová",J375,0)</f>
        <v>0</v>
      </c>
      <c r="BI375" s="17" t="s">
        <v>63</v>
      </c>
      <c r="BJ375" s="121">
        <f>ROUND(I375*H375,2)</f>
        <v>0</v>
      </c>
      <c r="BK375" s="17" t="s">
        <v>108</v>
      </c>
      <c r="BL375" s="120" t="s">
        <v>1010</v>
      </c>
    </row>
    <row r="376" spans="2:64" s="1" customFormat="1" ht="16.5" customHeight="1" x14ac:dyDescent="0.2">
      <c r="B376" s="109"/>
      <c r="C376" s="143" t="s">
        <v>1011</v>
      </c>
      <c r="D376" s="143" t="s">
        <v>252</v>
      </c>
      <c r="E376" s="144" t="s">
        <v>1012</v>
      </c>
      <c r="F376" s="145" t="s">
        <v>1013</v>
      </c>
      <c r="G376" s="146" t="s">
        <v>314</v>
      </c>
      <c r="H376" s="147">
        <v>1</v>
      </c>
      <c r="I376" s="148">
        <v>0</v>
      </c>
      <c r="J376" s="148">
        <f>ROUND(I376*H376,2)</f>
        <v>0</v>
      </c>
      <c r="K376" s="145" t="s">
        <v>1</v>
      </c>
      <c r="L376" s="149"/>
      <c r="M376" s="150"/>
      <c r="N376" s="151"/>
      <c r="O376" s="118"/>
      <c r="P376" s="118"/>
      <c r="Q376" s="118"/>
      <c r="R376" s="118"/>
      <c r="S376" s="118"/>
      <c r="T376" s="119"/>
      <c r="V376" s="424">
        <v>1</v>
      </c>
      <c r="W376" s="414">
        <v>1</v>
      </c>
      <c r="AQ376" s="120" t="s">
        <v>171</v>
      </c>
      <c r="AS376" s="120" t="s">
        <v>252</v>
      </c>
      <c r="AT376" s="120" t="s">
        <v>65</v>
      </c>
      <c r="AX376" s="17" t="s">
        <v>101</v>
      </c>
      <c r="BD376" s="121">
        <f>IF(N376="základní",J376,0)</f>
        <v>0</v>
      </c>
      <c r="BE376" s="121">
        <f>IF(N376="snížená",J376,0)</f>
        <v>0</v>
      </c>
      <c r="BF376" s="121">
        <f>IF(N376="zákl. přenesená",J376,0)</f>
        <v>0</v>
      </c>
      <c r="BG376" s="121">
        <f>IF(N376="sníž. přenesená",J376,0)</f>
        <v>0</v>
      </c>
      <c r="BH376" s="121">
        <f>IF(N376="nulová",J376,0)</f>
        <v>0</v>
      </c>
      <c r="BI376" s="17" t="s">
        <v>63</v>
      </c>
      <c r="BJ376" s="121">
        <f>ROUND(I376*H376,2)</f>
        <v>0</v>
      </c>
      <c r="BK376" s="17" t="s">
        <v>108</v>
      </c>
      <c r="BL376" s="120" t="s">
        <v>1014</v>
      </c>
    </row>
    <row r="377" spans="2:64" s="1" customFormat="1" ht="24.2" customHeight="1" x14ac:dyDescent="0.2">
      <c r="B377" s="109"/>
      <c r="C377" s="110" t="s">
        <v>1015</v>
      </c>
      <c r="D377" s="110" t="s">
        <v>103</v>
      </c>
      <c r="E377" s="111" t="s">
        <v>1016</v>
      </c>
      <c r="F377" s="112" t="s">
        <v>1017</v>
      </c>
      <c r="G377" s="113" t="s">
        <v>314</v>
      </c>
      <c r="H377" s="114">
        <v>3</v>
      </c>
      <c r="I377" s="115">
        <v>0</v>
      </c>
      <c r="J377" s="115">
        <f>ROUND(I377*H377,2)</f>
        <v>0</v>
      </c>
      <c r="K377" s="112" t="s">
        <v>107</v>
      </c>
      <c r="L377" s="28"/>
      <c r="M377" s="116"/>
      <c r="N377" s="117"/>
      <c r="O377" s="118"/>
      <c r="P377" s="118"/>
      <c r="Q377" s="118"/>
      <c r="R377" s="118"/>
      <c r="S377" s="118"/>
      <c r="T377" s="119"/>
      <c r="V377" s="424">
        <v>1</v>
      </c>
      <c r="W377" s="414">
        <v>3</v>
      </c>
      <c r="AQ377" s="120" t="s">
        <v>108</v>
      </c>
      <c r="AS377" s="120" t="s">
        <v>103</v>
      </c>
      <c r="AT377" s="120" t="s">
        <v>65</v>
      </c>
      <c r="AX377" s="17" t="s">
        <v>101</v>
      </c>
      <c r="BD377" s="121">
        <f>IF(N377="základní",J377,0)</f>
        <v>0</v>
      </c>
      <c r="BE377" s="121">
        <f>IF(N377="snížená",J377,0)</f>
        <v>0</v>
      </c>
      <c r="BF377" s="121">
        <f>IF(N377="zákl. přenesená",J377,0)</f>
        <v>0</v>
      </c>
      <c r="BG377" s="121">
        <f>IF(N377="sníž. přenesená",J377,0)</f>
        <v>0</v>
      </c>
      <c r="BH377" s="121">
        <f>IF(N377="nulová",J377,0)</f>
        <v>0</v>
      </c>
      <c r="BI377" s="17" t="s">
        <v>63</v>
      </c>
      <c r="BJ377" s="121">
        <f>ROUND(I377*H377,2)</f>
        <v>0</v>
      </c>
      <c r="BK377" s="17" t="s">
        <v>108</v>
      </c>
      <c r="BL377" s="120" t="s">
        <v>1018</v>
      </c>
    </row>
    <row r="378" spans="2:64" s="1" customFormat="1" x14ac:dyDescent="0.2">
      <c r="B378" s="28"/>
      <c r="D378" s="122" t="s">
        <v>110</v>
      </c>
      <c r="F378" s="412" t="s">
        <v>1019</v>
      </c>
      <c r="L378" s="28"/>
      <c r="M378" s="124"/>
      <c r="T378" s="48"/>
      <c r="V378" s="424"/>
      <c r="W378" s="414"/>
      <c r="AS378" s="17" t="s">
        <v>110</v>
      </c>
      <c r="AT378" s="17" t="s">
        <v>65</v>
      </c>
    </row>
    <row r="379" spans="2:64" s="1" customFormat="1" ht="16.5" customHeight="1" x14ac:dyDescent="0.2">
      <c r="B379" s="109"/>
      <c r="C379" s="143" t="s">
        <v>1020</v>
      </c>
      <c r="D379" s="143" t="s">
        <v>252</v>
      </c>
      <c r="E379" s="144" t="s">
        <v>1021</v>
      </c>
      <c r="F379" s="145" t="s">
        <v>1022</v>
      </c>
      <c r="G379" s="146" t="s">
        <v>314</v>
      </c>
      <c r="H379" s="147">
        <v>3</v>
      </c>
      <c r="I379" s="148">
        <v>0</v>
      </c>
      <c r="J379" s="148">
        <f>ROUND(I379*H379,2)</f>
        <v>0</v>
      </c>
      <c r="K379" s="145" t="s">
        <v>1</v>
      </c>
      <c r="L379" s="149"/>
      <c r="M379" s="150"/>
      <c r="N379" s="151"/>
      <c r="O379" s="118"/>
      <c r="P379" s="118"/>
      <c r="Q379" s="118"/>
      <c r="R379" s="118"/>
      <c r="S379" s="118"/>
      <c r="T379" s="119"/>
      <c r="V379" s="424">
        <v>1</v>
      </c>
      <c r="W379" s="414">
        <v>3</v>
      </c>
      <c r="AQ379" s="120" t="s">
        <v>171</v>
      </c>
      <c r="AS379" s="120" t="s">
        <v>252</v>
      </c>
      <c r="AT379" s="120" t="s">
        <v>65</v>
      </c>
      <c r="AX379" s="17" t="s">
        <v>101</v>
      </c>
      <c r="BD379" s="121">
        <f>IF(N379="základní",J379,0)</f>
        <v>0</v>
      </c>
      <c r="BE379" s="121">
        <f>IF(N379="snížená",J379,0)</f>
        <v>0</v>
      </c>
      <c r="BF379" s="121">
        <f>IF(N379="zákl. přenesená",J379,0)</f>
        <v>0</v>
      </c>
      <c r="BG379" s="121">
        <f>IF(N379="sníž. přenesená",J379,0)</f>
        <v>0</v>
      </c>
      <c r="BH379" s="121">
        <f>IF(N379="nulová",J379,0)</f>
        <v>0</v>
      </c>
      <c r="BI379" s="17" t="s">
        <v>63</v>
      </c>
      <c r="BJ379" s="121">
        <f>ROUND(I379*H379,2)</f>
        <v>0</v>
      </c>
      <c r="BK379" s="17" t="s">
        <v>108</v>
      </c>
      <c r="BL379" s="120" t="s">
        <v>1023</v>
      </c>
    </row>
    <row r="380" spans="2:64" s="1" customFormat="1" ht="37.9" customHeight="1" x14ac:dyDescent="0.2">
      <c r="B380" s="109"/>
      <c r="C380" s="110" t="s">
        <v>1024</v>
      </c>
      <c r="D380" s="110" t="s">
        <v>103</v>
      </c>
      <c r="E380" s="111" t="s">
        <v>1025</v>
      </c>
      <c r="F380" s="112" t="s">
        <v>1026</v>
      </c>
      <c r="G380" s="113" t="s">
        <v>314</v>
      </c>
      <c r="H380" s="114">
        <v>4</v>
      </c>
      <c r="I380" s="115">
        <v>0</v>
      </c>
      <c r="J380" s="115">
        <f>ROUND(I380*H380,2)</f>
        <v>0</v>
      </c>
      <c r="K380" s="112" t="s">
        <v>107</v>
      </c>
      <c r="L380" s="28"/>
      <c r="M380" s="116"/>
      <c r="N380" s="117"/>
      <c r="O380" s="118"/>
      <c r="P380" s="118"/>
      <c r="Q380" s="118"/>
      <c r="R380" s="118"/>
      <c r="S380" s="118"/>
      <c r="T380" s="119"/>
      <c r="V380" s="424">
        <v>1</v>
      </c>
      <c r="W380" s="414">
        <v>4</v>
      </c>
      <c r="AQ380" s="120" t="s">
        <v>108</v>
      </c>
      <c r="AS380" s="120" t="s">
        <v>103</v>
      </c>
      <c r="AT380" s="120" t="s">
        <v>65</v>
      </c>
      <c r="AX380" s="17" t="s">
        <v>101</v>
      </c>
      <c r="BD380" s="121">
        <f>IF(N380="základní",J380,0)</f>
        <v>0</v>
      </c>
      <c r="BE380" s="121">
        <f>IF(N380="snížená",J380,0)</f>
        <v>0</v>
      </c>
      <c r="BF380" s="121">
        <f>IF(N380="zákl. přenesená",J380,0)</f>
        <v>0</v>
      </c>
      <c r="BG380" s="121">
        <f>IF(N380="sníž. přenesená",J380,0)</f>
        <v>0</v>
      </c>
      <c r="BH380" s="121">
        <f>IF(N380="nulová",J380,0)</f>
        <v>0</v>
      </c>
      <c r="BI380" s="17" t="s">
        <v>63</v>
      </c>
      <c r="BJ380" s="121">
        <f>ROUND(I380*H380,2)</f>
        <v>0</v>
      </c>
      <c r="BK380" s="17" t="s">
        <v>108</v>
      </c>
      <c r="BL380" s="120" t="s">
        <v>1027</v>
      </c>
    </row>
    <row r="381" spans="2:64" s="1" customFormat="1" x14ac:dyDescent="0.2">
      <c r="B381" s="28"/>
      <c r="D381" s="122" t="s">
        <v>110</v>
      </c>
      <c r="F381" s="412" t="s">
        <v>1028</v>
      </c>
      <c r="L381" s="28"/>
      <c r="M381" s="124"/>
      <c r="T381" s="48"/>
      <c r="V381" s="424"/>
      <c r="W381" s="414"/>
      <c r="AS381" s="17" t="s">
        <v>110</v>
      </c>
      <c r="AT381" s="17" t="s">
        <v>65</v>
      </c>
    </row>
    <row r="382" spans="2:64" s="1" customFormat="1" ht="33" customHeight="1" x14ac:dyDescent="0.2">
      <c r="B382" s="109"/>
      <c r="C382" s="143" t="s">
        <v>1029</v>
      </c>
      <c r="D382" s="143" t="s">
        <v>252</v>
      </c>
      <c r="E382" s="144" t="s">
        <v>1030</v>
      </c>
      <c r="F382" s="145" t="s">
        <v>1031</v>
      </c>
      <c r="G382" s="146" t="s">
        <v>314</v>
      </c>
      <c r="H382" s="147">
        <v>3</v>
      </c>
      <c r="I382" s="148">
        <v>0</v>
      </c>
      <c r="J382" s="148">
        <f>ROUND(I382*H382,2)</f>
        <v>0</v>
      </c>
      <c r="K382" s="145" t="s">
        <v>107</v>
      </c>
      <c r="L382" s="149"/>
      <c r="M382" s="150"/>
      <c r="N382" s="151"/>
      <c r="O382" s="118"/>
      <c r="P382" s="118"/>
      <c r="Q382" s="118"/>
      <c r="R382" s="118"/>
      <c r="S382" s="118"/>
      <c r="T382" s="119"/>
      <c r="V382" s="424">
        <v>1</v>
      </c>
      <c r="W382" s="414">
        <v>3</v>
      </c>
      <c r="AQ382" s="120" t="s">
        <v>171</v>
      </c>
      <c r="AS382" s="120" t="s">
        <v>252</v>
      </c>
      <c r="AT382" s="120" t="s">
        <v>65</v>
      </c>
      <c r="AX382" s="17" t="s">
        <v>101</v>
      </c>
      <c r="BD382" s="121">
        <f>IF(N382="základní",J382,0)</f>
        <v>0</v>
      </c>
      <c r="BE382" s="121">
        <f>IF(N382="snížená",J382,0)</f>
        <v>0</v>
      </c>
      <c r="BF382" s="121">
        <f>IF(N382="zákl. přenesená",J382,0)</f>
        <v>0</v>
      </c>
      <c r="BG382" s="121">
        <f>IF(N382="sníž. přenesená",J382,0)</f>
        <v>0</v>
      </c>
      <c r="BH382" s="121">
        <f>IF(N382="nulová",J382,0)</f>
        <v>0</v>
      </c>
      <c r="BI382" s="17" t="s">
        <v>63</v>
      </c>
      <c r="BJ382" s="121">
        <f>ROUND(I382*H382,2)</f>
        <v>0</v>
      </c>
      <c r="BK382" s="17" t="s">
        <v>108</v>
      </c>
      <c r="BL382" s="120" t="s">
        <v>1032</v>
      </c>
    </row>
    <row r="383" spans="2:64" s="1" customFormat="1" ht="16.5" customHeight="1" x14ac:dyDescent="0.2">
      <c r="B383" s="109"/>
      <c r="C383" s="110" t="s">
        <v>1037</v>
      </c>
      <c r="D383" s="110" t="s">
        <v>103</v>
      </c>
      <c r="E383" s="111" t="s">
        <v>585</v>
      </c>
      <c r="F383" s="112" t="s">
        <v>586</v>
      </c>
      <c r="G383" s="113" t="s">
        <v>314</v>
      </c>
      <c r="H383" s="114">
        <v>7</v>
      </c>
      <c r="I383" s="115">
        <v>0</v>
      </c>
      <c r="J383" s="115">
        <f>ROUND(I383*H383,2)</f>
        <v>0</v>
      </c>
      <c r="K383" s="112" t="s">
        <v>107</v>
      </c>
      <c r="L383" s="28"/>
      <c r="M383" s="116"/>
      <c r="N383" s="117"/>
      <c r="O383" s="118"/>
      <c r="P383" s="118"/>
      <c r="Q383" s="118"/>
      <c r="R383" s="118"/>
      <c r="S383" s="118"/>
      <c r="T383" s="119"/>
      <c r="V383" s="424">
        <v>2</v>
      </c>
      <c r="W383" s="414">
        <v>7</v>
      </c>
      <c r="AQ383" s="120" t="s">
        <v>108</v>
      </c>
      <c r="AS383" s="120" t="s">
        <v>103</v>
      </c>
      <c r="AT383" s="120" t="s">
        <v>65</v>
      </c>
      <c r="AX383" s="17" t="s">
        <v>101</v>
      </c>
      <c r="BD383" s="121">
        <f>IF(N383="základní",J383,0)</f>
        <v>0</v>
      </c>
      <c r="BE383" s="121">
        <f>IF(N383="snížená",J383,0)</f>
        <v>0</v>
      </c>
      <c r="BF383" s="121">
        <f>IF(N383="zákl. přenesená",J383,0)</f>
        <v>0</v>
      </c>
      <c r="BG383" s="121">
        <f>IF(N383="sníž. přenesená",J383,0)</f>
        <v>0</v>
      </c>
      <c r="BH383" s="121">
        <f>IF(N383="nulová",J383,0)</f>
        <v>0</v>
      </c>
      <c r="BI383" s="17" t="s">
        <v>63</v>
      </c>
      <c r="BJ383" s="121">
        <f>ROUND(I383*H383,2)</f>
        <v>0</v>
      </c>
      <c r="BK383" s="17" t="s">
        <v>108</v>
      </c>
      <c r="BL383" s="120" t="s">
        <v>1038</v>
      </c>
    </row>
    <row r="384" spans="2:64" s="1" customFormat="1" x14ac:dyDescent="0.2">
      <c r="B384" s="28"/>
      <c r="D384" s="122" t="s">
        <v>110</v>
      </c>
      <c r="F384" s="412" t="s">
        <v>588</v>
      </c>
      <c r="L384" s="28"/>
      <c r="M384" s="124"/>
      <c r="T384" s="48"/>
      <c r="V384" s="424"/>
      <c r="W384" s="414"/>
      <c r="AS384" s="17" t="s">
        <v>110</v>
      </c>
      <c r="AT384" s="17" t="s">
        <v>65</v>
      </c>
    </row>
    <row r="385" spans="2:64" s="1" customFormat="1" ht="24.2" customHeight="1" x14ac:dyDescent="0.2">
      <c r="B385" s="109"/>
      <c r="C385" s="143" t="s">
        <v>1039</v>
      </c>
      <c r="D385" s="143" t="s">
        <v>252</v>
      </c>
      <c r="E385" s="144" t="s">
        <v>590</v>
      </c>
      <c r="F385" s="145" t="s">
        <v>591</v>
      </c>
      <c r="G385" s="146" t="s">
        <v>314</v>
      </c>
      <c r="H385" s="147">
        <v>7</v>
      </c>
      <c r="I385" s="148">
        <v>0</v>
      </c>
      <c r="J385" s="148">
        <f>ROUND(I385*H385,2)</f>
        <v>0</v>
      </c>
      <c r="K385" s="145" t="s">
        <v>107</v>
      </c>
      <c r="L385" s="149"/>
      <c r="M385" s="150"/>
      <c r="N385" s="151"/>
      <c r="O385" s="118"/>
      <c r="P385" s="118"/>
      <c r="Q385" s="118"/>
      <c r="R385" s="118"/>
      <c r="S385" s="118"/>
      <c r="T385" s="119"/>
      <c r="V385" s="424">
        <v>2</v>
      </c>
      <c r="W385" s="414">
        <v>7</v>
      </c>
      <c r="AQ385" s="120" t="s">
        <v>171</v>
      </c>
      <c r="AS385" s="120" t="s">
        <v>252</v>
      </c>
      <c r="AT385" s="120" t="s">
        <v>65</v>
      </c>
      <c r="AX385" s="17" t="s">
        <v>101</v>
      </c>
      <c r="BD385" s="121">
        <f>IF(N385="základní",J385,0)</f>
        <v>0</v>
      </c>
      <c r="BE385" s="121">
        <f>IF(N385="snížená",J385,0)</f>
        <v>0</v>
      </c>
      <c r="BF385" s="121">
        <f>IF(N385="zákl. přenesená",J385,0)</f>
        <v>0</v>
      </c>
      <c r="BG385" s="121">
        <f>IF(N385="sníž. přenesená",J385,0)</f>
        <v>0</v>
      </c>
      <c r="BH385" s="121">
        <f>IF(N385="nulová",J385,0)</f>
        <v>0</v>
      </c>
      <c r="BI385" s="17" t="s">
        <v>63</v>
      </c>
      <c r="BJ385" s="121">
        <f>ROUND(I385*H385,2)</f>
        <v>0</v>
      </c>
      <c r="BK385" s="17" t="s">
        <v>108</v>
      </c>
      <c r="BL385" s="120" t="s">
        <v>1040</v>
      </c>
    </row>
    <row r="386" spans="2:64" s="13" customFormat="1" ht="22.5" x14ac:dyDescent="0.2">
      <c r="B386" s="131"/>
      <c r="D386" s="126" t="s">
        <v>112</v>
      </c>
      <c r="E386" s="132" t="s">
        <v>1</v>
      </c>
      <c r="F386" s="133" t="s">
        <v>1041</v>
      </c>
      <c r="H386" s="134">
        <v>7</v>
      </c>
      <c r="L386" s="131"/>
      <c r="M386" s="135"/>
      <c r="T386" s="136"/>
      <c r="V386" s="424"/>
      <c r="W386" s="421"/>
      <c r="AS386" s="132" t="s">
        <v>112</v>
      </c>
      <c r="AT386" s="132" t="s">
        <v>65</v>
      </c>
      <c r="AU386" s="13" t="s">
        <v>65</v>
      </c>
      <c r="AV386" s="13" t="s">
        <v>30</v>
      </c>
      <c r="AW386" s="13" t="s">
        <v>63</v>
      </c>
      <c r="AX386" s="132" t="s">
        <v>101</v>
      </c>
    </row>
    <row r="387" spans="2:64" s="1" customFormat="1" ht="24.2" customHeight="1" x14ac:dyDescent="0.2">
      <c r="B387" s="109"/>
      <c r="C387" s="143" t="s">
        <v>1042</v>
      </c>
      <c r="D387" s="143" t="s">
        <v>252</v>
      </c>
      <c r="E387" s="144" t="s">
        <v>594</v>
      </c>
      <c r="F387" s="145" t="s">
        <v>595</v>
      </c>
      <c r="G387" s="146" t="s">
        <v>314</v>
      </c>
      <c r="H387" s="147">
        <v>7</v>
      </c>
      <c r="I387" s="148">
        <v>0</v>
      </c>
      <c r="J387" s="148">
        <f>ROUND(I387*H387,2)</f>
        <v>0</v>
      </c>
      <c r="K387" s="145" t="s">
        <v>107</v>
      </c>
      <c r="L387" s="149"/>
      <c r="M387" s="150"/>
      <c r="N387" s="151"/>
      <c r="O387" s="118"/>
      <c r="P387" s="118"/>
      <c r="Q387" s="118"/>
      <c r="R387" s="118"/>
      <c r="S387" s="118"/>
      <c r="T387" s="119"/>
      <c r="V387" s="424">
        <v>2</v>
      </c>
      <c r="W387" s="414">
        <v>7</v>
      </c>
      <c r="AQ387" s="120" t="s">
        <v>171</v>
      </c>
      <c r="AS387" s="120" t="s">
        <v>252</v>
      </c>
      <c r="AT387" s="120" t="s">
        <v>65</v>
      </c>
      <c r="AX387" s="17" t="s">
        <v>101</v>
      </c>
      <c r="BD387" s="121">
        <f>IF(N387="základní",J387,0)</f>
        <v>0</v>
      </c>
      <c r="BE387" s="121">
        <f>IF(N387="snížená",J387,0)</f>
        <v>0</v>
      </c>
      <c r="BF387" s="121">
        <f>IF(N387="zákl. přenesená",J387,0)</f>
        <v>0</v>
      </c>
      <c r="BG387" s="121">
        <f>IF(N387="sníž. přenesená",J387,0)</f>
        <v>0</v>
      </c>
      <c r="BH387" s="121">
        <f>IF(N387="nulová",J387,0)</f>
        <v>0</v>
      </c>
      <c r="BI387" s="17" t="s">
        <v>63</v>
      </c>
      <c r="BJ387" s="121">
        <f>ROUND(I387*H387,2)</f>
        <v>0</v>
      </c>
      <c r="BK387" s="17" t="s">
        <v>108</v>
      </c>
      <c r="BL387" s="120" t="s">
        <v>1043</v>
      </c>
    </row>
    <row r="388" spans="2:64" s="1" customFormat="1" ht="33" customHeight="1" x14ac:dyDescent="0.2">
      <c r="B388" s="109"/>
      <c r="C388" s="110" t="s">
        <v>1044</v>
      </c>
      <c r="D388" s="110" t="s">
        <v>103</v>
      </c>
      <c r="E388" s="111" t="s">
        <v>611</v>
      </c>
      <c r="F388" s="112" t="s">
        <v>612</v>
      </c>
      <c r="G388" s="113" t="s">
        <v>314</v>
      </c>
      <c r="H388" s="114">
        <v>10</v>
      </c>
      <c r="I388" s="115">
        <v>0</v>
      </c>
      <c r="J388" s="115">
        <f>ROUND(I388*H388,2)</f>
        <v>0</v>
      </c>
      <c r="K388" s="112" t="s">
        <v>107</v>
      </c>
      <c r="L388" s="28"/>
      <c r="M388" s="116"/>
      <c r="N388" s="117"/>
      <c r="O388" s="118"/>
      <c r="P388" s="118"/>
      <c r="Q388" s="118"/>
      <c r="R388" s="118"/>
      <c r="S388" s="118"/>
      <c r="T388" s="119"/>
      <c r="V388" s="424">
        <v>2</v>
      </c>
      <c r="W388" s="414">
        <v>10</v>
      </c>
      <c r="AQ388" s="120" t="s">
        <v>108</v>
      </c>
      <c r="AS388" s="120" t="s">
        <v>103</v>
      </c>
      <c r="AT388" s="120" t="s">
        <v>65</v>
      </c>
      <c r="AX388" s="17" t="s">
        <v>101</v>
      </c>
      <c r="BD388" s="121">
        <f>IF(N388="základní",J388,0)</f>
        <v>0</v>
      </c>
      <c r="BE388" s="121">
        <f>IF(N388="snížená",J388,0)</f>
        <v>0</v>
      </c>
      <c r="BF388" s="121">
        <f>IF(N388="zákl. přenesená",J388,0)</f>
        <v>0</v>
      </c>
      <c r="BG388" s="121">
        <f>IF(N388="sníž. přenesená",J388,0)</f>
        <v>0</v>
      </c>
      <c r="BH388" s="121">
        <f>IF(N388="nulová",J388,0)</f>
        <v>0</v>
      </c>
      <c r="BI388" s="17" t="s">
        <v>63</v>
      </c>
      <c r="BJ388" s="121">
        <f>ROUND(I388*H388,2)</f>
        <v>0</v>
      </c>
      <c r="BK388" s="17" t="s">
        <v>108</v>
      </c>
      <c r="BL388" s="120" t="s">
        <v>1045</v>
      </c>
    </row>
    <row r="389" spans="2:64" s="1" customFormat="1" x14ac:dyDescent="0.2">
      <c r="B389" s="28"/>
      <c r="D389" s="122" t="s">
        <v>110</v>
      </c>
      <c r="F389" s="412" t="s">
        <v>614</v>
      </c>
      <c r="L389" s="28"/>
      <c r="M389" s="124"/>
      <c r="T389" s="48"/>
      <c r="V389" s="424"/>
      <c r="W389" s="414"/>
      <c r="AS389" s="17" t="s">
        <v>110</v>
      </c>
      <c r="AT389" s="17" t="s">
        <v>65</v>
      </c>
    </row>
    <row r="390" spans="2:64" s="1" customFormat="1" ht="16.5" customHeight="1" x14ac:dyDescent="0.2">
      <c r="B390" s="109"/>
      <c r="C390" s="110" t="s">
        <v>1046</v>
      </c>
      <c r="D390" s="110" t="s">
        <v>103</v>
      </c>
      <c r="E390" s="111" t="s">
        <v>616</v>
      </c>
      <c r="F390" s="112" t="s">
        <v>617</v>
      </c>
      <c r="G390" s="113" t="s">
        <v>106</v>
      </c>
      <c r="H390" s="114">
        <f>439*0.82</f>
        <v>359.97999999999996</v>
      </c>
      <c r="I390" s="115">
        <v>0</v>
      </c>
      <c r="J390" s="115">
        <f>ROUND(I390*H390,2)</f>
        <v>0</v>
      </c>
      <c r="K390" s="112" t="s">
        <v>107</v>
      </c>
      <c r="L390" s="28"/>
      <c r="M390" s="116"/>
      <c r="N390" s="117"/>
      <c r="O390" s="118"/>
      <c r="P390" s="118"/>
      <c r="Q390" s="118"/>
      <c r="R390" s="118"/>
      <c r="S390" s="118"/>
      <c r="T390" s="119"/>
      <c r="V390" s="424"/>
      <c r="W390" s="414"/>
      <c r="AQ390" s="120" t="s">
        <v>108</v>
      </c>
      <c r="AS390" s="120" t="s">
        <v>103</v>
      </c>
      <c r="AT390" s="120" t="s">
        <v>65</v>
      </c>
      <c r="AX390" s="17" t="s">
        <v>101</v>
      </c>
      <c r="BD390" s="121">
        <f>IF(N390="základní",J390,0)</f>
        <v>0</v>
      </c>
      <c r="BE390" s="121">
        <f>IF(N390="snížená",J390,0)</f>
        <v>0</v>
      </c>
      <c r="BF390" s="121">
        <f>IF(N390="zákl. přenesená",J390,0)</f>
        <v>0</v>
      </c>
      <c r="BG390" s="121">
        <f>IF(N390="sníž. přenesená",J390,0)</f>
        <v>0</v>
      </c>
      <c r="BH390" s="121">
        <f>IF(N390="nulová",J390,0)</f>
        <v>0</v>
      </c>
      <c r="BI390" s="17" t="s">
        <v>63</v>
      </c>
      <c r="BJ390" s="121">
        <f>ROUND(I390*H390,2)</f>
        <v>0</v>
      </c>
      <c r="BK390" s="17" t="s">
        <v>108</v>
      </c>
      <c r="BL390" s="120" t="s">
        <v>1047</v>
      </c>
    </row>
    <row r="391" spans="2:64" s="1" customFormat="1" x14ac:dyDescent="0.2">
      <c r="B391" s="28"/>
      <c r="D391" s="122" t="s">
        <v>110</v>
      </c>
      <c r="F391" s="412" t="s">
        <v>619</v>
      </c>
      <c r="L391" s="28"/>
      <c r="M391" s="124"/>
      <c r="T391" s="48"/>
      <c r="V391" s="424"/>
      <c r="W391" s="414"/>
      <c r="AS391" s="17" t="s">
        <v>110</v>
      </c>
      <c r="AT391" s="17" t="s">
        <v>65</v>
      </c>
    </row>
    <row r="392" spans="2:64" s="1" customFormat="1" ht="21.75" customHeight="1" x14ac:dyDescent="0.2">
      <c r="B392" s="109"/>
      <c r="C392" s="110" t="s">
        <v>1048</v>
      </c>
      <c r="D392" s="110" t="s">
        <v>103</v>
      </c>
      <c r="E392" s="111" t="s">
        <v>1049</v>
      </c>
      <c r="F392" s="112" t="s">
        <v>1050</v>
      </c>
      <c r="G392" s="113" t="s">
        <v>106</v>
      </c>
      <c r="H392" s="114">
        <f>450.2*0.82</f>
        <v>369.16399999999999</v>
      </c>
      <c r="I392" s="115">
        <v>0</v>
      </c>
      <c r="J392" s="115">
        <f>ROUND(I392*H392,2)</f>
        <v>0</v>
      </c>
      <c r="K392" s="112" t="s">
        <v>107</v>
      </c>
      <c r="L392" s="28"/>
      <c r="M392" s="116"/>
      <c r="N392" s="117"/>
      <c r="O392" s="118"/>
      <c r="P392" s="118"/>
      <c r="Q392" s="118"/>
      <c r="R392" s="118"/>
      <c r="S392" s="118"/>
      <c r="T392" s="119"/>
      <c r="V392" s="424"/>
      <c r="W392" s="414"/>
      <c r="AQ392" s="120" t="s">
        <v>108</v>
      </c>
      <c r="AS392" s="120" t="s">
        <v>103</v>
      </c>
      <c r="AT392" s="120" t="s">
        <v>65</v>
      </c>
      <c r="AX392" s="17" t="s">
        <v>101</v>
      </c>
      <c r="BD392" s="121">
        <f>IF(N392="základní",J392,0)</f>
        <v>0</v>
      </c>
      <c r="BE392" s="121">
        <f>IF(N392="snížená",J392,0)</f>
        <v>0</v>
      </c>
      <c r="BF392" s="121">
        <f>IF(N392="zákl. přenesená",J392,0)</f>
        <v>0</v>
      </c>
      <c r="BG392" s="121">
        <f>IF(N392="sníž. přenesená",J392,0)</f>
        <v>0</v>
      </c>
      <c r="BH392" s="121">
        <f>IF(N392="nulová",J392,0)</f>
        <v>0</v>
      </c>
      <c r="BI392" s="17" t="s">
        <v>63</v>
      </c>
      <c r="BJ392" s="121">
        <f>ROUND(I392*H392,2)</f>
        <v>0</v>
      </c>
      <c r="BK392" s="17" t="s">
        <v>108</v>
      </c>
      <c r="BL392" s="120" t="s">
        <v>1051</v>
      </c>
    </row>
    <row r="393" spans="2:64" s="1" customFormat="1" x14ac:dyDescent="0.2">
      <c r="B393" s="28"/>
      <c r="D393" s="122" t="s">
        <v>110</v>
      </c>
      <c r="F393" s="412" t="s">
        <v>1052</v>
      </c>
      <c r="L393" s="28"/>
      <c r="M393" s="124"/>
      <c r="T393" s="48"/>
      <c r="V393" s="424"/>
      <c r="W393" s="414"/>
      <c r="AS393" s="17" t="s">
        <v>110</v>
      </c>
      <c r="AT393" s="17" t="s">
        <v>65</v>
      </c>
    </row>
    <row r="394" spans="2:64" s="1" customFormat="1" ht="37.9" customHeight="1" x14ac:dyDescent="0.2">
      <c r="B394" s="109"/>
      <c r="C394" s="110" t="s">
        <v>1053</v>
      </c>
      <c r="D394" s="110" t="s">
        <v>103</v>
      </c>
      <c r="E394" s="111" t="s">
        <v>431</v>
      </c>
      <c r="F394" s="112" t="s">
        <v>1054</v>
      </c>
      <c r="G394" s="113" t="s">
        <v>314</v>
      </c>
      <c r="H394" s="114">
        <v>5</v>
      </c>
      <c r="I394" s="115">
        <v>0</v>
      </c>
      <c r="J394" s="115">
        <f>ROUND(I394*H394,2)</f>
        <v>0</v>
      </c>
      <c r="K394" s="112" t="s">
        <v>107</v>
      </c>
      <c r="L394" s="28"/>
      <c r="M394" s="116"/>
      <c r="N394" s="117"/>
      <c r="O394" s="118"/>
      <c r="P394" s="118"/>
      <c r="Q394" s="118"/>
      <c r="R394" s="118"/>
      <c r="S394" s="118"/>
      <c r="T394" s="119"/>
      <c r="V394" s="424">
        <v>1</v>
      </c>
      <c r="W394" s="414">
        <v>5</v>
      </c>
      <c r="AQ394" s="120" t="s">
        <v>108</v>
      </c>
      <c r="AS394" s="120" t="s">
        <v>103</v>
      </c>
      <c r="AT394" s="120" t="s">
        <v>65</v>
      </c>
      <c r="AX394" s="17" t="s">
        <v>101</v>
      </c>
      <c r="BD394" s="121">
        <f>IF(N394="základní",J394,0)</f>
        <v>0</v>
      </c>
      <c r="BE394" s="121">
        <f>IF(N394="snížená",J394,0)</f>
        <v>0</v>
      </c>
      <c r="BF394" s="121">
        <f>IF(N394="zákl. přenesená",J394,0)</f>
        <v>0</v>
      </c>
      <c r="BG394" s="121">
        <f>IF(N394="sníž. přenesená",J394,0)</f>
        <v>0</v>
      </c>
      <c r="BH394" s="121">
        <f>IF(N394="nulová",J394,0)</f>
        <v>0</v>
      </c>
      <c r="BI394" s="17" t="s">
        <v>63</v>
      </c>
      <c r="BJ394" s="121">
        <f>ROUND(I394*H394,2)</f>
        <v>0</v>
      </c>
      <c r="BK394" s="17" t="s">
        <v>108</v>
      </c>
      <c r="BL394" s="120" t="s">
        <v>1055</v>
      </c>
    </row>
    <row r="395" spans="2:64" s="1" customFormat="1" x14ac:dyDescent="0.2">
      <c r="B395" s="28"/>
      <c r="D395" s="122" t="s">
        <v>110</v>
      </c>
      <c r="F395" s="412" t="s">
        <v>434</v>
      </c>
      <c r="L395" s="28"/>
      <c r="M395" s="124"/>
      <c r="T395" s="48"/>
      <c r="V395" s="424"/>
      <c r="W395" s="414"/>
      <c r="AS395" s="17" t="s">
        <v>110</v>
      </c>
      <c r="AT395" s="17" t="s">
        <v>65</v>
      </c>
    </row>
    <row r="396" spans="2:64" s="1" customFormat="1" ht="24.2" customHeight="1" x14ac:dyDescent="0.2">
      <c r="B396" s="109"/>
      <c r="C396" s="110" t="s">
        <v>1056</v>
      </c>
      <c r="D396" s="110" t="s">
        <v>103</v>
      </c>
      <c r="E396" s="111" t="s">
        <v>1057</v>
      </c>
      <c r="F396" s="112" t="s">
        <v>1058</v>
      </c>
      <c r="G396" s="113" t="s">
        <v>314</v>
      </c>
      <c r="H396" s="114">
        <v>1</v>
      </c>
      <c r="I396" s="115">
        <v>0</v>
      </c>
      <c r="J396" s="115">
        <f>ROUND(I396*H396,2)</f>
        <v>0</v>
      </c>
      <c r="K396" s="112" t="s">
        <v>107</v>
      </c>
      <c r="L396" s="28"/>
      <c r="M396" s="116"/>
      <c r="N396" s="117"/>
      <c r="O396" s="118"/>
      <c r="P396" s="118"/>
      <c r="Q396" s="118"/>
      <c r="R396" s="118"/>
      <c r="S396" s="118"/>
      <c r="T396" s="119"/>
      <c r="V396" s="424">
        <v>1</v>
      </c>
      <c r="W396" s="414">
        <v>1</v>
      </c>
      <c r="AQ396" s="120" t="s">
        <v>108</v>
      </c>
      <c r="AS396" s="120" t="s">
        <v>103</v>
      </c>
      <c r="AT396" s="120" t="s">
        <v>65</v>
      </c>
      <c r="AX396" s="17" t="s">
        <v>101</v>
      </c>
      <c r="BD396" s="121">
        <f>IF(N396="základní",J396,0)</f>
        <v>0</v>
      </c>
      <c r="BE396" s="121">
        <f>IF(N396="snížená",J396,0)</f>
        <v>0</v>
      </c>
      <c r="BF396" s="121">
        <f>IF(N396="zákl. přenesená",J396,0)</f>
        <v>0</v>
      </c>
      <c r="BG396" s="121">
        <f>IF(N396="sníž. přenesená",J396,0)</f>
        <v>0</v>
      </c>
      <c r="BH396" s="121">
        <f>IF(N396="nulová",J396,0)</f>
        <v>0</v>
      </c>
      <c r="BI396" s="17" t="s">
        <v>63</v>
      </c>
      <c r="BJ396" s="121">
        <f>ROUND(I396*H396,2)</f>
        <v>0</v>
      </c>
      <c r="BK396" s="17" t="s">
        <v>108</v>
      </c>
      <c r="BL396" s="120" t="s">
        <v>1059</v>
      </c>
    </row>
    <row r="397" spans="2:64" s="1" customFormat="1" x14ac:dyDescent="0.2">
      <c r="B397" s="28"/>
      <c r="D397" s="122" t="s">
        <v>110</v>
      </c>
      <c r="F397" s="412" t="s">
        <v>1060</v>
      </c>
      <c r="L397" s="28"/>
      <c r="M397" s="124"/>
      <c r="T397" s="48"/>
      <c r="V397" s="424"/>
      <c r="W397" s="414"/>
      <c r="AS397" s="17" t="s">
        <v>110</v>
      </c>
      <c r="AT397" s="17" t="s">
        <v>65</v>
      </c>
    </row>
    <row r="398" spans="2:64" s="11" customFormat="1" ht="22.9" customHeight="1" x14ac:dyDescent="0.2">
      <c r="B398" s="98"/>
      <c r="D398" s="99" t="s">
        <v>54</v>
      </c>
      <c r="E398" s="107" t="s">
        <v>625</v>
      </c>
      <c r="F398" s="107" t="s">
        <v>626</v>
      </c>
      <c r="J398" s="108">
        <f>BJ398</f>
        <v>0</v>
      </c>
      <c r="L398" s="98"/>
      <c r="M398" s="102"/>
      <c r="P398" s="103"/>
      <c r="R398" s="103"/>
      <c r="T398" s="104"/>
      <c r="V398" s="424"/>
      <c r="W398" s="419"/>
      <c r="AQ398" s="99" t="s">
        <v>63</v>
      </c>
      <c r="AS398" s="105" t="s">
        <v>54</v>
      </c>
      <c r="AT398" s="105" t="s">
        <v>63</v>
      </c>
      <c r="AX398" s="99" t="s">
        <v>101</v>
      </c>
      <c r="BJ398" s="106">
        <f>SUM(BJ399:BJ402)</f>
        <v>0</v>
      </c>
    </row>
    <row r="399" spans="2:64" s="1" customFormat="1" ht="49.15" customHeight="1" x14ac:dyDescent="0.2">
      <c r="B399" s="109"/>
      <c r="C399" s="110" t="s">
        <v>1061</v>
      </c>
      <c r="D399" s="110" t="s">
        <v>103</v>
      </c>
      <c r="E399" s="111" t="s">
        <v>628</v>
      </c>
      <c r="F399" s="112" t="s">
        <v>629</v>
      </c>
      <c r="G399" s="113" t="s">
        <v>231</v>
      </c>
      <c r="H399" s="114">
        <f>21.133*0.82</f>
        <v>17.329059999999998</v>
      </c>
      <c r="I399" s="115">
        <v>0</v>
      </c>
      <c r="J399" s="115">
        <f>ROUND(I399*H399,2)</f>
        <v>0</v>
      </c>
      <c r="K399" s="112" t="s">
        <v>107</v>
      </c>
      <c r="L399" s="28"/>
      <c r="M399" s="116"/>
      <c r="N399" s="117"/>
      <c r="O399" s="118"/>
      <c r="P399" s="118"/>
      <c r="Q399" s="118"/>
      <c r="R399" s="118"/>
      <c r="S399" s="118"/>
      <c r="T399" s="119"/>
      <c r="V399" s="424"/>
      <c r="W399" s="414"/>
      <c r="AQ399" s="120" t="s">
        <v>108</v>
      </c>
      <c r="AS399" s="120" t="s">
        <v>103</v>
      </c>
      <c r="AT399" s="120" t="s">
        <v>65</v>
      </c>
      <c r="AX399" s="17" t="s">
        <v>101</v>
      </c>
      <c r="BD399" s="121">
        <f>IF(N399="základní",J399,0)</f>
        <v>0</v>
      </c>
      <c r="BE399" s="121">
        <f>IF(N399="snížená",J399,0)</f>
        <v>0</v>
      </c>
      <c r="BF399" s="121">
        <f>IF(N399="zákl. přenesená",J399,0)</f>
        <v>0</v>
      </c>
      <c r="BG399" s="121">
        <f>IF(N399="sníž. přenesená",J399,0)</f>
        <v>0</v>
      </c>
      <c r="BH399" s="121">
        <f>IF(N399="nulová",J399,0)</f>
        <v>0</v>
      </c>
      <c r="BI399" s="17" t="s">
        <v>63</v>
      </c>
      <c r="BJ399" s="121">
        <f>ROUND(I399*H399,2)</f>
        <v>0</v>
      </c>
      <c r="BK399" s="17" t="s">
        <v>108</v>
      </c>
      <c r="BL399" s="120" t="s">
        <v>1062</v>
      </c>
    </row>
    <row r="400" spans="2:64" s="1" customFormat="1" x14ac:dyDescent="0.2">
      <c r="B400" s="28"/>
      <c r="D400" s="122" t="s">
        <v>110</v>
      </c>
      <c r="F400" s="412" t="s">
        <v>631</v>
      </c>
      <c r="L400" s="28"/>
      <c r="M400" s="124"/>
      <c r="T400" s="48"/>
      <c r="V400" s="424"/>
      <c r="W400" s="414"/>
      <c r="AS400" s="17" t="s">
        <v>110</v>
      </c>
      <c r="AT400" s="17" t="s">
        <v>65</v>
      </c>
    </row>
    <row r="401" spans="2:64" s="1" customFormat="1" ht="55.5" customHeight="1" x14ac:dyDescent="0.2">
      <c r="B401" s="109"/>
      <c r="C401" s="110" t="s">
        <v>1063</v>
      </c>
      <c r="D401" s="110" t="s">
        <v>103</v>
      </c>
      <c r="E401" s="111" t="s">
        <v>633</v>
      </c>
      <c r="F401" s="112" t="s">
        <v>634</v>
      </c>
      <c r="G401" s="113" t="s">
        <v>231</v>
      </c>
      <c r="H401" s="114">
        <f>21.133*0.82</f>
        <v>17.329059999999998</v>
      </c>
      <c r="I401" s="115">
        <v>0</v>
      </c>
      <c r="J401" s="115">
        <f>ROUND(I401*H401,2)</f>
        <v>0</v>
      </c>
      <c r="K401" s="112" t="s">
        <v>107</v>
      </c>
      <c r="L401" s="28"/>
      <c r="M401" s="116"/>
      <c r="N401" s="117"/>
      <c r="O401" s="118"/>
      <c r="P401" s="118"/>
      <c r="Q401" s="118"/>
      <c r="R401" s="118"/>
      <c r="S401" s="118"/>
      <c r="T401" s="119"/>
      <c r="V401" s="424"/>
      <c r="W401" s="414"/>
      <c r="AQ401" s="120" t="s">
        <v>108</v>
      </c>
      <c r="AS401" s="120" t="s">
        <v>103</v>
      </c>
      <c r="AT401" s="120" t="s">
        <v>65</v>
      </c>
      <c r="AX401" s="17" t="s">
        <v>101</v>
      </c>
      <c r="BD401" s="121">
        <f>IF(N401="základní",J401,0)</f>
        <v>0</v>
      </c>
      <c r="BE401" s="121">
        <f>IF(N401="snížená",J401,0)</f>
        <v>0</v>
      </c>
      <c r="BF401" s="121">
        <f>IF(N401="zákl. přenesená",J401,0)</f>
        <v>0</v>
      </c>
      <c r="BG401" s="121">
        <f>IF(N401="sníž. přenesená",J401,0)</f>
        <v>0</v>
      </c>
      <c r="BH401" s="121">
        <f>IF(N401="nulová",J401,0)</f>
        <v>0</v>
      </c>
      <c r="BI401" s="17" t="s">
        <v>63</v>
      </c>
      <c r="BJ401" s="121">
        <f>ROUND(I401*H401,2)</f>
        <v>0</v>
      </c>
      <c r="BK401" s="17" t="s">
        <v>108</v>
      </c>
      <c r="BL401" s="120" t="s">
        <v>1064</v>
      </c>
    </row>
    <row r="402" spans="2:64" s="1" customFormat="1" x14ac:dyDescent="0.2">
      <c r="B402" s="28"/>
      <c r="D402" s="122" t="s">
        <v>110</v>
      </c>
      <c r="F402" s="412" t="s">
        <v>636</v>
      </c>
      <c r="L402" s="28"/>
      <c r="M402" s="124"/>
      <c r="T402" s="48"/>
      <c r="V402" s="424"/>
      <c r="W402" s="414"/>
      <c r="AS402" s="17" t="s">
        <v>110</v>
      </c>
      <c r="AT402" s="17" t="s">
        <v>65</v>
      </c>
    </row>
    <row r="403" spans="2:64" s="11" customFormat="1" ht="25.9" customHeight="1" x14ac:dyDescent="0.2">
      <c r="B403" s="98"/>
      <c r="D403" s="99" t="s">
        <v>54</v>
      </c>
      <c r="E403" s="100" t="s">
        <v>1065</v>
      </c>
      <c r="F403" s="100" t="s">
        <v>1066</v>
      </c>
      <c r="J403" s="101">
        <f>BJ403</f>
        <v>0</v>
      </c>
      <c r="L403" s="98"/>
      <c r="M403" s="102"/>
      <c r="P403" s="103"/>
      <c r="R403" s="103"/>
      <c r="T403" s="104"/>
      <c r="V403" s="424"/>
      <c r="W403" s="419"/>
      <c r="AQ403" s="99" t="s">
        <v>65</v>
      </c>
      <c r="AS403" s="105" t="s">
        <v>54</v>
      </c>
      <c r="AT403" s="105" t="s">
        <v>55</v>
      </c>
      <c r="AX403" s="99" t="s">
        <v>101</v>
      </c>
      <c r="BJ403" s="106">
        <f>BJ404+BJ408</f>
        <v>0</v>
      </c>
    </row>
    <row r="404" spans="2:64" s="11" customFormat="1" ht="22.9" customHeight="1" x14ac:dyDescent="0.2">
      <c r="B404" s="98"/>
      <c r="D404" s="99" t="s">
        <v>54</v>
      </c>
      <c r="E404" s="107" t="s">
        <v>1067</v>
      </c>
      <c r="F404" s="107" t="s">
        <v>1068</v>
      </c>
      <c r="J404" s="108">
        <f>BJ404</f>
        <v>0</v>
      </c>
      <c r="L404" s="98"/>
      <c r="M404" s="102"/>
      <c r="P404" s="103"/>
      <c r="R404" s="103"/>
      <c r="T404" s="104"/>
      <c r="V404" s="424"/>
      <c r="W404" s="419"/>
      <c r="AQ404" s="99" t="s">
        <v>65</v>
      </c>
      <c r="AS404" s="105" t="s">
        <v>54</v>
      </c>
      <c r="AT404" s="105" t="s">
        <v>63</v>
      </c>
      <c r="AX404" s="99" t="s">
        <v>101</v>
      </c>
      <c r="BJ404" s="106">
        <f>SUM(BJ405:BJ407)</f>
        <v>0</v>
      </c>
    </row>
    <row r="405" spans="2:64" s="1" customFormat="1" ht="37.9" customHeight="1" x14ac:dyDescent="0.2">
      <c r="B405" s="109"/>
      <c r="C405" s="110" t="s">
        <v>1069</v>
      </c>
      <c r="D405" s="110" t="s">
        <v>103</v>
      </c>
      <c r="E405" s="111" t="s">
        <v>1070</v>
      </c>
      <c r="F405" s="112" t="s">
        <v>1071</v>
      </c>
      <c r="G405" s="113" t="s">
        <v>314</v>
      </c>
      <c r="H405" s="114">
        <v>3</v>
      </c>
      <c r="I405" s="115">
        <v>0</v>
      </c>
      <c r="J405" s="115">
        <f>ROUND(I405*H405,2)</f>
        <v>0</v>
      </c>
      <c r="K405" s="112" t="s">
        <v>107</v>
      </c>
      <c r="L405" s="28"/>
      <c r="M405" s="116"/>
      <c r="N405" s="117"/>
      <c r="O405" s="118"/>
      <c r="P405" s="118"/>
      <c r="Q405" s="118"/>
      <c r="R405" s="118"/>
      <c r="S405" s="118"/>
      <c r="T405" s="119"/>
      <c r="V405" s="424">
        <v>1</v>
      </c>
      <c r="W405" s="414">
        <v>3</v>
      </c>
      <c r="AQ405" s="120" t="s">
        <v>218</v>
      </c>
      <c r="AS405" s="120" t="s">
        <v>103</v>
      </c>
      <c r="AT405" s="120" t="s">
        <v>65</v>
      </c>
      <c r="AX405" s="17" t="s">
        <v>101</v>
      </c>
      <c r="BD405" s="121">
        <f>IF(N405="základní",J405,0)</f>
        <v>0</v>
      </c>
      <c r="BE405" s="121">
        <f>IF(N405="snížená",J405,0)</f>
        <v>0</v>
      </c>
      <c r="BF405" s="121">
        <f>IF(N405="zákl. přenesená",J405,0)</f>
        <v>0</v>
      </c>
      <c r="BG405" s="121">
        <f>IF(N405="sníž. přenesená",J405,0)</f>
        <v>0</v>
      </c>
      <c r="BH405" s="121">
        <f>IF(N405="nulová",J405,0)</f>
        <v>0</v>
      </c>
      <c r="BI405" s="17" t="s">
        <v>63</v>
      </c>
      <c r="BJ405" s="121">
        <f>ROUND(I405*H405,2)</f>
        <v>0</v>
      </c>
      <c r="BK405" s="17" t="s">
        <v>218</v>
      </c>
      <c r="BL405" s="120" t="s">
        <v>1072</v>
      </c>
    </row>
    <row r="406" spans="2:64" s="1" customFormat="1" x14ac:dyDescent="0.2">
      <c r="B406" s="28"/>
      <c r="D406" s="122" t="s">
        <v>110</v>
      </c>
      <c r="F406" s="412" t="s">
        <v>1073</v>
      </c>
      <c r="L406" s="28"/>
      <c r="M406" s="124"/>
      <c r="T406" s="48"/>
      <c r="V406" s="424"/>
      <c r="W406" s="414"/>
      <c r="AS406" s="17" t="s">
        <v>110</v>
      </c>
      <c r="AT406" s="17" t="s">
        <v>65</v>
      </c>
    </row>
    <row r="407" spans="2:64" s="1" customFormat="1" ht="16.5" customHeight="1" x14ac:dyDescent="0.2">
      <c r="B407" s="109"/>
      <c r="C407" s="143" t="s">
        <v>1074</v>
      </c>
      <c r="D407" s="143" t="s">
        <v>252</v>
      </c>
      <c r="E407" s="144" t="s">
        <v>1075</v>
      </c>
      <c r="F407" s="145" t="s">
        <v>1076</v>
      </c>
      <c r="G407" s="146" t="s">
        <v>1077</v>
      </c>
      <c r="H407" s="147">
        <f>4*0.82</f>
        <v>3.28</v>
      </c>
      <c r="I407" s="148">
        <v>0</v>
      </c>
      <c r="J407" s="148">
        <f>ROUND(I407*H407,2)</f>
        <v>0</v>
      </c>
      <c r="K407" s="145" t="s">
        <v>107</v>
      </c>
      <c r="L407" s="149"/>
      <c r="M407" s="150"/>
      <c r="N407" s="151"/>
      <c r="O407" s="118"/>
      <c r="P407" s="118"/>
      <c r="Q407" s="118"/>
      <c r="R407" s="118"/>
      <c r="S407" s="118"/>
      <c r="T407" s="119"/>
      <c r="V407" s="424"/>
      <c r="W407" s="414"/>
      <c r="AQ407" s="120" t="s">
        <v>329</v>
      </c>
      <c r="AS407" s="120" t="s">
        <v>252</v>
      </c>
      <c r="AT407" s="120" t="s">
        <v>65</v>
      </c>
      <c r="AX407" s="17" t="s">
        <v>101</v>
      </c>
      <c r="BD407" s="121">
        <f>IF(N407="základní",J407,0)</f>
        <v>0</v>
      </c>
      <c r="BE407" s="121">
        <f>IF(N407="snížená",J407,0)</f>
        <v>0</v>
      </c>
      <c r="BF407" s="121">
        <f>IF(N407="zákl. přenesená",J407,0)</f>
        <v>0</v>
      </c>
      <c r="BG407" s="121">
        <f>IF(N407="sníž. přenesená",J407,0)</f>
        <v>0</v>
      </c>
      <c r="BH407" s="121">
        <f>IF(N407="nulová",J407,0)</f>
        <v>0</v>
      </c>
      <c r="BI407" s="17" t="s">
        <v>63</v>
      </c>
      <c r="BJ407" s="121">
        <f>ROUND(I407*H407,2)</f>
        <v>0</v>
      </c>
      <c r="BK407" s="17" t="s">
        <v>218</v>
      </c>
      <c r="BL407" s="120" t="s">
        <v>1078</v>
      </c>
    </row>
    <row r="408" spans="2:64" s="11" customFormat="1" ht="22.9" customHeight="1" x14ac:dyDescent="0.2">
      <c r="B408" s="98"/>
      <c r="D408" s="99" t="s">
        <v>54</v>
      </c>
      <c r="E408" s="107" t="s">
        <v>1079</v>
      </c>
      <c r="F408" s="107" t="s">
        <v>1080</v>
      </c>
      <c r="J408" s="108">
        <f>BJ408</f>
        <v>0</v>
      </c>
      <c r="L408" s="98"/>
      <c r="M408" s="102"/>
      <c r="P408" s="103"/>
      <c r="R408" s="103"/>
      <c r="T408" s="104"/>
      <c r="V408" s="424"/>
      <c r="W408" s="419"/>
      <c r="AQ408" s="99" t="s">
        <v>65</v>
      </c>
      <c r="AS408" s="105" t="s">
        <v>54</v>
      </c>
      <c r="AT408" s="105" t="s">
        <v>63</v>
      </c>
      <c r="AX408" s="99" t="s">
        <v>101</v>
      </c>
      <c r="BJ408" s="106">
        <f>SUM(BJ409:BJ417)</f>
        <v>0</v>
      </c>
    </row>
    <row r="409" spans="2:64" s="1" customFormat="1" ht="37.9" customHeight="1" x14ac:dyDescent="0.2">
      <c r="B409" s="109"/>
      <c r="C409" s="110" t="s">
        <v>1081</v>
      </c>
      <c r="D409" s="110" t="s">
        <v>103</v>
      </c>
      <c r="E409" s="111" t="s">
        <v>1082</v>
      </c>
      <c r="F409" s="112" t="s">
        <v>1083</v>
      </c>
      <c r="G409" s="113" t="s">
        <v>174</v>
      </c>
      <c r="H409" s="114">
        <f>2.53*0.82</f>
        <v>2.0745999999999998</v>
      </c>
      <c r="I409" s="115">
        <v>0</v>
      </c>
      <c r="J409" s="115">
        <f>ROUND(I409*H409,2)</f>
        <v>0</v>
      </c>
      <c r="K409" s="112" t="s">
        <v>107</v>
      </c>
      <c r="L409" s="28"/>
      <c r="M409" s="116"/>
      <c r="N409" s="117"/>
      <c r="O409" s="118"/>
      <c r="P409" s="118"/>
      <c r="Q409" s="118"/>
      <c r="R409" s="118"/>
      <c r="S409" s="118"/>
      <c r="T409" s="119"/>
      <c r="V409" s="424"/>
      <c r="W409" s="414"/>
      <c r="AQ409" s="120" t="s">
        <v>218</v>
      </c>
      <c r="AS409" s="120" t="s">
        <v>103</v>
      </c>
      <c r="AT409" s="120" t="s">
        <v>65</v>
      </c>
      <c r="AX409" s="17" t="s">
        <v>101</v>
      </c>
      <c r="BD409" s="121">
        <f>IF(N409="základní",J409,0)</f>
        <v>0</v>
      </c>
      <c r="BE409" s="121">
        <f>IF(N409="snížená",J409,0)</f>
        <v>0</v>
      </c>
      <c r="BF409" s="121">
        <f>IF(N409="zákl. přenesená",J409,0)</f>
        <v>0</v>
      </c>
      <c r="BG409" s="121">
        <f>IF(N409="sníž. přenesená",J409,0)</f>
        <v>0</v>
      </c>
      <c r="BH409" s="121">
        <f>IF(N409="nulová",J409,0)</f>
        <v>0</v>
      </c>
      <c r="BI409" s="17" t="s">
        <v>63</v>
      </c>
      <c r="BJ409" s="121">
        <f>ROUND(I409*H409,2)</f>
        <v>0</v>
      </c>
      <c r="BK409" s="17" t="s">
        <v>218</v>
      </c>
      <c r="BL409" s="120" t="s">
        <v>1084</v>
      </c>
    </row>
    <row r="410" spans="2:64" s="1" customFormat="1" x14ac:dyDescent="0.2">
      <c r="B410" s="28"/>
      <c r="D410" s="122" t="s">
        <v>110</v>
      </c>
      <c r="F410" s="412" t="s">
        <v>1085</v>
      </c>
      <c r="L410" s="28"/>
      <c r="M410" s="124"/>
      <c r="T410" s="48"/>
      <c r="V410" s="424"/>
      <c r="W410" s="414"/>
      <c r="AS410" s="17" t="s">
        <v>110</v>
      </c>
      <c r="AT410" s="17" t="s">
        <v>65</v>
      </c>
    </row>
    <row r="411" spans="2:64" s="1" customFormat="1" ht="24.2" customHeight="1" x14ac:dyDescent="0.2">
      <c r="B411" s="109"/>
      <c r="C411" s="143" t="s">
        <v>1086</v>
      </c>
      <c r="D411" s="143" t="s">
        <v>252</v>
      </c>
      <c r="E411" s="144" t="s">
        <v>1087</v>
      </c>
      <c r="F411" s="145" t="s">
        <v>1088</v>
      </c>
      <c r="G411" s="146" t="s">
        <v>106</v>
      </c>
      <c r="H411" s="147">
        <f>1*0.82</f>
        <v>0.82</v>
      </c>
      <c r="I411" s="148">
        <v>0</v>
      </c>
      <c r="J411" s="148">
        <f>ROUND(I411*H411,2)</f>
        <v>0</v>
      </c>
      <c r="K411" s="145" t="s">
        <v>107</v>
      </c>
      <c r="L411" s="149"/>
      <c r="M411" s="150"/>
      <c r="N411" s="151"/>
      <c r="O411" s="118"/>
      <c r="P411" s="118"/>
      <c r="Q411" s="118"/>
      <c r="R411" s="118"/>
      <c r="S411" s="118"/>
      <c r="T411" s="119"/>
      <c r="V411" s="424"/>
      <c r="W411" s="414"/>
      <c r="AQ411" s="120" t="s">
        <v>329</v>
      </c>
      <c r="AS411" s="120" t="s">
        <v>252</v>
      </c>
      <c r="AT411" s="120" t="s">
        <v>65</v>
      </c>
      <c r="AX411" s="17" t="s">
        <v>101</v>
      </c>
      <c r="BD411" s="121">
        <f>IF(N411="základní",J411,0)</f>
        <v>0</v>
      </c>
      <c r="BE411" s="121">
        <f>IF(N411="snížená",J411,0)</f>
        <v>0</v>
      </c>
      <c r="BF411" s="121">
        <f>IF(N411="zákl. přenesená",J411,0)</f>
        <v>0</v>
      </c>
      <c r="BG411" s="121">
        <f>IF(N411="sníž. přenesená",J411,0)</f>
        <v>0</v>
      </c>
      <c r="BH411" s="121">
        <f>IF(N411="nulová",J411,0)</f>
        <v>0</v>
      </c>
      <c r="BI411" s="17" t="s">
        <v>63</v>
      </c>
      <c r="BJ411" s="121">
        <f>ROUND(I411*H411,2)</f>
        <v>0</v>
      </c>
      <c r="BK411" s="17" t="s">
        <v>218</v>
      </c>
      <c r="BL411" s="120" t="s">
        <v>1089</v>
      </c>
    </row>
    <row r="412" spans="2:64" s="1" customFormat="1" ht="24.2" customHeight="1" x14ac:dyDescent="0.2">
      <c r="B412" s="109"/>
      <c r="C412" s="143" t="s">
        <v>1090</v>
      </c>
      <c r="D412" s="143" t="s">
        <v>252</v>
      </c>
      <c r="E412" s="144" t="s">
        <v>1091</v>
      </c>
      <c r="F412" s="145" t="s">
        <v>1092</v>
      </c>
      <c r="G412" s="146" t="s">
        <v>174</v>
      </c>
      <c r="H412" s="147">
        <f>2.53*0.82</f>
        <v>2.0745999999999998</v>
      </c>
      <c r="I412" s="148">
        <v>0</v>
      </c>
      <c r="J412" s="148">
        <f>ROUND(I412*H412,2)</f>
        <v>0</v>
      </c>
      <c r="K412" s="145" t="s">
        <v>107</v>
      </c>
      <c r="L412" s="149"/>
      <c r="M412" s="150"/>
      <c r="N412" s="151"/>
      <c r="O412" s="118"/>
      <c r="P412" s="118"/>
      <c r="Q412" s="118"/>
      <c r="R412" s="118"/>
      <c r="S412" s="118"/>
      <c r="T412" s="119"/>
      <c r="V412" s="424"/>
      <c r="W412" s="414"/>
      <c r="AQ412" s="120" t="s">
        <v>329</v>
      </c>
      <c r="AS412" s="120" t="s">
        <v>252</v>
      </c>
      <c r="AT412" s="120" t="s">
        <v>65</v>
      </c>
      <c r="AX412" s="17" t="s">
        <v>101</v>
      </c>
      <c r="BD412" s="121">
        <f>IF(N412="základní",J412,0)</f>
        <v>0</v>
      </c>
      <c r="BE412" s="121">
        <f>IF(N412="snížená",J412,0)</f>
        <v>0</v>
      </c>
      <c r="BF412" s="121">
        <f>IF(N412="zákl. přenesená",J412,0)</f>
        <v>0</v>
      </c>
      <c r="BG412" s="121">
        <f>IF(N412="sníž. přenesená",J412,0)</f>
        <v>0</v>
      </c>
      <c r="BH412" s="121">
        <f>IF(N412="nulová",J412,0)</f>
        <v>0</v>
      </c>
      <c r="BI412" s="17" t="s">
        <v>63</v>
      </c>
      <c r="BJ412" s="121">
        <f>ROUND(I412*H412,2)</f>
        <v>0</v>
      </c>
      <c r="BK412" s="17" t="s">
        <v>218</v>
      </c>
      <c r="BL412" s="120" t="s">
        <v>1093</v>
      </c>
    </row>
    <row r="413" spans="2:64" s="13" customFormat="1" ht="22.5" x14ac:dyDescent="0.2">
      <c r="B413" s="131"/>
      <c r="D413" s="126" t="s">
        <v>112</v>
      </c>
      <c r="F413" s="133" t="s">
        <v>1862</v>
      </c>
      <c r="H413" s="134">
        <f>2.53*0.82</f>
        <v>2.0745999999999998</v>
      </c>
      <c r="L413" s="131"/>
      <c r="M413" s="135"/>
      <c r="T413" s="136"/>
      <c r="V413" s="424"/>
      <c r="W413" s="421"/>
      <c r="AS413" s="132" t="s">
        <v>112</v>
      </c>
      <c r="AT413" s="132" t="s">
        <v>65</v>
      </c>
      <c r="AU413" s="13" t="s">
        <v>65</v>
      </c>
      <c r="AV413" s="13" t="s">
        <v>2</v>
      </c>
      <c r="AW413" s="13" t="s">
        <v>63</v>
      </c>
      <c r="AX413" s="132" t="s">
        <v>101</v>
      </c>
    </row>
    <row r="414" spans="2:64" s="1" customFormat="1" ht="49.15" customHeight="1" x14ac:dyDescent="0.2">
      <c r="B414" s="109"/>
      <c r="C414" s="110" t="s">
        <v>1094</v>
      </c>
      <c r="D414" s="110" t="s">
        <v>103</v>
      </c>
      <c r="E414" s="111" t="s">
        <v>1095</v>
      </c>
      <c r="F414" s="112" t="s">
        <v>1096</v>
      </c>
      <c r="G414" s="113" t="s">
        <v>231</v>
      </c>
      <c r="H414" s="114">
        <f>0.239*0.82</f>
        <v>0.19597999999999999</v>
      </c>
      <c r="I414" s="115">
        <v>0</v>
      </c>
      <c r="J414" s="115">
        <f>ROUND(I414*H414,2)</f>
        <v>0</v>
      </c>
      <c r="K414" s="112" t="s">
        <v>107</v>
      </c>
      <c r="L414" s="28"/>
      <c r="M414" s="116"/>
      <c r="N414" s="117"/>
      <c r="O414" s="118"/>
      <c r="P414" s="118"/>
      <c r="Q414" s="118"/>
      <c r="R414" s="118"/>
      <c r="S414" s="118"/>
      <c r="T414" s="119"/>
      <c r="V414" s="424"/>
      <c r="W414" s="414"/>
      <c r="AQ414" s="120" t="s">
        <v>218</v>
      </c>
      <c r="AS414" s="120" t="s">
        <v>103</v>
      </c>
      <c r="AT414" s="120" t="s">
        <v>65</v>
      </c>
      <c r="AX414" s="17" t="s">
        <v>101</v>
      </c>
      <c r="BD414" s="121">
        <f>IF(N414="základní",J414,0)</f>
        <v>0</v>
      </c>
      <c r="BE414" s="121">
        <f>IF(N414="snížená",J414,0)</f>
        <v>0</v>
      </c>
      <c r="BF414" s="121">
        <f>IF(N414="zákl. přenesená",J414,0)</f>
        <v>0</v>
      </c>
      <c r="BG414" s="121">
        <f>IF(N414="sníž. přenesená",J414,0)</f>
        <v>0</v>
      </c>
      <c r="BH414" s="121">
        <f>IF(N414="nulová",J414,0)</f>
        <v>0</v>
      </c>
      <c r="BI414" s="17" t="s">
        <v>63</v>
      </c>
      <c r="BJ414" s="121">
        <f>ROUND(I414*H414,2)</f>
        <v>0</v>
      </c>
      <c r="BK414" s="17" t="s">
        <v>218</v>
      </c>
      <c r="BL414" s="120" t="s">
        <v>1097</v>
      </c>
    </row>
    <row r="415" spans="2:64" s="1" customFormat="1" x14ac:dyDescent="0.2">
      <c r="B415" s="28"/>
      <c r="D415" s="122" t="s">
        <v>110</v>
      </c>
      <c r="F415" s="412" t="s">
        <v>1098</v>
      </c>
      <c r="L415" s="28"/>
      <c r="M415" s="124"/>
      <c r="T415" s="48"/>
      <c r="V415" s="424"/>
      <c r="W415" s="414"/>
      <c r="AS415" s="17" t="s">
        <v>110</v>
      </c>
      <c r="AT415" s="17" t="s">
        <v>65</v>
      </c>
    </row>
    <row r="416" spans="2:64" s="1" customFormat="1" ht="55.5" customHeight="1" x14ac:dyDescent="0.2">
      <c r="B416" s="109"/>
      <c r="C416" s="110" t="s">
        <v>1099</v>
      </c>
      <c r="D416" s="110" t="s">
        <v>103</v>
      </c>
      <c r="E416" s="111" t="s">
        <v>1100</v>
      </c>
      <c r="F416" s="112" t="s">
        <v>1101</v>
      </c>
      <c r="G416" s="113" t="s">
        <v>231</v>
      </c>
      <c r="H416" s="114">
        <f>0.239*0.82</f>
        <v>0.19597999999999999</v>
      </c>
      <c r="I416" s="115">
        <v>0</v>
      </c>
      <c r="J416" s="115">
        <f>ROUND(I416*H416,2)</f>
        <v>0</v>
      </c>
      <c r="K416" s="112" t="s">
        <v>107</v>
      </c>
      <c r="L416" s="28"/>
      <c r="M416" s="116"/>
      <c r="N416" s="117"/>
      <c r="O416" s="118"/>
      <c r="P416" s="118"/>
      <c r="Q416" s="118"/>
      <c r="R416" s="118"/>
      <c r="S416" s="118"/>
      <c r="T416" s="119"/>
      <c r="V416" s="424"/>
      <c r="W416" s="414"/>
      <c r="AQ416" s="120" t="s">
        <v>218</v>
      </c>
      <c r="AS416" s="120" t="s">
        <v>103</v>
      </c>
      <c r="AT416" s="120" t="s">
        <v>65</v>
      </c>
      <c r="AX416" s="17" t="s">
        <v>101</v>
      </c>
      <c r="BD416" s="121">
        <f>IF(N416="základní",J416,0)</f>
        <v>0</v>
      </c>
      <c r="BE416" s="121">
        <f>IF(N416="snížená",J416,0)</f>
        <v>0</v>
      </c>
      <c r="BF416" s="121">
        <f>IF(N416="zákl. přenesená",J416,0)</f>
        <v>0</v>
      </c>
      <c r="BG416" s="121">
        <f>IF(N416="sníž. přenesená",J416,0)</f>
        <v>0</v>
      </c>
      <c r="BH416" s="121">
        <f>IF(N416="nulová",J416,0)</f>
        <v>0</v>
      </c>
      <c r="BI416" s="17" t="s">
        <v>63</v>
      </c>
      <c r="BJ416" s="121">
        <f>ROUND(I416*H416,2)</f>
        <v>0</v>
      </c>
      <c r="BK416" s="17" t="s">
        <v>218</v>
      </c>
      <c r="BL416" s="120" t="s">
        <v>1102</v>
      </c>
    </row>
    <row r="417" spans="2:46" s="1" customFormat="1" x14ac:dyDescent="0.2">
      <c r="B417" s="28"/>
      <c r="D417" s="122" t="s">
        <v>110</v>
      </c>
      <c r="F417" s="123" t="s">
        <v>1103</v>
      </c>
      <c r="L417" s="28"/>
      <c r="M417" s="156"/>
      <c r="N417" s="157"/>
      <c r="O417" s="157"/>
      <c r="P417" s="157"/>
      <c r="Q417" s="157"/>
      <c r="R417" s="157"/>
      <c r="S417" s="157"/>
      <c r="T417" s="158"/>
      <c r="V417" s="424"/>
      <c r="W417" s="414"/>
      <c r="AS417" s="17" t="s">
        <v>110</v>
      </c>
      <c r="AT417" s="17" t="s">
        <v>65</v>
      </c>
    </row>
    <row r="418" spans="2:46" s="1" customFormat="1" ht="6.95" customHeight="1" x14ac:dyDescent="0.2">
      <c r="B418" s="37"/>
      <c r="C418" s="38"/>
      <c r="D418" s="38"/>
      <c r="E418" s="38"/>
      <c r="F418" s="38"/>
      <c r="G418" s="38"/>
      <c r="H418" s="38"/>
      <c r="I418" s="38"/>
      <c r="J418" s="38"/>
      <c r="K418" s="38"/>
      <c r="L418" s="28"/>
      <c r="V418" s="424"/>
      <c r="W418" s="414"/>
    </row>
  </sheetData>
  <autoFilter ref="C87:K417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CCE1681C-8667-4BCF-A6E7-2EE78BC2D20F}"/>
    <hyperlink ref="F113" r:id="rId2" xr:uid="{4EBD6382-601F-4473-8C88-BE4EA92EE3BA}"/>
    <hyperlink ref="F134" r:id="rId3" xr:uid="{CBF507E1-D4A5-46F5-B34F-C519CDE563A6}"/>
    <hyperlink ref="F155" r:id="rId4" xr:uid="{90D32C4F-35D4-47FB-A496-2BFF3CDC0E6A}"/>
    <hyperlink ref="F166" r:id="rId5" xr:uid="{71ECEEE6-B108-4BD0-962C-390F6C5B0A43}"/>
    <hyperlink ref="F168" r:id="rId6" xr:uid="{747C3B01-5E72-409A-BD2C-807B122B5BF2}"/>
    <hyperlink ref="F175" r:id="rId7" xr:uid="{FC2AA0AB-DCE3-4053-9E82-961A61D8CC45}"/>
    <hyperlink ref="F177" r:id="rId8" xr:uid="{1105E82F-C975-4762-B763-671F786A5E2A}"/>
    <hyperlink ref="F179" r:id="rId9" xr:uid="{A723BDCF-88F8-4D18-80DE-4A6743C81283}"/>
    <hyperlink ref="F182" r:id="rId10" xr:uid="{2A04936C-E978-4855-89C1-DD0CEB1A26FD}"/>
    <hyperlink ref="F184" r:id="rId11" xr:uid="{B5EC5AD2-0D25-4B0E-B7D9-7905EA4926A5}"/>
    <hyperlink ref="F187" r:id="rId12" xr:uid="{361E165A-B952-40CA-870F-6126A7EE050F}"/>
    <hyperlink ref="F194" r:id="rId13" xr:uid="{6B8F58C7-D980-41CA-9A42-0C509E23BFF2}"/>
    <hyperlink ref="F196" r:id="rId14" xr:uid="{C1BF995F-67BE-42C8-90D2-53BA41479360}"/>
    <hyperlink ref="F199" r:id="rId15" xr:uid="{57CEBB7D-A4C6-4FCD-8913-D5C316A5C529}"/>
    <hyperlink ref="F201" r:id="rId16" xr:uid="{AB2481B2-900D-44F6-B512-29850C2F4D87}"/>
    <hyperlink ref="F215" r:id="rId17" xr:uid="{289283FD-2B09-4DC9-B9B8-D5357B91BD20}"/>
    <hyperlink ref="F230" r:id="rId18" xr:uid="{24CB96EB-6754-4CC8-96D6-82408851C827}"/>
    <hyperlink ref="F233" r:id="rId19" xr:uid="{ABF209B0-56EB-4433-A175-606CEA30DDFD}"/>
    <hyperlink ref="F241" r:id="rId20" xr:uid="{627097E8-80D6-4045-8BB1-5E368D8542DC}"/>
    <hyperlink ref="F251" r:id="rId21" xr:uid="{C0CB2C9D-D45C-49CB-9FC1-639FA7BFE1B4}"/>
    <hyperlink ref="F258" r:id="rId22" xr:uid="{51AE2E49-5D47-4B93-91E4-C6C1E0CA1334}"/>
    <hyperlink ref="F265" r:id="rId23" xr:uid="{59443E1D-1EAD-4B1E-8937-F0B11DF37045}"/>
    <hyperlink ref="F274" r:id="rId24" xr:uid="{BAE589DF-3281-4BE3-9ADD-A2B37898D65C}"/>
    <hyperlink ref="F282" r:id="rId25" xr:uid="{180A794F-8929-43AF-9D55-50F68DFE391E}"/>
    <hyperlink ref="F287" r:id="rId26" xr:uid="{56C117AB-3AD7-4EF4-8292-1AED8E71AB86}"/>
    <hyperlink ref="F292" r:id="rId27" xr:uid="{F2DA3DAF-AC3A-4838-89AF-DD6C2199E939}"/>
    <hyperlink ref="F295" r:id="rId28" xr:uid="{709AED09-E74D-41B6-A8D2-07594E1C0C3F}"/>
    <hyperlink ref="F299" r:id="rId29" xr:uid="{5B558D65-A43D-4B99-9271-BD42BFC5440A}"/>
    <hyperlink ref="F302" r:id="rId30" xr:uid="{6AA31344-7141-4C01-AF25-6B5B6B0EB8F2}"/>
    <hyperlink ref="F307" r:id="rId31" xr:uid="{BB757461-D5D1-4DB6-8E74-7DEE74FE1503}"/>
    <hyperlink ref="F311" r:id="rId32" xr:uid="{09898162-2D11-4A9E-8AAE-568947B7BB8A}"/>
    <hyperlink ref="F315" r:id="rId33" xr:uid="{801CE9DA-A120-469F-A6E5-7E81620032E2}"/>
    <hyperlink ref="F319" r:id="rId34" xr:uid="{7A423BE5-7A8C-43BE-99B6-2586B5E0ADFE}"/>
    <hyperlink ref="F323" r:id="rId35" xr:uid="{E5215B68-5A73-426A-A67E-CB6CB162DA78}"/>
    <hyperlink ref="F326" r:id="rId36" xr:uid="{BDB2E18B-B82F-4774-A589-C5BAC19127EC}"/>
    <hyperlink ref="F329" r:id="rId37" xr:uid="{249C265A-9134-4E76-8652-E5A521DAE05D}"/>
    <hyperlink ref="F336" r:id="rId38" xr:uid="{9E0DB8EC-2293-4CFD-9AA0-199BA9BA1C63}"/>
    <hyperlink ref="F339" r:id="rId39" xr:uid="{7226E730-C442-40E2-B0D6-9C18E6968967}"/>
    <hyperlink ref="F342" r:id="rId40" xr:uid="{A2110976-FF4F-4D74-AA11-9F93F6479368}"/>
    <hyperlink ref="F345" r:id="rId41" xr:uid="{D92B9838-4E8D-4B65-A060-10C2CFE90DA5}"/>
    <hyperlink ref="F349" r:id="rId42" xr:uid="{BF448FF6-EC54-40D2-8DB4-06FE49C3B14A}"/>
    <hyperlink ref="F353" r:id="rId43" xr:uid="{743DFB3E-14A4-4793-9A55-26049F3F33A8}"/>
    <hyperlink ref="F357" r:id="rId44" xr:uid="{C4B7A46F-D987-4DCC-BE7D-DE1A9EAA4457}"/>
    <hyperlink ref="F361" r:id="rId45" xr:uid="{4E8AB33D-FD67-4116-A71D-0854054BA3BD}"/>
    <hyperlink ref="F367" r:id="rId46" xr:uid="{8FD39E2B-1883-4D13-B3CE-F1B52876EE04}"/>
    <hyperlink ref="F369" r:id="rId47" xr:uid="{B983BA23-73E2-41FF-A30C-E6C3342099B5}"/>
    <hyperlink ref="F374" r:id="rId48" xr:uid="{4D9417F0-1CBB-4BD3-81A2-BDA5D20EBCF3}"/>
    <hyperlink ref="F378" r:id="rId49" xr:uid="{D64DAE1E-87EE-4AE1-9F90-1551953ACDFC}"/>
    <hyperlink ref="F381" r:id="rId50" xr:uid="{7C5F8BCE-3827-46C2-8DF6-7B5B6685397F}"/>
    <hyperlink ref="F384" r:id="rId51" xr:uid="{B164FF1D-6047-45DE-B602-4B74EE0D1642}"/>
    <hyperlink ref="F389" r:id="rId52" xr:uid="{0BBF64BC-A14F-428F-9933-9A390FD71B0A}"/>
    <hyperlink ref="F391" r:id="rId53" xr:uid="{2A726A2C-9807-4258-AF18-D885A452C919}"/>
    <hyperlink ref="F393" r:id="rId54" xr:uid="{B9B96FA0-028C-4841-BA35-16B861D1B16A}"/>
    <hyperlink ref="F395" r:id="rId55" xr:uid="{B4E4394A-DC88-434E-8CF6-88077B5B56C9}"/>
    <hyperlink ref="F397" r:id="rId56" xr:uid="{A0D165BC-C954-405A-90BE-ED49F8FBF0CC}"/>
    <hyperlink ref="F400" r:id="rId57" xr:uid="{26C0AC5A-11C3-4C06-81A7-ADF56DB3881A}"/>
    <hyperlink ref="F402" r:id="rId58" xr:uid="{4BBBFAA2-25AD-455D-AAC9-807A87DB00BB}"/>
    <hyperlink ref="F406" r:id="rId59" xr:uid="{7EA9F64A-946E-4114-A364-B49602CA0AEB}"/>
    <hyperlink ref="F410" r:id="rId60" xr:uid="{EAE97729-1827-4E2B-88F8-3942D49476CA}"/>
    <hyperlink ref="F415" r:id="rId61" xr:uid="{950E52EB-CE82-42AF-8EB9-F818F01A450C}"/>
    <hyperlink ref="F417" r:id="rId62" xr:uid="{9698A4F3-B9AA-4C4E-882A-94A9F2B3D8C1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O476"/>
  <sheetViews>
    <sheetView showGridLines="0" topLeftCell="A479" zoomScaleNormal="100" workbookViewId="0">
      <selection activeCell="F250" sqref="F25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3.16406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1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16.33203125" customWidth="1"/>
    <col min="27" max="27" width="11" customWidth="1"/>
    <col min="28" max="28" width="15" customWidth="1"/>
    <col min="29" max="29" width="16.33203125" customWidth="1"/>
    <col min="41" max="41" width="0" hidden="1" customWidth="1"/>
    <col min="42" max="54" width="9.33203125" hidden="1" customWidth="1"/>
    <col min="55" max="55" width="10.1640625" hidden="1" customWidth="1"/>
    <col min="56" max="60" width="9.33203125" hidden="1" customWidth="1"/>
    <col min="61" max="61" width="14" hidden="1" customWidth="1"/>
    <col min="62" max="67" width="9.33203125" hidden="1" customWidth="1"/>
    <col min="68" max="69" width="9.33203125" customWidth="1"/>
  </cols>
  <sheetData>
    <row r="2" spans="2:44" ht="36.950000000000003" customHeight="1" x14ac:dyDescent="0.2">
      <c r="L2" s="671" t="s">
        <v>4</v>
      </c>
      <c r="M2" s="653"/>
      <c r="N2" s="653"/>
      <c r="O2" s="653"/>
      <c r="P2" s="653"/>
      <c r="Q2" s="653"/>
      <c r="R2" s="653"/>
      <c r="S2" s="653"/>
      <c r="T2" s="653"/>
      <c r="U2" s="653"/>
      <c r="AR2" s="17" t="s">
        <v>71</v>
      </c>
    </row>
    <row r="3" spans="2:4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R3" s="17" t="s">
        <v>65</v>
      </c>
    </row>
    <row r="4" spans="2:44" ht="24.95" customHeight="1" x14ac:dyDescent="0.2">
      <c r="B4" s="20"/>
      <c r="D4" s="21" t="s">
        <v>72</v>
      </c>
      <c r="L4" s="20"/>
      <c r="M4" s="68" t="s">
        <v>9</v>
      </c>
      <c r="AR4" s="17" t="s">
        <v>2</v>
      </c>
    </row>
    <row r="5" spans="2:44" ht="6.95" customHeight="1" x14ac:dyDescent="0.2">
      <c r="B5" s="20"/>
      <c r="L5" s="20"/>
    </row>
    <row r="6" spans="2:44" ht="12" customHeight="1" x14ac:dyDescent="0.2">
      <c r="B6" s="20"/>
      <c r="D6" s="25" t="s">
        <v>13</v>
      </c>
      <c r="L6" s="20"/>
    </row>
    <row r="7" spans="2:44" ht="16.5" customHeight="1" x14ac:dyDescent="0.2">
      <c r="B7" s="20"/>
      <c r="E7" s="669" t="str">
        <f>Rekapitulace!K6</f>
        <v>Propojení Okružní x Na hroudách</v>
      </c>
      <c r="F7" s="670"/>
      <c r="G7" s="670"/>
      <c r="H7" s="670"/>
      <c r="L7" s="20"/>
    </row>
    <row r="8" spans="2:44" s="1" customFormat="1" ht="12" customHeight="1" x14ac:dyDescent="0.2">
      <c r="B8" s="28"/>
      <c r="D8" s="25" t="s">
        <v>73</v>
      </c>
      <c r="L8" s="28"/>
      <c r="W8"/>
      <c r="X8"/>
      <c r="Y8"/>
    </row>
    <row r="9" spans="2:44" s="1" customFormat="1" ht="16.5" customHeight="1" x14ac:dyDescent="0.2">
      <c r="B9" s="28"/>
      <c r="E9" s="638" t="s">
        <v>1104</v>
      </c>
      <c r="F9" s="668"/>
      <c r="G9" s="668"/>
      <c r="H9" s="668"/>
      <c r="L9" s="28"/>
      <c r="W9"/>
      <c r="X9"/>
      <c r="Y9"/>
    </row>
    <row r="10" spans="2:44" s="1" customFormat="1" x14ac:dyDescent="0.2">
      <c r="B10" s="28"/>
      <c r="L10" s="28"/>
      <c r="W10"/>
      <c r="X10"/>
      <c r="Y10"/>
    </row>
    <row r="11" spans="2:44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W11"/>
      <c r="X11"/>
      <c r="Y11"/>
    </row>
    <row r="12" spans="2:44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W12"/>
      <c r="X12"/>
      <c r="Y12"/>
    </row>
    <row r="13" spans="2:44" s="1" customFormat="1" ht="10.9" customHeight="1" x14ac:dyDescent="0.2">
      <c r="B13" s="28"/>
      <c r="L13" s="28"/>
      <c r="W13"/>
      <c r="X13"/>
      <c r="Y13"/>
    </row>
    <row r="14" spans="2:44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W14"/>
      <c r="X14"/>
      <c r="Y14"/>
    </row>
    <row r="15" spans="2:44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W15"/>
      <c r="X15"/>
      <c r="Y15"/>
    </row>
    <row r="16" spans="2:44" s="1" customFormat="1" ht="6.95" customHeight="1" x14ac:dyDescent="0.2">
      <c r="B16" s="28"/>
      <c r="L16" s="28"/>
      <c r="W16"/>
      <c r="X16"/>
      <c r="Y16"/>
    </row>
    <row r="17" spans="2:25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W17"/>
      <c r="X17"/>
      <c r="Y17"/>
    </row>
    <row r="18" spans="2:25" s="1" customFormat="1" ht="18" customHeight="1" x14ac:dyDescent="0.2">
      <c r="B18" s="28"/>
      <c r="E18" s="652" t="str">
        <f>Rekapitulace!E14</f>
        <v xml:space="preserve"> </v>
      </c>
      <c r="F18" s="652"/>
      <c r="G18" s="652"/>
      <c r="H18" s="652"/>
      <c r="I18" s="25" t="s">
        <v>24</v>
      </c>
      <c r="J18" s="23" t="str">
        <f>Rekapitulace!AN14</f>
        <v/>
      </c>
      <c r="L18" s="28"/>
      <c r="W18"/>
      <c r="X18"/>
      <c r="Y18"/>
    </row>
    <row r="19" spans="2:25" s="1" customFormat="1" ht="6.95" customHeight="1" x14ac:dyDescent="0.2">
      <c r="B19" s="28"/>
      <c r="L19" s="28"/>
      <c r="W19"/>
      <c r="X19"/>
      <c r="Y19"/>
    </row>
    <row r="20" spans="2:25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W20"/>
      <c r="X20"/>
      <c r="Y20"/>
    </row>
    <row r="21" spans="2:25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W21"/>
      <c r="X21"/>
      <c r="Y21"/>
    </row>
    <row r="22" spans="2:25" s="1" customFormat="1" ht="6.95" customHeight="1" x14ac:dyDescent="0.2">
      <c r="B22" s="28"/>
      <c r="L22" s="28"/>
      <c r="W22"/>
      <c r="X22"/>
      <c r="Y22"/>
    </row>
    <row r="23" spans="2:25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W23"/>
      <c r="X23"/>
      <c r="Y23"/>
    </row>
    <row r="24" spans="2:25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W24"/>
      <c r="X24"/>
      <c r="Y24"/>
    </row>
    <row r="25" spans="2:25" s="1" customFormat="1" ht="6.95" customHeight="1" x14ac:dyDescent="0.2">
      <c r="B25" s="28"/>
      <c r="L25" s="28"/>
      <c r="W25"/>
      <c r="X25"/>
      <c r="Y25"/>
    </row>
    <row r="26" spans="2:25" s="1" customFormat="1" ht="12" customHeight="1" x14ac:dyDescent="0.2">
      <c r="B26" s="28"/>
      <c r="D26" s="25" t="s">
        <v>32</v>
      </c>
      <c r="L26" s="28"/>
      <c r="W26"/>
      <c r="X26"/>
      <c r="Y26"/>
    </row>
    <row r="27" spans="2:25" s="7" customFormat="1" ht="16.5" customHeight="1" x14ac:dyDescent="0.2">
      <c r="B27" s="69"/>
      <c r="E27" s="655" t="s">
        <v>1</v>
      </c>
      <c r="F27" s="655"/>
      <c r="G27" s="655"/>
      <c r="H27" s="655"/>
      <c r="L27" s="69"/>
      <c r="W27"/>
      <c r="X27"/>
      <c r="Y27"/>
    </row>
    <row r="28" spans="2:25" s="1" customFormat="1" ht="6.95" customHeight="1" x14ac:dyDescent="0.2">
      <c r="B28" s="28"/>
      <c r="L28" s="28"/>
      <c r="W28"/>
      <c r="X28"/>
      <c r="Y28"/>
    </row>
    <row r="29" spans="2:25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W29"/>
      <c r="X29"/>
      <c r="Y29"/>
    </row>
    <row r="30" spans="2:25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W30"/>
      <c r="X30"/>
      <c r="Y30"/>
    </row>
    <row r="31" spans="2:25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W31"/>
      <c r="X31"/>
      <c r="Y31"/>
    </row>
    <row r="32" spans="2:25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W32"/>
      <c r="X32"/>
      <c r="Y32"/>
    </row>
    <row r="33" spans="2:25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W33"/>
      <c r="X33"/>
      <c r="Y33"/>
    </row>
    <row r="34" spans="2:25" s="1" customFormat="1" ht="14.45" customHeight="1" x14ac:dyDescent="0.2">
      <c r="B34" s="28"/>
      <c r="E34" s="25" t="s">
        <v>40</v>
      </c>
      <c r="F34" s="71">
        <f>ROUND((SUM(BD88:BD463)),  2)</f>
        <v>0</v>
      </c>
      <c r="I34" s="72">
        <v>0.15</v>
      </c>
      <c r="J34" s="71">
        <f>ROUND(((SUM(BD88:BD463))*I34),  2)</f>
        <v>0</v>
      </c>
      <c r="L34" s="28"/>
      <c r="W34"/>
      <c r="X34"/>
      <c r="Y34"/>
    </row>
    <row r="35" spans="2:25" s="1" customFormat="1" ht="14.45" hidden="1" customHeight="1" x14ac:dyDescent="0.2">
      <c r="B35" s="28"/>
      <c r="E35" s="25" t="s">
        <v>41</v>
      </c>
      <c r="F35" s="71">
        <f>ROUND((SUM(BE88:BE463)),  2)</f>
        <v>0</v>
      </c>
      <c r="I35" s="72">
        <v>0.21</v>
      </c>
      <c r="J35" s="71">
        <f>0</f>
        <v>0</v>
      </c>
      <c r="L35" s="28"/>
      <c r="W35"/>
      <c r="X35"/>
      <c r="Y35"/>
    </row>
    <row r="36" spans="2:25" s="1" customFormat="1" ht="14.45" hidden="1" customHeight="1" x14ac:dyDescent="0.2">
      <c r="B36" s="28"/>
      <c r="E36" s="25" t="s">
        <v>42</v>
      </c>
      <c r="F36" s="71">
        <f>ROUND((SUM(BF88:BF463)),  2)</f>
        <v>0</v>
      </c>
      <c r="I36" s="72">
        <v>0.15</v>
      </c>
      <c r="J36" s="71">
        <f>0</f>
        <v>0</v>
      </c>
      <c r="L36" s="28"/>
      <c r="W36"/>
      <c r="X36"/>
      <c r="Y36"/>
    </row>
    <row r="37" spans="2:25" s="1" customFormat="1" ht="14.45" hidden="1" customHeight="1" x14ac:dyDescent="0.2">
      <c r="B37" s="28"/>
      <c r="E37" s="25" t="s">
        <v>43</v>
      </c>
      <c r="F37" s="71">
        <f>ROUND((SUM(BG88:BG463)),  2)</f>
        <v>0</v>
      </c>
      <c r="I37" s="72">
        <v>0</v>
      </c>
      <c r="J37" s="71">
        <f>0</f>
        <v>0</v>
      </c>
      <c r="L37" s="28"/>
      <c r="W37"/>
      <c r="X37"/>
      <c r="Y37"/>
    </row>
    <row r="38" spans="2:25" s="1" customFormat="1" ht="6.95" customHeight="1" x14ac:dyDescent="0.2">
      <c r="B38" s="28"/>
      <c r="L38" s="28"/>
      <c r="W38"/>
      <c r="X38"/>
      <c r="Y38"/>
    </row>
    <row r="39" spans="2:25" s="1" customFormat="1" ht="25.35" customHeight="1" x14ac:dyDescent="0.2">
      <c r="B39" s="28"/>
      <c r="C39" s="73"/>
      <c r="D39" s="74" t="s">
        <v>44</v>
      </c>
      <c r="E39" s="49"/>
      <c r="F39" s="49"/>
      <c r="G39" s="75" t="s">
        <v>45</v>
      </c>
      <c r="H39" s="76" t="s">
        <v>46</v>
      </c>
      <c r="I39" s="49"/>
      <c r="J39" s="77">
        <f>SUM(J30:J37)</f>
        <v>0</v>
      </c>
      <c r="K39" s="78"/>
      <c r="L39" s="28"/>
      <c r="W39"/>
      <c r="X39"/>
      <c r="Y39"/>
    </row>
    <row r="40" spans="2:25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W40"/>
      <c r="X40"/>
      <c r="Y40"/>
    </row>
    <row r="44" spans="2:25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W44"/>
      <c r="X44"/>
      <c r="Y44"/>
    </row>
    <row r="45" spans="2:25" s="1" customFormat="1" ht="24.95" customHeight="1" x14ac:dyDescent="0.2">
      <c r="B45" s="28"/>
      <c r="C45" s="21" t="s">
        <v>75</v>
      </c>
      <c r="L45" s="28"/>
      <c r="W45"/>
      <c r="X45"/>
      <c r="Y45"/>
    </row>
    <row r="46" spans="2:25" s="1" customFormat="1" ht="6.95" customHeight="1" x14ac:dyDescent="0.2">
      <c r="B46" s="28"/>
      <c r="L46" s="28"/>
      <c r="W46"/>
      <c r="X46"/>
      <c r="Y46"/>
    </row>
    <row r="47" spans="2:25" s="1" customFormat="1" ht="12" customHeight="1" x14ac:dyDescent="0.2">
      <c r="B47" s="28"/>
      <c r="C47" s="25" t="s">
        <v>13</v>
      </c>
      <c r="L47" s="28"/>
      <c r="W47"/>
      <c r="X47"/>
      <c r="Y47"/>
    </row>
    <row r="48" spans="2:25" s="1" customFormat="1" ht="16.5" customHeight="1" x14ac:dyDescent="0.2">
      <c r="B48" s="28"/>
      <c r="E48" s="669" t="str">
        <f>E7</f>
        <v>Propojení Okružní x Na hroudách</v>
      </c>
      <c r="F48" s="670"/>
      <c r="G48" s="670"/>
      <c r="H48" s="670"/>
      <c r="L48" s="28"/>
      <c r="W48"/>
      <c r="X48"/>
      <c r="Y48"/>
    </row>
    <row r="49" spans="2:45" s="1" customFormat="1" ht="12" customHeight="1" x14ac:dyDescent="0.2">
      <c r="B49" s="28"/>
      <c r="C49" s="25" t="s">
        <v>73</v>
      </c>
      <c r="L49" s="28"/>
      <c r="W49"/>
      <c r="X49"/>
      <c r="Y49"/>
    </row>
    <row r="50" spans="2:45" s="1" customFormat="1" ht="16.5" customHeight="1" x14ac:dyDescent="0.2">
      <c r="B50" s="28"/>
      <c r="E50" s="638" t="str">
        <f>E9</f>
        <v>SO 330 - Odvodnění</v>
      </c>
      <c r="F50" s="668"/>
      <c r="G50" s="668"/>
      <c r="H50" s="668"/>
      <c r="L50" s="28"/>
      <c r="W50"/>
      <c r="X50"/>
      <c r="Y50"/>
    </row>
    <row r="51" spans="2:45" s="1" customFormat="1" ht="6.95" customHeight="1" x14ac:dyDescent="0.2">
      <c r="B51" s="28"/>
      <c r="L51" s="28"/>
      <c r="W51"/>
      <c r="X51"/>
      <c r="Y51"/>
    </row>
    <row r="52" spans="2:45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W52"/>
      <c r="X52"/>
      <c r="Y52"/>
    </row>
    <row r="53" spans="2:45" s="1" customFormat="1" ht="6.95" customHeight="1" x14ac:dyDescent="0.2">
      <c r="B53" s="28"/>
      <c r="L53" s="28"/>
      <c r="W53"/>
      <c r="X53"/>
      <c r="Y53"/>
    </row>
    <row r="54" spans="2:45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W54"/>
      <c r="X54"/>
      <c r="Y54"/>
    </row>
    <row r="55" spans="2:45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W55"/>
      <c r="X55"/>
      <c r="Y55"/>
    </row>
    <row r="56" spans="2:45" s="1" customFormat="1" ht="10.35" customHeight="1" x14ac:dyDescent="0.2">
      <c r="B56" s="28"/>
      <c r="L56" s="28"/>
      <c r="W56"/>
      <c r="X56"/>
      <c r="Y56"/>
    </row>
    <row r="57" spans="2:45" s="1" customFormat="1" ht="29.25" customHeight="1" x14ac:dyDescent="0.2">
      <c r="B57" s="28"/>
      <c r="C57" s="79" t="s">
        <v>76</v>
      </c>
      <c r="D57" s="73"/>
      <c r="E57" s="73"/>
      <c r="F57" s="73"/>
      <c r="G57" s="73"/>
      <c r="H57" s="73"/>
      <c r="I57" s="73"/>
      <c r="J57" s="80" t="s">
        <v>77</v>
      </c>
      <c r="K57" s="73"/>
      <c r="L57" s="28"/>
      <c r="W57"/>
      <c r="X57"/>
      <c r="Y57"/>
    </row>
    <row r="58" spans="2:45" s="1" customFormat="1" ht="10.35" customHeight="1" x14ac:dyDescent="0.2">
      <c r="B58" s="28"/>
      <c r="L58" s="28"/>
      <c r="W58"/>
      <c r="X58"/>
      <c r="Y58"/>
    </row>
    <row r="59" spans="2:45" s="1" customFormat="1" ht="22.9" customHeight="1" x14ac:dyDescent="0.2">
      <c r="B59" s="28"/>
      <c r="C59" s="81" t="s">
        <v>53</v>
      </c>
      <c r="J59" s="58">
        <f>J88</f>
        <v>0</v>
      </c>
      <c r="L59" s="28"/>
      <c r="W59"/>
      <c r="X59"/>
      <c r="Y59"/>
      <c r="AS59" s="17" t="s">
        <v>78</v>
      </c>
    </row>
    <row r="60" spans="2:45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W60"/>
      <c r="X60"/>
      <c r="Y60"/>
    </row>
    <row r="61" spans="2:45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W61"/>
      <c r="X61"/>
      <c r="Y61"/>
    </row>
    <row r="62" spans="2:45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J371</f>
        <v>0</v>
      </c>
      <c r="L62" s="86"/>
      <c r="W62"/>
      <c r="X62"/>
      <c r="Y62"/>
    </row>
    <row r="63" spans="2:45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J374</f>
        <v>0</v>
      </c>
      <c r="L63" s="86"/>
      <c r="W63"/>
      <c r="X63"/>
      <c r="Y63"/>
    </row>
    <row r="64" spans="2:45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J396</f>
        <v>0</v>
      </c>
      <c r="L64" s="86"/>
      <c r="W64"/>
      <c r="X64"/>
      <c r="Y64"/>
    </row>
    <row r="65" spans="2:25" s="9" customFormat="1" ht="19.899999999999999" customHeight="1" x14ac:dyDescent="0.2">
      <c r="B65" s="86"/>
      <c r="D65" s="87" t="s">
        <v>1105</v>
      </c>
      <c r="E65" s="88"/>
      <c r="F65" s="88"/>
      <c r="G65" s="88"/>
      <c r="H65" s="88"/>
      <c r="I65" s="88"/>
      <c r="J65" s="89">
        <f>J435</f>
        <v>0</v>
      </c>
      <c r="L65" s="86"/>
      <c r="W65"/>
      <c r="X65"/>
      <c r="Y65"/>
    </row>
    <row r="66" spans="2:25" s="9" customFormat="1" ht="19.899999999999999" customHeight="1" x14ac:dyDescent="0.2">
      <c r="B66" s="86"/>
      <c r="D66" s="87" t="s">
        <v>83</v>
      </c>
      <c r="E66" s="88"/>
      <c r="F66" s="88"/>
      <c r="G66" s="88"/>
      <c r="H66" s="88"/>
      <c r="I66" s="88"/>
      <c r="J66" s="89">
        <f>J454</f>
        <v>0</v>
      </c>
      <c r="L66" s="86"/>
      <c r="W66"/>
      <c r="X66"/>
      <c r="Y66"/>
    </row>
    <row r="67" spans="2:25" s="8" customFormat="1" ht="24.95" customHeight="1" x14ac:dyDescent="0.2">
      <c r="B67" s="82"/>
      <c r="D67" s="83" t="s">
        <v>649</v>
      </c>
      <c r="E67" s="84"/>
      <c r="F67" s="84"/>
      <c r="G67" s="84"/>
      <c r="H67" s="84"/>
      <c r="I67" s="84"/>
      <c r="J67" s="85">
        <f>J459</f>
        <v>0</v>
      </c>
      <c r="L67" s="82"/>
      <c r="W67"/>
      <c r="X67"/>
      <c r="Y67"/>
    </row>
    <row r="68" spans="2:25" s="9" customFormat="1" ht="19.899999999999999" customHeight="1" x14ac:dyDescent="0.2">
      <c r="B68" s="86"/>
      <c r="D68" s="87" t="s">
        <v>650</v>
      </c>
      <c r="E68" s="88"/>
      <c r="F68" s="88"/>
      <c r="G68" s="88"/>
      <c r="H68" s="88"/>
      <c r="I68" s="88"/>
      <c r="J68" s="89">
        <f>J460</f>
        <v>0</v>
      </c>
      <c r="L68" s="86"/>
      <c r="W68"/>
      <c r="X68"/>
      <c r="Y68"/>
    </row>
    <row r="69" spans="2:25" s="1" customFormat="1" ht="21.75" customHeight="1" x14ac:dyDescent="0.2">
      <c r="B69" s="28"/>
      <c r="D69" s="83" t="s">
        <v>1828</v>
      </c>
      <c r="E69" s="84"/>
      <c r="F69" s="84"/>
      <c r="G69" s="84"/>
      <c r="H69" s="84"/>
      <c r="I69" s="84"/>
      <c r="J69" s="85">
        <f>J465</f>
        <v>0</v>
      </c>
      <c r="L69" s="28"/>
      <c r="W69"/>
      <c r="X69"/>
      <c r="Y69"/>
    </row>
    <row r="70" spans="2:25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W70"/>
      <c r="X70"/>
      <c r="Y70"/>
    </row>
    <row r="74" spans="2:25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W74"/>
      <c r="X74"/>
      <c r="Y74"/>
    </row>
    <row r="75" spans="2:25" s="1" customFormat="1" ht="24.95" customHeight="1" x14ac:dyDescent="0.2">
      <c r="B75" s="28"/>
      <c r="C75" s="21" t="s">
        <v>86</v>
      </c>
      <c r="L75" s="28"/>
      <c r="W75"/>
      <c r="X75"/>
      <c r="Y75"/>
    </row>
    <row r="76" spans="2:25" s="1" customFormat="1" ht="6.95" customHeight="1" x14ac:dyDescent="0.2">
      <c r="B76" s="28"/>
      <c r="L76" s="28"/>
      <c r="W76"/>
      <c r="X76"/>
      <c r="Y76"/>
    </row>
    <row r="77" spans="2:25" s="1" customFormat="1" ht="12" customHeight="1" x14ac:dyDescent="0.2">
      <c r="B77" s="28"/>
      <c r="C77" s="25" t="s">
        <v>13</v>
      </c>
      <c r="L77" s="28"/>
      <c r="W77"/>
      <c r="X77"/>
      <c r="Y77"/>
    </row>
    <row r="78" spans="2:25" s="1" customFormat="1" ht="16.5" customHeight="1" x14ac:dyDescent="0.2">
      <c r="B78" s="28"/>
      <c r="E78" s="669" t="str">
        <f>E7</f>
        <v>Propojení Okružní x Na hroudách</v>
      </c>
      <c r="F78" s="670"/>
      <c r="G78" s="670"/>
      <c r="H78" s="670"/>
      <c r="L78" s="28"/>
      <c r="W78"/>
      <c r="X78"/>
      <c r="Y78"/>
    </row>
    <row r="79" spans="2:25" s="1" customFormat="1" ht="12" customHeight="1" x14ac:dyDescent="0.2">
      <c r="B79" s="28"/>
      <c r="C79" s="25" t="s">
        <v>73</v>
      </c>
      <c r="L79" s="28"/>
      <c r="W79"/>
      <c r="X79"/>
      <c r="Y79"/>
    </row>
    <row r="80" spans="2:25" s="1" customFormat="1" ht="16.5" customHeight="1" x14ac:dyDescent="0.2">
      <c r="B80" s="28"/>
      <c r="E80" s="638" t="str">
        <f>E9</f>
        <v>SO 330 - Odvodnění</v>
      </c>
      <c r="F80" s="668"/>
      <c r="G80" s="668"/>
      <c r="H80" s="668"/>
      <c r="L80" s="28"/>
      <c r="W80"/>
      <c r="X80"/>
      <c r="Y80"/>
    </row>
    <row r="81" spans="2:63" s="1" customFormat="1" ht="6.95" customHeight="1" x14ac:dyDescent="0.2">
      <c r="B81" s="28"/>
      <c r="L81" s="28"/>
      <c r="W81"/>
      <c r="X81"/>
      <c r="Y81"/>
    </row>
    <row r="82" spans="2:63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W82"/>
      <c r="X82"/>
      <c r="Y82"/>
    </row>
    <row r="83" spans="2:63" s="1" customFormat="1" ht="6.95" customHeight="1" x14ac:dyDescent="0.2">
      <c r="B83" s="28"/>
      <c r="L83" s="28"/>
      <c r="W83"/>
      <c r="X83"/>
      <c r="Y83"/>
    </row>
    <row r="84" spans="2:63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W84"/>
      <c r="X84"/>
      <c r="Y84"/>
    </row>
    <row r="85" spans="2:63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W85"/>
      <c r="X85"/>
      <c r="Y85"/>
    </row>
    <row r="86" spans="2:63" s="1" customFormat="1" ht="10.35" customHeight="1" x14ac:dyDescent="0.2">
      <c r="B86" s="28"/>
      <c r="L86" s="28"/>
      <c r="W86"/>
      <c r="X86"/>
      <c r="Y86"/>
    </row>
    <row r="87" spans="2:63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92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W87"/>
      <c r="X87"/>
      <c r="Y87"/>
    </row>
    <row r="88" spans="2:63" s="1" customFormat="1" ht="22.9" customHeight="1" x14ac:dyDescent="0.25">
      <c r="B88" s="28"/>
      <c r="C88" s="56" t="s">
        <v>98</v>
      </c>
      <c r="J88" s="94">
        <f>BI88</f>
        <v>0</v>
      </c>
      <c r="K88" s="121"/>
      <c r="L88" s="28"/>
      <c r="M88" s="54"/>
      <c r="N88" s="46"/>
      <c r="O88" s="46"/>
      <c r="P88" s="95">
        <f>P89+P459</f>
        <v>325.50614531999997</v>
      </c>
      <c r="Q88" s="46"/>
      <c r="R88" s="95">
        <f>R89+R459</f>
        <v>7.4884387501999994</v>
      </c>
      <c r="S88" s="46"/>
      <c r="T88" s="96">
        <f>T89+T459</f>
        <v>4.0500000000000001E-2</v>
      </c>
      <c r="W88"/>
      <c r="X88"/>
      <c r="Y88"/>
      <c r="AR88" s="17" t="s">
        <v>54</v>
      </c>
      <c r="AS88" s="17" t="s">
        <v>78</v>
      </c>
      <c r="BI88" s="97">
        <f>BI89+BI459+BI465</f>
        <v>0</v>
      </c>
    </row>
    <row r="89" spans="2:63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BI89</f>
        <v>0</v>
      </c>
      <c r="L89" s="98"/>
      <c r="M89" s="102"/>
      <c r="P89" s="103">
        <f>P90+P371+P374+P396+P435+P454</f>
        <v>322.55614531999998</v>
      </c>
      <c r="R89" s="103">
        <f>R90+R371+R374+R396+R435+R454</f>
        <v>7.4878487501999995</v>
      </c>
      <c r="T89" s="104">
        <f>T90+T371+T374+T396+T435+T454</f>
        <v>4.0500000000000001E-2</v>
      </c>
      <c r="W89"/>
      <c r="X89"/>
      <c r="Y89"/>
      <c r="AP89" s="99" t="s">
        <v>63</v>
      </c>
      <c r="AR89" s="105" t="s">
        <v>54</v>
      </c>
      <c r="AS89" s="105" t="s">
        <v>55</v>
      </c>
      <c r="AW89" s="99" t="s">
        <v>101</v>
      </c>
      <c r="BI89" s="106">
        <f>BI90+BI371+BI374+BI396+BI435+BI454</f>
        <v>0</v>
      </c>
    </row>
    <row r="90" spans="2:63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BI90</f>
        <v>0</v>
      </c>
      <c r="L90" s="98"/>
      <c r="M90" s="102"/>
      <c r="P90" s="103">
        <f>SUM(P91:P369)</f>
        <v>252.35917953999999</v>
      </c>
      <c r="R90" s="103">
        <f>SUM(R91:R369)</f>
        <v>9.4406155200000008E-2</v>
      </c>
      <c r="T90" s="104">
        <f>SUM(T91:T369)</f>
        <v>0</v>
      </c>
      <c r="W90"/>
      <c r="X90"/>
      <c r="Y90"/>
      <c r="AP90" s="99" t="s">
        <v>63</v>
      </c>
      <c r="AR90" s="105" t="s">
        <v>54</v>
      </c>
      <c r="AS90" s="105" t="s">
        <v>63</v>
      </c>
      <c r="AW90" s="99" t="s">
        <v>101</v>
      </c>
      <c r="BI90" s="106">
        <f>SUM(BI91:BI369)</f>
        <v>0</v>
      </c>
    </row>
    <row r="91" spans="2:63" s="1" customFormat="1" ht="62.65" customHeight="1" x14ac:dyDescent="0.2">
      <c r="B91" s="109"/>
      <c r="C91" s="110" t="s">
        <v>63</v>
      </c>
      <c r="D91" s="110" t="s">
        <v>103</v>
      </c>
      <c r="E91" s="111" t="s">
        <v>1106</v>
      </c>
      <c r="F91" s="112" t="s">
        <v>1107</v>
      </c>
      <c r="G91" s="113" t="s">
        <v>130</v>
      </c>
      <c r="H91" s="114">
        <f>573.337*0.18</f>
        <v>103.20066</v>
      </c>
      <c r="I91" s="115">
        <v>0</v>
      </c>
      <c r="J91" s="115">
        <f>ROUND(I91*H91,2)</f>
        <v>0</v>
      </c>
      <c r="K91" s="112" t="s">
        <v>107</v>
      </c>
      <c r="L91" s="28"/>
      <c r="M91" s="116" t="s">
        <v>1</v>
      </c>
      <c r="N91" s="117" t="s">
        <v>39</v>
      </c>
      <c r="O91" s="118">
        <v>9.1999999999999998E-2</v>
      </c>
      <c r="P91" s="118">
        <f>O91*H91</f>
        <v>9.4944607199999993</v>
      </c>
      <c r="Q91" s="118">
        <v>0</v>
      </c>
      <c r="R91" s="118">
        <f>Q91*H91</f>
        <v>0</v>
      </c>
      <c r="S91" s="118">
        <v>0</v>
      </c>
      <c r="T91" s="119">
        <f>S91*H91</f>
        <v>0</v>
      </c>
      <c r="W91"/>
      <c r="X91"/>
      <c r="Y91"/>
      <c r="AP91" s="120" t="s">
        <v>108</v>
      </c>
      <c r="AR91" s="120" t="s">
        <v>103</v>
      </c>
      <c r="AS91" s="120" t="s">
        <v>65</v>
      </c>
      <c r="AW91" s="17" t="s">
        <v>101</v>
      </c>
      <c r="BC91" s="121">
        <f>IF(N91="základní",J91,0)</f>
        <v>0</v>
      </c>
      <c r="BD91" s="121">
        <f>IF(N91="snížená",J91,0)</f>
        <v>0</v>
      </c>
      <c r="BE91" s="121">
        <f>IF(N91="zákl. přenesená",J91,0)</f>
        <v>0</v>
      </c>
      <c r="BF91" s="121">
        <f>IF(N91="sníž. přenesená",J91,0)</f>
        <v>0</v>
      </c>
      <c r="BG91" s="121">
        <f>IF(N91="nulová",J91,0)</f>
        <v>0</v>
      </c>
      <c r="BH91" s="17" t="s">
        <v>63</v>
      </c>
      <c r="BI91" s="121">
        <f>ROUND(I91*H91,2)</f>
        <v>0</v>
      </c>
      <c r="BJ91" s="17" t="s">
        <v>108</v>
      </c>
      <c r="BK91" s="120" t="s">
        <v>1108</v>
      </c>
    </row>
    <row r="92" spans="2:63" s="1" customFormat="1" x14ac:dyDescent="0.2">
      <c r="B92" s="28"/>
      <c r="D92" s="122" t="s">
        <v>110</v>
      </c>
      <c r="F92" s="123" t="s">
        <v>1109</v>
      </c>
      <c r="L92" s="28"/>
      <c r="M92" s="124"/>
      <c r="T92" s="48"/>
      <c r="W92"/>
      <c r="X92"/>
      <c r="Y92"/>
      <c r="AR92" s="17" t="s">
        <v>110</v>
      </c>
      <c r="AS92" s="17" t="s">
        <v>65</v>
      </c>
    </row>
    <row r="93" spans="2:63" s="12" customFormat="1" x14ac:dyDescent="0.2">
      <c r="B93" s="125"/>
      <c r="D93" s="126" t="s">
        <v>112</v>
      </c>
      <c r="E93" s="127" t="s">
        <v>1</v>
      </c>
      <c r="F93" s="128" t="s">
        <v>1110</v>
      </c>
      <c r="H93" s="127" t="s">
        <v>1</v>
      </c>
      <c r="L93" s="125"/>
      <c r="M93" s="129"/>
      <c r="T93" s="130"/>
      <c r="W93"/>
      <c r="X93"/>
      <c r="Y93"/>
      <c r="AR93" s="127" t="s">
        <v>112</v>
      </c>
      <c r="AS93" s="127" t="s">
        <v>65</v>
      </c>
      <c r="AT93" s="12" t="s">
        <v>63</v>
      </c>
      <c r="AU93" s="12" t="s">
        <v>30</v>
      </c>
      <c r="AV93" s="12" t="s">
        <v>55</v>
      </c>
      <c r="AW93" s="127" t="s">
        <v>101</v>
      </c>
    </row>
    <row r="94" spans="2:63" s="12" customFormat="1" x14ac:dyDescent="0.2">
      <c r="B94" s="125"/>
      <c r="D94" s="126" t="s">
        <v>112</v>
      </c>
      <c r="E94" s="127" t="s">
        <v>1</v>
      </c>
      <c r="F94" s="128" t="s">
        <v>1111</v>
      </c>
      <c r="H94" s="127" t="s">
        <v>1</v>
      </c>
      <c r="L94" s="125"/>
      <c r="M94" s="129"/>
      <c r="T94" s="130"/>
      <c r="W94"/>
      <c r="X94"/>
      <c r="Y94"/>
      <c r="AR94" s="127" t="s">
        <v>112</v>
      </c>
      <c r="AS94" s="127" t="s">
        <v>65</v>
      </c>
      <c r="AT94" s="12" t="s">
        <v>63</v>
      </c>
      <c r="AU94" s="12" t="s">
        <v>30</v>
      </c>
      <c r="AV94" s="12" t="s">
        <v>55</v>
      </c>
      <c r="AW94" s="127" t="s">
        <v>101</v>
      </c>
    </row>
    <row r="95" spans="2:63" s="13" customFormat="1" x14ac:dyDescent="0.2">
      <c r="B95" s="131"/>
      <c r="D95" s="126" t="s">
        <v>112</v>
      </c>
      <c r="E95" s="132" t="s">
        <v>1</v>
      </c>
      <c r="F95" s="133" t="s">
        <v>1112</v>
      </c>
      <c r="H95" s="134">
        <v>13.26</v>
      </c>
      <c r="L95" s="131"/>
      <c r="M95" s="135"/>
      <c r="T95" s="136"/>
      <c r="W95"/>
      <c r="X95"/>
      <c r="Y95"/>
      <c r="AR95" s="132" t="s">
        <v>112</v>
      </c>
      <c r="AS95" s="132" t="s">
        <v>65</v>
      </c>
      <c r="AT95" s="13" t="s">
        <v>65</v>
      </c>
      <c r="AU95" s="13" t="s">
        <v>30</v>
      </c>
      <c r="AV95" s="13" t="s">
        <v>55</v>
      </c>
      <c r="AW95" s="132" t="s">
        <v>101</v>
      </c>
    </row>
    <row r="96" spans="2:63" s="13" customFormat="1" x14ac:dyDescent="0.2">
      <c r="B96" s="131"/>
      <c r="D96" s="126" t="s">
        <v>112</v>
      </c>
      <c r="E96" s="132" t="s">
        <v>1</v>
      </c>
      <c r="F96" s="133" t="s">
        <v>1113</v>
      </c>
      <c r="H96" s="134">
        <v>53.15</v>
      </c>
      <c r="L96" s="131"/>
      <c r="M96" s="135"/>
      <c r="T96" s="136"/>
      <c r="W96"/>
      <c r="X96"/>
      <c r="Y96"/>
      <c r="AR96" s="132" t="s">
        <v>112</v>
      </c>
      <c r="AS96" s="132" t="s">
        <v>65</v>
      </c>
      <c r="AT96" s="13" t="s">
        <v>65</v>
      </c>
      <c r="AU96" s="13" t="s">
        <v>30</v>
      </c>
      <c r="AV96" s="13" t="s">
        <v>55</v>
      </c>
      <c r="AW96" s="132" t="s">
        <v>101</v>
      </c>
    </row>
    <row r="97" spans="2:49" s="13" customFormat="1" x14ac:dyDescent="0.2">
      <c r="B97" s="131"/>
      <c r="D97" s="126" t="s">
        <v>112</v>
      </c>
      <c r="E97" s="132" t="s">
        <v>1</v>
      </c>
      <c r="F97" s="133" t="s">
        <v>1114</v>
      </c>
      <c r="H97" s="134">
        <v>5.3479999999999999</v>
      </c>
      <c r="L97" s="131"/>
      <c r="M97" s="135"/>
      <c r="T97" s="136"/>
      <c r="W97"/>
      <c r="X97"/>
      <c r="Y97"/>
      <c r="AR97" s="132" t="s">
        <v>112</v>
      </c>
      <c r="AS97" s="132" t="s">
        <v>65</v>
      </c>
      <c r="AT97" s="13" t="s">
        <v>65</v>
      </c>
      <c r="AU97" s="13" t="s">
        <v>30</v>
      </c>
      <c r="AV97" s="13" t="s">
        <v>55</v>
      </c>
      <c r="AW97" s="132" t="s">
        <v>101</v>
      </c>
    </row>
    <row r="98" spans="2:49" s="13" customFormat="1" x14ac:dyDescent="0.2">
      <c r="B98" s="131"/>
      <c r="D98" s="126" t="s">
        <v>112</v>
      </c>
      <c r="E98" s="132" t="s">
        <v>1</v>
      </c>
      <c r="F98" s="133" t="s">
        <v>1115</v>
      </c>
      <c r="H98" s="134">
        <v>16.238</v>
      </c>
      <c r="L98" s="131"/>
      <c r="M98" s="135"/>
      <c r="T98" s="136"/>
      <c r="W98"/>
      <c r="X98"/>
      <c r="Y98"/>
      <c r="AR98" s="132" t="s">
        <v>112</v>
      </c>
      <c r="AS98" s="132" t="s">
        <v>65</v>
      </c>
      <c r="AT98" s="13" t="s">
        <v>65</v>
      </c>
      <c r="AU98" s="13" t="s">
        <v>30</v>
      </c>
      <c r="AV98" s="13" t="s">
        <v>55</v>
      </c>
      <c r="AW98" s="132" t="s">
        <v>101</v>
      </c>
    </row>
    <row r="99" spans="2:49" s="13" customFormat="1" x14ac:dyDescent="0.2">
      <c r="B99" s="131"/>
      <c r="D99" s="126" t="s">
        <v>112</v>
      </c>
      <c r="E99" s="132" t="s">
        <v>1</v>
      </c>
      <c r="F99" s="133" t="s">
        <v>1116</v>
      </c>
      <c r="H99" s="134">
        <v>26.4</v>
      </c>
      <c r="L99" s="131"/>
      <c r="M99" s="135"/>
      <c r="T99" s="136"/>
      <c r="W99"/>
      <c r="X99"/>
      <c r="Y99"/>
      <c r="AR99" s="132" t="s">
        <v>112</v>
      </c>
      <c r="AS99" s="132" t="s">
        <v>65</v>
      </c>
      <c r="AT99" s="13" t="s">
        <v>65</v>
      </c>
      <c r="AU99" s="13" t="s">
        <v>30</v>
      </c>
      <c r="AV99" s="13" t="s">
        <v>55</v>
      </c>
      <c r="AW99" s="132" t="s">
        <v>101</v>
      </c>
    </row>
    <row r="100" spans="2:49" s="13" customFormat="1" x14ac:dyDescent="0.2">
      <c r="B100" s="131"/>
      <c r="D100" s="126" t="s">
        <v>112</v>
      </c>
      <c r="E100" s="132" t="s">
        <v>1</v>
      </c>
      <c r="F100" s="133" t="s">
        <v>1117</v>
      </c>
      <c r="H100" s="134">
        <v>33.695999999999998</v>
      </c>
      <c r="L100" s="131"/>
      <c r="M100" s="135"/>
      <c r="T100" s="136"/>
      <c r="W100"/>
      <c r="X100"/>
      <c r="Y100"/>
      <c r="AR100" s="132" t="s">
        <v>112</v>
      </c>
      <c r="AS100" s="132" t="s">
        <v>65</v>
      </c>
      <c r="AT100" s="13" t="s">
        <v>65</v>
      </c>
      <c r="AU100" s="13" t="s">
        <v>30</v>
      </c>
      <c r="AV100" s="13" t="s">
        <v>55</v>
      </c>
      <c r="AW100" s="132" t="s">
        <v>101</v>
      </c>
    </row>
    <row r="101" spans="2:49" s="13" customFormat="1" x14ac:dyDescent="0.2">
      <c r="B101" s="131"/>
      <c r="D101" s="126" t="s">
        <v>112</v>
      </c>
      <c r="E101" s="132" t="s">
        <v>1</v>
      </c>
      <c r="F101" s="133" t="s">
        <v>1118</v>
      </c>
      <c r="H101" s="134">
        <v>30.54</v>
      </c>
      <c r="L101" s="131"/>
      <c r="M101" s="135"/>
      <c r="T101" s="136"/>
      <c r="W101"/>
      <c r="X101"/>
      <c r="Y101"/>
      <c r="AR101" s="132" t="s">
        <v>112</v>
      </c>
      <c r="AS101" s="132" t="s">
        <v>65</v>
      </c>
      <c r="AT101" s="13" t="s">
        <v>65</v>
      </c>
      <c r="AU101" s="13" t="s">
        <v>30</v>
      </c>
      <c r="AV101" s="13" t="s">
        <v>55</v>
      </c>
      <c r="AW101" s="132" t="s">
        <v>101</v>
      </c>
    </row>
    <row r="102" spans="2:49" s="13" customFormat="1" x14ac:dyDescent="0.2">
      <c r="B102" s="131"/>
      <c r="D102" s="126" t="s">
        <v>112</v>
      </c>
      <c r="E102" s="132" t="s">
        <v>1</v>
      </c>
      <c r="F102" s="133" t="s">
        <v>1119</v>
      </c>
      <c r="H102" s="134">
        <v>8.734</v>
      </c>
      <c r="L102" s="131"/>
      <c r="M102" s="135"/>
      <c r="T102" s="136"/>
      <c r="W102"/>
      <c r="X102"/>
      <c r="Y102"/>
      <c r="AR102" s="132" t="s">
        <v>112</v>
      </c>
      <c r="AS102" s="132" t="s">
        <v>65</v>
      </c>
      <c r="AT102" s="13" t="s">
        <v>65</v>
      </c>
      <c r="AU102" s="13" t="s">
        <v>30</v>
      </c>
      <c r="AV102" s="13" t="s">
        <v>55</v>
      </c>
      <c r="AW102" s="132" t="s">
        <v>101</v>
      </c>
    </row>
    <row r="103" spans="2:49" s="13" customFormat="1" x14ac:dyDescent="0.2">
      <c r="B103" s="131"/>
      <c r="D103" s="126" t="s">
        <v>112</v>
      </c>
      <c r="E103" s="132" t="s">
        <v>1</v>
      </c>
      <c r="F103" s="133" t="s">
        <v>1120</v>
      </c>
      <c r="H103" s="134">
        <v>41.968000000000004</v>
      </c>
      <c r="L103" s="131"/>
      <c r="M103" s="135"/>
      <c r="T103" s="136"/>
      <c r="W103"/>
      <c r="X103"/>
      <c r="Y103"/>
      <c r="AR103" s="132" t="s">
        <v>112</v>
      </c>
      <c r="AS103" s="132" t="s">
        <v>65</v>
      </c>
      <c r="AT103" s="13" t="s">
        <v>65</v>
      </c>
      <c r="AU103" s="13" t="s">
        <v>30</v>
      </c>
      <c r="AV103" s="13" t="s">
        <v>55</v>
      </c>
      <c r="AW103" s="132" t="s">
        <v>101</v>
      </c>
    </row>
    <row r="104" spans="2:49" s="15" customFormat="1" x14ac:dyDescent="0.2">
      <c r="B104" s="159"/>
      <c r="D104" s="126" t="s">
        <v>112</v>
      </c>
      <c r="E104" s="160" t="s">
        <v>1</v>
      </c>
      <c r="F104" s="161" t="s">
        <v>1121</v>
      </c>
      <c r="H104" s="162">
        <v>229.334</v>
      </c>
      <c r="L104" s="159"/>
      <c r="M104" s="163"/>
      <c r="T104" s="164"/>
      <c r="W104"/>
      <c r="X104"/>
      <c r="Y104"/>
      <c r="AR104" s="160" t="s">
        <v>112</v>
      </c>
      <c r="AS104" s="160" t="s">
        <v>65</v>
      </c>
      <c r="AT104" s="15" t="s">
        <v>119</v>
      </c>
      <c r="AU104" s="15" t="s">
        <v>30</v>
      </c>
      <c r="AV104" s="15" t="s">
        <v>55</v>
      </c>
      <c r="AW104" s="160" t="s">
        <v>101</v>
      </c>
    </row>
    <row r="105" spans="2:49" s="12" customFormat="1" x14ac:dyDescent="0.2">
      <c r="B105" s="125"/>
      <c r="D105" s="126" t="s">
        <v>112</v>
      </c>
      <c r="E105" s="127" t="s">
        <v>1</v>
      </c>
      <c r="F105" s="128" t="s">
        <v>1122</v>
      </c>
      <c r="H105" s="127" t="s">
        <v>1</v>
      </c>
      <c r="L105" s="125"/>
      <c r="M105" s="129"/>
      <c r="T105" s="130"/>
      <c r="W105"/>
      <c r="X105"/>
      <c r="Y105"/>
      <c r="AR105" s="127" t="s">
        <v>112</v>
      </c>
      <c r="AS105" s="127" t="s">
        <v>65</v>
      </c>
      <c r="AT105" s="12" t="s">
        <v>63</v>
      </c>
      <c r="AU105" s="12" t="s">
        <v>30</v>
      </c>
      <c r="AV105" s="12" t="s">
        <v>55</v>
      </c>
      <c r="AW105" s="127" t="s">
        <v>101</v>
      </c>
    </row>
    <row r="106" spans="2:49" s="12" customFormat="1" x14ac:dyDescent="0.2">
      <c r="B106" s="125"/>
      <c r="D106" s="126" t="s">
        <v>112</v>
      </c>
      <c r="E106" s="127" t="s">
        <v>1</v>
      </c>
      <c r="F106" s="128" t="s">
        <v>1111</v>
      </c>
      <c r="H106" s="127" t="s">
        <v>1</v>
      </c>
      <c r="L106" s="125"/>
      <c r="M106" s="129"/>
      <c r="T106" s="130"/>
      <c r="W106"/>
      <c r="X106"/>
      <c r="Y106"/>
      <c r="AR106" s="127" t="s">
        <v>112</v>
      </c>
      <c r="AS106" s="127" t="s">
        <v>65</v>
      </c>
      <c r="AT106" s="12" t="s">
        <v>63</v>
      </c>
      <c r="AU106" s="12" t="s">
        <v>30</v>
      </c>
      <c r="AV106" s="12" t="s">
        <v>55</v>
      </c>
      <c r="AW106" s="127" t="s">
        <v>101</v>
      </c>
    </row>
    <row r="107" spans="2:49" s="13" customFormat="1" x14ac:dyDescent="0.2">
      <c r="B107" s="131"/>
      <c r="D107" s="126" t="s">
        <v>112</v>
      </c>
      <c r="E107" s="132" t="s">
        <v>1</v>
      </c>
      <c r="F107" s="133" t="s">
        <v>1123</v>
      </c>
      <c r="H107" s="134">
        <v>19.89</v>
      </c>
      <c r="L107" s="131"/>
      <c r="M107" s="135"/>
      <c r="T107" s="136"/>
      <c r="W107"/>
      <c r="X107"/>
      <c r="Y107"/>
      <c r="AR107" s="132" t="s">
        <v>112</v>
      </c>
      <c r="AS107" s="132" t="s">
        <v>65</v>
      </c>
      <c r="AT107" s="13" t="s">
        <v>65</v>
      </c>
      <c r="AU107" s="13" t="s">
        <v>30</v>
      </c>
      <c r="AV107" s="13" t="s">
        <v>55</v>
      </c>
      <c r="AW107" s="132" t="s">
        <v>101</v>
      </c>
    </row>
    <row r="108" spans="2:49" s="13" customFormat="1" x14ac:dyDescent="0.2">
      <c r="B108" s="131"/>
      <c r="D108" s="126" t="s">
        <v>112</v>
      </c>
      <c r="E108" s="132" t="s">
        <v>1</v>
      </c>
      <c r="F108" s="133" t="s">
        <v>1124</v>
      </c>
      <c r="H108" s="134">
        <v>79.724999999999994</v>
      </c>
      <c r="L108" s="131"/>
      <c r="M108" s="135"/>
      <c r="T108" s="136"/>
      <c r="W108"/>
      <c r="X108"/>
      <c r="Y108"/>
      <c r="AR108" s="132" t="s">
        <v>112</v>
      </c>
      <c r="AS108" s="132" t="s">
        <v>65</v>
      </c>
      <c r="AT108" s="13" t="s">
        <v>65</v>
      </c>
      <c r="AU108" s="13" t="s">
        <v>30</v>
      </c>
      <c r="AV108" s="13" t="s">
        <v>55</v>
      </c>
      <c r="AW108" s="132" t="s">
        <v>101</v>
      </c>
    </row>
    <row r="109" spans="2:49" s="13" customFormat="1" x14ac:dyDescent="0.2">
      <c r="B109" s="131"/>
      <c r="D109" s="126" t="s">
        <v>112</v>
      </c>
      <c r="E109" s="132" t="s">
        <v>1</v>
      </c>
      <c r="F109" s="133" t="s">
        <v>1125</v>
      </c>
      <c r="H109" s="134">
        <v>8.0220000000000002</v>
      </c>
      <c r="L109" s="131"/>
      <c r="M109" s="135"/>
      <c r="T109" s="136"/>
      <c r="W109"/>
      <c r="X109"/>
      <c r="Y109"/>
      <c r="AR109" s="132" t="s">
        <v>112</v>
      </c>
      <c r="AS109" s="132" t="s">
        <v>65</v>
      </c>
      <c r="AT109" s="13" t="s">
        <v>65</v>
      </c>
      <c r="AU109" s="13" t="s">
        <v>30</v>
      </c>
      <c r="AV109" s="13" t="s">
        <v>55</v>
      </c>
      <c r="AW109" s="132" t="s">
        <v>101</v>
      </c>
    </row>
    <row r="110" spans="2:49" s="13" customFormat="1" x14ac:dyDescent="0.2">
      <c r="B110" s="131"/>
      <c r="D110" s="126" t="s">
        <v>112</v>
      </c>
      <c r="E110" s="132" t="s">
        <v>1</v>
      </c>
      <c r="F110" s="133" t="s">
        <v>1126</v>
      </c>
      <c r="H110" s="134">
        <v>24.356999999999999</v>
      </c>
      <c r="L110" s="131"/>
      <c r="M110" s="135"/>
      <c r="T110" s="136"/>
      <c r="W110"/>
      <c r="X110"/>
      <c r="Y110"/>
      <c r="AR110" s="132" t="s">
        <v>112</v>
      </c>
      <c r="AS110" s="132" t="s">
        <v>65</v>
      </c>
      <c r="AT110" s="13" t="s">
        <v>65</v>
      </c>
      <c r="AU110" s="13" t="s">
        <v>30</v>
      </c>
      <c r="AV110" s="13" t="s">
        <v>55</v>
      </c>
      <c r="AW110" s="132" t="s">
        <v>101</v>
      </c>
    </row>
    <row r="111" spans="2:49" s="13" customFormat="1" x14ac:dyDescent="0.2">
      <c r="B111" s="131"/>
      <c r="D111" s="126" t="s">
        <v>112</v>
      </c>
      <c r="E111" s="132" t="s">
        <v>1</v>
      </c>
      <c r="F111" s="133" t="s">
        <v>1127</v>
      </c>
      <c r="H111" s="134">
        <v>39.6</v>
      </c>
      <c r="L111" s="131"/>
      <c r="M111" s="135"/>
      <c r="T111" s="136"/>
      <c r="W111"/>
      <c r="X111"/>
      <c r="Y111"/>
      <c r="AR111" s="132" t="s">
        <v>112</v>
      </c>
      <c r="AS111" s="132" t="s">
        <v>65</v>
      </c>
      <c r="AT111" s="13" t="s">
        <v>65</v>
      </c>
      <c r="AU111" s="13" t="s">
        <v>30</v>
      </c>
      <c r="AV111" s="13" t="s">
        <v>55</v>
      </c>
      <c r="AW111" s="132" t="s">
        <v>101</v>
      </c>
    </row>
    <row r="112" spans="2:49" s="13" customFormat="1" x14ac:dyDescent="0.2">
      <c r="B112" s="131"/>
      <c r="D112" s="126" t="s">
        <v>112</v>
      </c>
      <c r="E112" s="132" t="s">
        <v>1</v>
      </c>
      <c r="F112" s="133" t="s">
        <v>1128</v>
      </c>
      <c r="H112" s="134">
        <v>50.543999999999997</v>
      </c>
      <c r="L112" s="131"/>
      <c r="M112" s="135"/>
      <c r="T112" s="136"/>
      <c r="W112"/>
      <c r="X112"/>
      <c r="Y112"/>
      <c r="AR112" s="132" t="s">
        <v>112</v>
      </c>
      <c r="AS112" s="132" t="s">
        <v>65</v>
      </c>
      <c r="AT112" s="13" t="s">
        <v>65</v>
      </c>
      <c r="AU112" s="13" t="s">
        <v>30</v>
      </c>
      <c r="AV112" s="13" t="s">
        <v>55</v>
      </c>
      <c r="AW112" s="132" t="s">
        <v>101</v>
      </c>
    </row>
    <row r="113" spans="2:63" s="13" customFormat="1" x14ac:dyDescent="0.2">
      <c r="B113" s="131"/>
      <c r="D113" s="126" t="s">
        <v>112</v>
      </c>
      <c r="E113" s="132" t="s">
        <v>1</v>
      </c>
      <c r="F113" s="133" t="s">
        <v>1129</v>
      </c>
      <c r="H113" s="134">
        <v>45.811</v>
      </c>
      <c r="L113" s="131"/>
      <c r="M113" s="135"/>
      <c r="T113" s="136"/>
      <c r="W113"/>
      <c r="X113"/>
      <c r="Y113"/>
      <c r="AR113" s="132" t="s">
        <v>112</v>
      </c>
      <c r="AS113" s="132" t="s">
        <v>65</v>
      </c>
      <c r="AT113" s="13" t="s">
        <v>65</v>
      </c>
      <c r="AU113" s="13" t="s">
        <v>30</v>
      </c>
      <c r="AV113" s="13" t="s">
        <v>55</v>
      </c>
      <c r="AW113" s="132" t="s">
        <v>101</v>
      </c>
    </row>
    <row r="114" spans="2:63" s="13" customFormat="1" x14ac:dyDescent="0.2">
      <c r="B114" s="131"/>
      <c r="D114" s="126" t="s">
        <v>112</v>
      </c>
      <c r="E114" s="132" t="s">
        <v>1</v>
      </c>
      <c r="F114" s="133" t="s">
        <v>1130</v>
      </c>
      <c r="H114" s="134">
        <v>13.102</v>
      </c>
      <c r="L114" s="131"/>
      <c r="M114" s="135"/>
      <c r="T114" s="136"/>
      <c r="W114"/>
      <c r="X114"/>
      <c r="Y114"/>
      <c r="AR114" s="132" t="s">
        <v>112</v>
      </c>
      <c r="AS114" s="132" t="s">
        <v>65</v>
      </c>
      <c r="AT114" s="13" t="s">
        <v>65</v>
      </c>
      <c r="AU114" s="13" t="s">
        <v>30</v>
      </c>
      <c r="AV114" s="13" t="s">
        <v>55</v>
      </c>
      <c r="AW114" s="132" t="s">
        <v>101</v>
      </c>
    </row>
    <row r="115" spans="2:63" s="13" customFormat="1" x14ac:dyDescent="0.2">
      <c r="B115" s="131"/>
      <c r="D115" s="126" t="s">
        <v>112</v>
      </c>
      <c r="E115" s="132" t="s">
        <v>1</v>
      </c>
      <c r="F115" s="133" t="s">
        <v>1131</v>
      </c>
      <c r="H115" s="134">
        <v>62.951999999999998</v>
      </c>
      <c r="L115" s="131"/>
      <c r="M115" s="135"/>
      <c r="T115" s="136"/>
      <c r="W115"/>
      <c r="X115"/>
      <c r="Y115"/>
      <c r="AR115" s="132" t="s">
        <v>112</v>
      </c>
      <c r="AS115" s="132" t="s">
        <v>65</v>
      </c>
      <c r="AT115" s="13" t="s">
        <v>65</v>
      </c>
      <c r="AU115" s="13" t="s">
        <v>30</v>
      </c>
      <c r="AV115" s="13" t="s">
        <v>55</v>
      </c>
      <c r="AW115" s="132" t="s">
        <v>101</v>
      </c>
    </row>
    <row r="116" spans="2:63" s="15" customFormat="1" x14ac:dyDescent="0.2">
      <c r="B116" s="159"/>
      <c r="D116" s="126" t="s">
        <v>112</v>
      </c>
      <c r="E116" s="160" t="s">
        <v>1</v>
      </c>
      <c r="F116" s="161" t="s">
        <v>1121</v>
      </c>
      <c r="H116" s="162">
        <v>344.00299999999999</v>
      </c>
      <c r="L116" s="159"/>
      <c r="M116" s="163"/>
      <c r="T116" s="164"/>
      <c r="W116"/>
      <c r="X116"/>
      <c r="Y116"/>
      <c r="AR116" s="160" t="s">
        <v>112</v>
      </c>
      <c r="AS116" s="160" t="s">
        <v>65</v>
      </c>
      <c r="AT116" s="15" t="s">
        <v>119</v>
      </c>
      <c r="AU116" s="15" t="s">
        <v>30</v>
      </c>
      <c r="AV116" s="15" t="s">
        <v>55</v>
      </c>
      <c r="AW116" s="160" t="s">
        <v>101</v>
      </c>
    </row>
    <row r="117" spans="2:63" s="14" customFormat="1" x14ac:dyDescent="0.2">
      <c r="B117" s="137"/>
      <c r="D117" s="126" t="s">
        <v>112</v>
      </c>
      <c r="E117" s="138" t="s">
        <v>1</v>
      </c>
      <c r="F117" s="139" t="s">
        <v>127</v>
      </c>
      <c r="H117" s="140">
        <v>573.33699999999999</v>
      </c>
      <c r="L117" s="137"/>
      <c r="M117" s="141"/>
      <c r="T117" s="142"/>
      <c r="W117"/>
      <c r="X117"/>
      <c r="Y117"/>
      <c r="AR117" s="138" t="s">
        <v>112</v>
      </c>
      <c r="AS117" s="138" t="s">
        <v>65</v>
      </c>
      <c r="AT117" s="14" t="s">
        <v>108</v>
      </c>
      <c r="AU117" s="14" t="s">
        <v>30</v>
      </c>
      <c r="AV117" s="14" t="s">
        <v>63</v>
      </c>
      <c r="AW117" s="138" t="s">
        <v>101</v>
      </c>
    </row>
    <row r="118" spans="2:63" s="14" customFormat="1" x14ac:dyDescent="0.2">
      <c r="B118" s="137"/>
      <c r="D118" s="126"/>
      <c r="E118" s="138"/>
      <c r="F118" s="139" t="s">
        <v>1834</v>
      </c>
      <c r="H118" s="140">
        <f>H117*0.18</f>
        <v>103.20066</v>
      </c>
      <c r="L118" s="137"/>
      <c r="M118" s="141"/>
      <c r="T118" s="142"/>
      <c r="W118"/>
      <c r="X118"/>
      <c r="Y118"/>
      <c r="AR118" s="138"/>
      <c r="AS118" s="138"/>
      <c r="AW118" s="138"/>
    </row>
    <row r="119" spans="2:63" s="1" customFormat="1" ht="16.5" customHeight="1" x14ac:dyDescent="0.2">
      <c r="B119" s="109"/>
      <c r="C119" s="143" t="s">
        <v>65</v>
      </c>
      <c r="D119" s="143" t="s">
        <v>252</v>
      </c>
      <c r="E119" s="144" t="s">
        <v>1132</v>
      </c>
      <c r="F119" s="145" t="s">
        <v>1133</v>
      </c>
      <c r="G119" s="146" t="s">
        <v>231</v>
      </c>
      <c r="H119" s="147">
        <f>516.006*0.18</f>
        <v>92.881079999999997</v>
      </c>
      <c r="I119" s="148">
        <v>0</v>
      </c>
      <c r="J119" s="148">
        <f>ROUND(I119*H119,2)</f>
        <v>0</v>
      </c>
      <c r="K119" s="145" t="s">
        <v>107</v>
      </c>
      <c r="L119" s="149"/>
      <c r="M119" s="150" t="s">
        <v>1</v>
      </c>
      <c r="N119" s="151" t="s">
        <v>39</v>
      </c>
      <c r="O119" s="118">
        <v>0</v>
      </c>
      <c r="P119" s="118">
        <f>O119*H119</f>
        <v>0</v>
      </c>
      <c r="Q119" s="118">
        <v>0</v>
      </c>
      <c r="R119" s="118">
        <f>Q119*H119</f>
        <v>0</v>
      </c>
      <c r="S119" s="118">
        <v>0</v>
      </c>
      <c r="T119" s="119">
        <f>S119*H119</f>
        <v>0</v>
      </c>
      <c r="W119"/>
      <c r="X119"/>
      <c r="Y119"/>
      <c r="AP119" s="120" t="s">
        <v>171</v>
      </c>
      <c r="AR119" s="120" t="s">
        <v>252</v>
      </c>
      <c r="AS119" s="120" t="s">
        <v>65</v>
      </c>
      <c r="AW119" s="17" t="s">
        <v>101</v>
      </c>
      <c r="BC119" s="121">
        <f>IF(N119="základní",J119,0)</f>
        <v>0</v>
      </c>
      <c r="BD119" s="121">
        <f>IF(N119="snížená",J119,0)</f>
        <v>0</v>
      </c>
      <c r="BE119" s="121">
        <f>IF(N119="zákl. přenesená",J119,0)</f>
        <v>0</v>
      </c>
      <c r="BF119" s="121">
        <f>IF(N119="sníž. přenesená",J119,0)</f>
        <v>0</v>
      </c>
      <c r="BG119" s="121">
        <f>IF(N119="nulová",J119,0)</f>
        <v>0</v>
      </c>
      <c r="BH119" s="17" t="s">
        <v>63</v>
      </c>
      <c r="BI119" s="121">
        <f>ROUND(I119*H119,2)</f>
        <v>0</v>
      </c>
      <c r="BJ119" s="17" t="s">
        <v>108</v>
      </c>
      <c r="BK119" s="120" t="s">
        <v>1134</v>
      </c>
    </row>
    <row r="120" spans="2:63" s="13" customFormat="1" x14ac:dyDescent="0.2">
      <c r="B120" s="131"/>
      <c r="D120" s="126" t="s">
        <v>112</v>
      </c>
      <c r="E120" s="132" t="s">
        <v>1</v>
      </c>
      <c r="F120" s="133" t="s">
        <v>1135</v>
      </c>
      <c r="H120" s="134">
        <v>183.47</v>
      </c>
      <c r="L120" s="131"/>
      <c r="M120" s="135"/>
      <c r="T120" s="136"/>
      <c r="W120"/>
      <c r="X120"/>
      <c r="Y120"/>
      <c r="AR120" s="132" t="s">
        <v>112</v>
      </c>
      <c r="AS120" s="132" t="s">
        <v>65</v>
      </c>
      <c r="AT120" s="13" t="s">
        <v>65</v>
      </c>
      <c r="AU120" s="13" t="s">
        <v>30</v>
      </c>
      <c r="AV120" s="13" t="s">
        <v>55</v>
      </c>
      <c r="AW120" s="132" t="s">
        <v>101</v>
      </c>
    </row>
    <row r="121" spans="2:63" s="13" customFormat="1" x14ac:dyDescent="0.2">
      <c r="B121" s="131"/>
      <c r="D121" s="126" t="s">
        <v>112</v>
      </c>
      <c r="E121" s="132" t="s">
        <v>1</v>
      </c>
      <c r="F121" s="133" t="s">
        <v>1136</v>
      </c>
      <c r="H121" s="134">
        <v>103.2</v>
      </c>
      <c r="L121" s="131"/>
      <c r="M121" s="135"/>
      <c r="T121" s="136"/>
      <c r="W121"/>
      <c r="X121"/>
      <c r="Y121"/>
      <c r="AR121" s="132" t="s">
        <v>112</v>
      </c>
      <c r="AS121" s="132" t="s">
        <v>65</v>
      </c>
      <c r="AT121" s="13" t="s">
        <v>65</v>
      </c>
      <c r="AU121" s="13" t="s">
        <v>30</v>
      </c>
      <c r="AV121" s="13" t="s">
        <v>55</v>
      </c>
      <c r="AW121" s="132" t="s">
        <v>101</v>
      </c>
    </row>
    <row r="122" spans="2:63" s="14" customFormat="1" x14ac:dyDescent="0.2">
      <c r="B122" s="137"/>
      <c r="D122" s="126" t="s">
        <v>112</v>
      </c>
      <c r="E122" s="138" t="s">
        <v>1</v>
      </c>
      <c r="F122" s="139" t="s">
        <v>127</v>
      </c>
      <c r="H122" s="140">
        <v>286.67</v>
      </c>
      <c r="L122" s="137"/>
      <c r="M122" s="141"/>
      <c r="T122" s="142"/>
      <c r="W122"/>
      <c r="X122"/>
      <c r="Y122"/>
      <c r="AR122" s="138" t="s">
        <v>112</v>
      </c>
      <c r="AS122" s="138" t="s">
        <v>65</v>
      </c>
      <c r="AT122" s="14" t="s">
        <v>108</v>
      </c>
      <c r="AU122" s="14" t="s">
        <v>30</v>
      </c>
      <c r="AV122" s="14" t="s">
        <v>63</v>
      </c>
      <c r="AW122" s="138" t="s">
        <v>101</v>
      </c>
    </row>
    <row r="123" spans="2:63" s="13" customFormat="1" x14ac:dyDescent="0.2">
      <c r="B123" s="131"/>
      <c r="D123" s="126" t="s">
        <v>112</v>
      </c>
      <c r="F123" s="133" t="s">
        <v>1137</v>
      </c>
      <c r="H123" s="134">
        <v>516.00599999999997</v>
      </c>
      <c r="L123" s="131"/>
      <c r="M123" s="135"/>
      <c r="T123" s="136"/>
      <c r="W123"/>
      <c r="X123"/>
      <c r="Y123"/>
      <c r="AR123" s="132" t="s">
        <v>112</v>
      </c>
      <c r="AS123" s="132" t="s">
        <v>65</v>
      </c>
      <c r="AT123" s="13" t="s">
        <v>65</v>
      </c>
      <c r="AU123" s="13" t="s">
        <v>2</v>
      </c>
      <c r="AV123" s="13" t="s">
        <v>63</v>
      </c>
      <c r="AW123" s="132" t="s">
        <v>101</v>
      </c>
    </row>
    <row r="124" spans="2:63" s="13" customFormat="1" x14ac:dyDescent="0.2">
      <c r="B124" s="131"/>
      <c r="D124" s="126"/>
      <c r="F124" s="139" t="s">
        <v>1863</v>
      </c>
      <c r="G124" s="14"/>
      <c r="H124" s="140">
        <f>H123*0.18</f>
        <v>92.881079999999997</v>
      </c>
      <c r="L124" s="131"/>
      <c r="M124" s="135"/>
      <c r="T124" s="136"/>
      <c r="W124"/>
      <c r="X124"/>
      <c r="Y124"/>
      <c r="AR124" s="132"/>
      <c r="AS124" s="132"/>
      <c r="AW124" s="132"/>
    </row>
    <row r="125" spans="2:63" s="1" customFormat="1" ht="90" customHeight="1" x14ac:dyDescent="0.2">
      <c r="B125" s="109"/>
      <c r="C125" s="110" t="s">
        <v>119</v>
      </c>
      <c r="D125" s="110" t="s">
        <v>103</v>
      </c>
      <c r="E125" s="111" t="s">
        <v>115</v>
      </c>
      <c r="F125" s="112" t="s">
        <v>116</v>
      </c>
      <c r="G125" s="113" t="s">
        <v>106</v>
      </c>
      <c r="H125" s="114">
        <f>3*0.18</f>
        <v>0.54</v>
      </c>
      <c r="I125" s="115">
        <v>0</v>
      </c>
      <c r="J125" s="115">
        <f>ROUND(I125*H125,2)</f>
        <v>0</v>
      </c>
      <c r="K125" s="112" t="s">
        <v>107</v>
      </c>
      <c r="L125" s="28"/>
      <c r="M125" s="116" t="s">
        <v>1</v>
      </c>
      <c r="N125" s="117" t="s">
        <v>39</v>
      </c>
      <c r="O125" s="118">
        <v>0.58099999999999996</v>
      </c>
      <c r="P125" s="118">
        <f>O125*H125</f>
        <v>0.31374000000000002</v>
      </c>
      <c r="Q125" s="118">
        <v>3.6900000000000002E-2</v>
      </c>
      <c r="R125" s="118">
        <f>Q125*H125</f>
        <v>1.9926000000000003E-2</v>
      </c>
      <c r="S125" s="118">
        <v>0</v>
      </c>
      <c r="T125" s="119">
        <f>S125*H125</f>
        <v>0</v>
      </c>
      <c r="W125"/>
      <c r="X125"/>
      <c r="Y125"/>
      <c r="AP125" s="120" t="s">
        <v>108</v>
      </c>
      <c r="AR125" s="120" t="s">
        <v>103</v>
      </c>
      <c r="AS125" s="120" t="s">
        <v>65</v>
      </c>
      <c r="AW125" s="17" t="s">
        <v>101</v>
      </c>
      <c r="BC125" s="121">
        <f>IF(N125="základní",J125,0)</f>
        <v>0</v>
      </c>
      <c r="BD125" s="121">
        <f>IF(N125="snížená",J125,0)</f>
        <v>0</v>
      </c>
      <c r="BE125" s="121">
        <f>IF(N125="zákl. přenesená",J125,0)</f>
        <v>0</v>
      </c>
      <c r="BF125" s="121">
        <f>IF(N125="sníž. přenesená",J125,0)</f>
        <v>0</v>
      </c>
      <c r="BG125" s="121">
        <f>IF(N125="nulová",J125,0)</f>
        <v>0</v>
      </c>
      <c r="BH125" s="17" t="s">
        <v>63</v>
      </c>
      <c r="BI125" s="121">
        <f>ROUND(I125*H125,2)</f>
        <v>0</v>
      </c>
      <c r="BJ125" s="17" t="s">
        <v>108</v>
      </c>
      <c r="BK125" s="120" t="s">
        <v>1138</v>
      </c>
    </row>
    <row r="126" spans="2:63" s="1" customFormat="1" x14ac:dyDescent="0.2">
      <c r="B126" s="28"/>
      <c r="D126" s="122" t="s">
        <v>110</v>
      </c>
      <c r="F126" s="412" t="s">
        <v>118</v>
      </c>
      <c r="L126" s="28"/>
      <c r="M126" s="124"/>
      <c r="T126" s="48"/>
      <c r="W126"/>
      <c r="X126"/>
      <c r="Y126"/>
      <c r="AR126" s="17" t="s">
        <v>110</v>
      </c>
      <c r="AS126" s="17" t="s">
        <v>65</v>
      </c>
    </row>
    <row r="127" spans="2:63" s="12" customFormat="1" x14ac:dyDescent="0.2">
      <c r="B127" s="125"/>
      <c r="D127" s="126" t="s">
        <v>112</v>
      </c>
      <c r="E127" s="127" t="s">
        <v>1</v>
      </c>
      <c r="F127" s="128" t="s">
        <v>113</v>
      </c>
      <c r="H127" s="127" t="s">
        <v>1</v>
      </c>
      <c r="L127" s="125"/>
      <c r="M127" s="129"/>
      <c r="T127" s="130"/>
      <c r="W127"/>
      <c r="X127"/>
      <c r="Y127"/>
      <c r="AR127" s="127" t="s">
        <v>112</v>
      </c>
      <c r="AS127" s="127" t="s">
        <v>65</v>
      </c>
      <c r="AT127" s="12" t="s">
        <v>63</v>
      </c>
      <c r="AU127" s="12" t="s">
        <v>30</v>
      </c>
      <c r="AV127" s="12" t="s">
        <v>55</v>
      </c>
      <c r="AW127" s="127" t="s">
        <v>101</v>
      </c>
    </row>
    <row r="128" spans="2:63" s="13" customFormat="1" x14ac:dyDescent="0.2">
      <c r="B128" s="131"/>
      <c r="D128" s="126" t="s">
        <v>112</v>
      </c>
      <c r="E128" s="132" t="s">
        <v>1</v>
      </c>
      <c r="F128" s="133" t="s">
        <v>653</v>
      </c>
      <c r="H128" s="134">
        <v>1</v>
      </c>
      <c r="L128" s="131"/>
      <c r="M128" s="135"/>
      <c r="T128" s="136"/>
      <c r="W128"/>
      <c r="X128"/>
      <c r="Y128"/>
      <c r="AR128" s="132" t="s">
        <v>112</v>
      </c>
      <c r="AS128" s="132" t="s">
        <v>65</v>
      </c>
      <c r="AT128" s="13" t="s">
        <v>65</v>
      </c>
      <c r="AU128" s="13" t="s">
        <v>30</v>
      </c>
      <c r="AV128" s="13" t="s">
        <v>55</v>
      </c>
      <c r="AW128" s="132" t="s">
        <v>101</v>
      </c>
    </row>
    <row r="129" spans="2:63" s="13" customFormat="1" x14ac:dyDescent="0.2">
      <c r="B129" s="131"/>
      <c r="D129" s="126" t="s">
        <v>112</v>
      </c>
      <c r="E129" s="132" t="s">
        <v>1</v>
      </c>
      <c r="F129" s="133" t="s">
        <v>654</v>
      </c>
      <c r="H129" s="134">
        <v>1</v>
      </c>
      <c r="L129" s="131"/>
      <c r="M129" s="135"/>
      <c r="T129" s="136"/>
      <c r="W129"/>
      <c r="X129"/>
      <c r="Y129"/>
      <c r="AR129" s="132" t="s">
        <v>112</v>
      </c>
      <c r="AS129" s="132" t="s">
        <v>65</v>
      </c>
      <c r="AT129" s="13" t="s">
        <v>65</v>
      </c>
      <c r="AU129" s="13" t="s">
        <v>30</v>
      </c>
      <c r="AV129" s="13" t="s">
        <v>55</v>
      </c>
      <c r="AW129" s="132" t="s">
        <v>101</v>
      </c>
    </row>
    <row r="130" spans="2:63" s="13" customFormat="1" x14ac:dyDescent="0.2">
      <c r="B130" s="131"/>
      <c r="D130" s="126" t="s">
        <v>112</v>
      </c>
      <c r="E130" s="132" t="s">
        <v>1</v>
      </c>
      <c r="F130" s="133" t="s">
        <v>1139</v>
      </c>
      <c r="H130" s="134">
        <v>1</v>
      </c>
      <c r="L130" s="131"/>
      <c r="M130" s="135"/>
      <c r="T130" s="136"/>
      <c r="W130"/>
      <c r="X130"/>
      <c r="Y130"/>
      <c r="AR130" s="132" t="s">
        <v>112</v>
      </c>
      <c r="AS130" s="132" t="s">
        <v>65</v>
      </c>
      <c r="AT130" s="13" t="s">
        <v>65</v>
      </c>
      <c r="AU130" s="13" t="s">
        <v>30</v>
      </c>
      <c r="AV130" s="13" t="s">
        <v>55</v>
      </c>
      <c r="AW130" s="132" t="s">
        <v>101</v>
      </c>
    </row>
    <row r="131" spans="2:63" s="14" customFormat="1" x14ac:dyDescent="0.2">
      <c r="B131" s="137"/>
      <c r="D131" s="126" t="s">
        <v>112</v>
      </c>
      <c r="E131" s="138" t="s">
        <v>1</v>
      </c>
      <c r="F131" s="139" t="s">
        <v>127</v>
      </c>
      <c r="H131" s="140">
        <v>3</v>
      </c>
      <c r="L131" s="137"/>
      <c r="M131" s="141"/>
      <c r="T131" s="142"/>
      <c r="W131"/>
      <c r="X131"/>
      <c r="Y131"/>
      <c r="AR131" s="138" t="s">
        <v>112</v>
      </c>
      <c r="AS131" s="138" t="s">
        <v>65</v>
      </c>
      <c r="AT131" s="14" t="s">
        <v>108</v>
      </c>
      <c r="AU131" s="14" t="s">
        <v>30</v>
      </c>
      <c r="AV131" s="14" t="s">
        <v>63</v>
      </c>
      <c r="AW131" s="138" t="s">
        <v>101</v>
      </c>
    </row>
    <row r="132" spans="2:63" s="14" customFormat="1" x14ac:dyDescent="0.2">
      <c r="B132" s="137"/>
      <c r="D132" s="126"/>
      <c r="E132" s="138"/>
      <c r="F132" s="139" t="s">
        <v>1842</v>
      </c>
      <c r="H132" s="140">
        <f>H131*0.18</f>
        <v>0.54</v>
      </c>
      <c r="L132" s="137"/>
      <c r="M132" s="141"/>
      <c r="T132" s="142"/>
      <c r="W132"/>
      <c r="X132"/>
      <c r="Y132"/>
      <c r="AR132" s="138"/>
      <c r="AS132" s="138"/>
      <c r="AW132" s="138"/>
    </row>
    <row r="133" spans="2:63" s="1" customFormat="1" ht="90" customHeight="1" x14ac:dyDescent="0.2">
      <c r="B133" s="109"/>
      <c r="C133" s="110" t="s">
        <v>108</v>
      </c>
      <c r="D133" s="110" t="s">
        <v>103</v>
      </c>
      <c r="E133" s="111" t="s">
        <v>120</v>
      </c>
      <c r="F133" s="112" t="s">
        <v>121</v>
      </c>
      <c r="G133" s="113" t="s">
        <v>106</v>
      </c>
      <c r="H133" s="114">
        <v>1</v>
      </c>
      <c r="I133" s="115">
        <v>0</v>
      </c>
      <c r="J133" s="115">
        <f>ROUND(I133*H133,2)</f>
        <v>0</v>
      </c>
      <c r="K133" s="112" t="s">
        <v>107</v>
      </c>
      <c r="L133" s="28"/>
      <c r="M133" s="116" t="s">
        <v>1</v>
      </c>
      <c r="N133" s="117" t="s">
        <v>39</v>
      </c>
      <c r="O133" s="118">
        <v>0.54700000000000004</v>
      </c>
      <c r="P133" s="118">
        <f>O133*H133</f>
        <v>0.54700000000000004</v>
      </c>
      <c r="Q133" s="118">
        <v>3.6900000000000002E-2</v>
      </c>
      <c r="R133" s="118">
        <f>Q133*H133</f>
        <v>3.6900000000000002E-2</v>
      </c>
      <c r="S133" s="118">
        <v>0</v>
      </c>
      <c r="T133" s="119">
        <f>S133*H133</f>
        <v>0</v>
      </c>
      <c r="W133"/>
      <c r="X133"/>
      <c r="Y133"/>
      <c r="AP133" s="120" t="s">
        <v>108</v>
      </c>
      <c r="AR133" s="120" t="s">
        <v>103</v>
      </c>
      <c r="AS133" s="120" t="s">
        <v>65</v>
      </c>
      <c r="AW133" s="17" t="s">
        <v>101</v>
      </c>
      <c r="BC133" s="121">
        <f>IF(N133="základní",J133,0)</f>
        <v>0</v>
      </c>
      <c r="BD133" s="121">
        <f>IF(N133="snížená",J133,0)</f>
        <v>0</v>
      </c>
      <c r="BE133" s="121">
        <f>IF(N133="zákl. přenesená",J133,0)</f>
        <v>0</v>
      </c>
      <c r="BF133" s="121">
        <f>IF(N133="sníž. přenesená",J133,0)</f>
        <v>0</v>
      </c>
      <c r="BG133" s="121">
        <f>IF(N133="nulová",J133,0)</f>
        <v>0</v>
      </c>
      <c r="BH133" s="17" t="s">
        <v>63</v>
      </c>
      <c r="BI133" s="121">
        <f>ROUND(I133*H133,2)</f>
        <v>0</v>
      </c>
      <c r="BJ133" s="17" t="s">
        <v>108</v>
      </c>
      <c r="BK133" s="120" t="s">
        <v>1140</v>
      </c>
    </row>
    <row r="134" spans="2:63" s="1" customFormat="1" x14ac:dyDescent="0.2">
      <c r="B134" s="28"/>
      <c r="D134" s="122" t="s">
        <v>110</v>
      </c>
      <c r="F134" s="412" t="s">
        <v>123</v>
      </c>
      <c r="L134" s="28"/>
      <c r="M134" s="124"/>
      <c r="T134" s="48"/>
      <c r="W134"/>
      <c r="X134"/>
      <c r="Y134"/>
      <c r="AR134" s="17" t="s">
        <v>110</v>
      </c>
      <c r="AS134" s="17" t="s">
        <v>65</v>
      </c>
    </row>
    <row r="135" spans="2:63" s="12" customFormat="1" x14ac:dyDescent="0.2">
      <c r="B135" s="125"/>
      <c r="D135" s="126" t="s">
        <v>112</v>
      </c>
      <c r="E135" s="127" t="s">
        <v>1</v>
      </c>
      <c r="F135" s="128" t="s">
        <v>113</v>
      </c>
      <c r="H135" s="127" t="s">
        <v>1</v>
      </c>
      <c r="L135" s="125"/>
      <c r="M135" s="129"/>
      <c r="T135" s="130"/>
      <c r="W135"/>
      <c r="X135"/>
      <c r="Y135"/>
      <c r="AR135" s="127" t="s">
        <v>112</v>
      </c>
      <c r="AS135" s="127" t="s">
        <v>65</v>
      </c>
      <c r="AT135" s="12" t="s">
        <v>63</v>
      </c>
      <c r="AU135" s="12" t="s">
        <v>30</v>
      </c>
      <c r="AV135" s="12" t="s">
        <v>55</v>
      </c>
      <c r="AW135" s="127" t="s">
        <v>101</v>
      </c>
    </row>
    <row r="136" spans="2:63" s="13" customFormat="1" x14ac:dyDescent="0.2">
      <c r="B136" s="131"/>
      <c r="D136" s="126" t="s">
        <v>112</v>
      </c>
      <c r="E136" s="132" t="s">
        <v>1</v>
      </c>
      <c r="F136" s="133" t="s">
        <v>656</v>
      </c>
      <c r="H136" s="134">
        <v>1</v>
      </c>
      <c r="L136" s="131"/>
      <c r="M136" s="135"/>
      <c r="T136" s="136"/>
      <c r="W136"/>
      <c r="X136"/>
      <c r="Y136"/>
      <c r="AR136" s="132" t="s">
        <v>112</v>
      </c>
      <c r="AS136" s="132" t="s">
        <v>65</v>
      </c>
      <c r="AT136" s="13" t="s">
        <v>65</v>
      </c>
      <c r="AU136" s="13" t="s">
        <v>30</v>
      </c>
      <c r="AV136" s="13" t="s">
        <v>63</v>
      </c>
      <c r="AW136" s="132" t="s">
        <v>101</v>
      </c>
    </row>
    <row r="137" spans="2:63" s="1" customFormat="1" ht="49.15" customHeight="1" x14ac:dyDescent="0.2">
      <c r="B137" s="109"/>
      <c r="C137" s="110" t="s">
        <v>141</v>
      </c>
      <c r="D137" s="110" t="s">
        <v>103</v>
      </c>
      <c r="E137" s="111" t="s">
        <v>1141</v>
      </c>
      <c r="F137" s="112" t="s">
        <v>1142</v>
      </c>
      <c r="G137" s="113" t="s">
        <v>130</v>
      </c>
      <c r="H137" s="114">
        <f>304.826*0.18</f>
        <v>54.868680000000005</v>
      </c>
      <c r="I137" s="115">
        <v>0</v>
      </c>
      <c r="J137" s="115">
        <f>ROUND(I137*H137,2)</f>
        <v>0</v>
      </c>
      <c r="K137" s="112" t="s">
        <v>107</v>
      </c>
      <c r="L137" s="28"/>
      <c r="M137" s="116" t="s">
        <v>1</v>
      </c>
      <c r="N137" s="117" t="s">
        <v>39</v>
      </c>
      <c r="O137" s="118">
        <v>6.6000000000000003E-2</v>
      </c>
      <c r="P137" s="118">
        <f>O137*H137</f>
        <v>3.6213328800000006</v>
      </c>
      <c r="Q137" s="118">
        <v>0</v>
      </c>
      <c r="R137" s="118">
        <f>Q137*H137</f>
        <v>0</v>
      </c>
      <c r="S137" s="118">
        <v>0</v>
      </c>
      <c r="T137" s="119">
        <f>S137*H137</f>
        <v>0</v>
      </c>
      <c r="W137"/>
      <c r="X137"/>
      <c r="Y137"/>
      <c r="AP137" s="120" t="s">
        <v>108</v>
      </c>
      <c r="AR137" s="120" t="s">
        <v>103</v>
      </c>
      <c r="AS137" s="120" t="s">
        <v>65</v>
      </c>
      <c r="AW137" s="17" t="s">
        <v>101</v>
      </c>
      <c r="BC137" s="121">
        <f>IF(N137="základní",J137,0)</f>
        <v>0</v>
      </c>
      <c r="BD137" s="121">
        <f>IF(N137="snížená",J137,0)</f>
        <v>0</v>
      </c>
      <c r="BE137" s="121">
        <f>IF(N137="zákl. přenesená",J137,0)</f>
        <v>0</v>
      </c>
      <c r="BF137" s="121">
        <f>IF(N137="sníž. přenesená",J137,0)</f>
        <v>0</v>
      </c>
      <c r="BG137" s="121">
        <f>IF(N137="nulová",J137,0)</f>
        <v>0</v>
      </c>
      <c r="BH137" s="17" t="s">
        <v>63</v>
      </c>
      <c r="BI137" s="121">
        <f>ROUND(I137*H137,2)</f>
        <v>0</v>
      </c>
      <c r="BJ137" s="17" t="s">
        <v>108</v>
      </c>
      <c r="BK137" s="120" t="s">
        <v>1143</v>
      </c>
    </row>
    <row r="138" spans="2:63" s="1" customFormat="1" x14ac:dyDescent="0.2">
      <c r="B138" s="28"/>
      <c r="D138" s="122" t="s">
        <v>110</v>
      </c>
      <c r="F138" s="412" t="s">
        <v>1144</v>
      </c>
      <c r="L138" s="28"/>
      <c r="M138" s="124"/>
      <c r="T138" s="48"/>
      <c r="W138"/>
      <c r="X138"/>
      <c r="Y138"/>
      <c r="AR138" s="17" t="s">
        <v>110</v>
      </c>
      <c r="AS138" s="17" t="s">
        <v>65</v>
      </c>
    </row>
    <row r="139" spans="2:63" s="12" customFormat="1" ht="22.5" x14ac:dyDescent="0.2">
      <c r="B139" s="125"/>
      <c r="D139" s="126" t="s">
        <v>112</v>
      </c>
      <c r="E139" s="127" t="s">
        <v>1</v>
      </c>
      <c r="F139" s="128" t="s">
        <v>1145</v>
      </c>
      <c r="H139" s="127" t="s">
        <v>1</v>
      </c>
      <c r="L139" s="125"/>
      <c r="M139" s="129"/>
      <c r="T139" s="130"/>
      <c r="W139"/>
      <c r="X139"/>
      <c r="Y139"/>
      <c r="AR139" s="127" t="s">
        <v>112</v>
      </c>
      <c r="AS139" s="127" t="s">
        <v>65</v>
      </c>
      <c r="AT139" s="12" t="s">
        <v>63</v>
      </c>
      <c r="AU139" s="12" t="s">
        <v>30</v>
      </c>
      <c r="AV139" s="12" t="s">
        <v>55</v>
      </c>
      <c r="AW139" s="127" t="s">
        <v>101</v>
      </c>
    </row>
    <row r="140" spans="2:63" s="13" customFormat="1" x14ac:dyDescent="0.2">
      <c r="B140" s="131"/>
      <c r="D140" s="126" t="s">
        <v>112</v>
      </c>
      <c r="E140" s="132" t="s">
        <v>1</v>
      </c>
      <c r="F140" s="133" t="s">
        <v>1146</v>
      </c>
      <c r="H140" s="134">
        <v>69.998000000000005</v>
      </c>
      <c r="L140" s="131"/>
      <c r="M140" s="135"/>
      <c r="T140" s="136"/>
      <c r="W140"/>
      <c r="X140"/>
      <c r="Y140"/>
      <c r="AR140" s="132" t="s">
        <v>112</v>
      </c>
      <c r="AS140" s="132" t="s">
        <v>65</v>
      </c>
      <c r="AT140" s="13" t="s">
        <v>65</v>
      </c>
      <c r="AU140" s="13" t="s">
        <v>30</v>
      </c>
      <c r="AV140" s="13" t="s">
        <v>55</v>
      </c>
      <c r="AW140" s="132" t="s">
        <v>101</v>
      </c>
    </row>
    <row r="141" spans="2:63" s="13" customFormat="1" x14ac:dyDescent="0.2">
      <c r="B141" s="131"/>
      <c r="D141" s="126" t="s">
        <v>112</v>
      </c>
      <c r="E141" s="132" t="s">
        <v>1</v>
      </c>
      <c r="F141" s="133" t="s">
        <v>1147</v>
      </c>
      <c r="H141" s="134">
        <v>23.969000000000001</v>
      </c>
      <c r="L141" s="131"/>
      <c r="M141" s="135"/>
      <c r="T141" s="136"/>
      <c r="W141"/>
      <c r="X141"/>
      <c r="Y141"/>
      <c r="AR141" s="132" t="s">
        <v>112</v>
      </c>
      <c r="AS141" s="132" t="s">
        <v>65</v>
      </c>
      <c r="AT141" s="13" t="s">
        <v>65</v>
      </c>
      <c r="AU141" s="13" t="s">
        <v>30</v>
      </c>
      <c r="AV141" s="13" t="s">
        <v>55</v>
      </c>
      <c r="AW141" s="132" t="s">
        <v>101</v>
      </c>
    </row>
    <row r="142" spans="2:63" s="13" customFormat="1" x14ac:dyDescent="0.2">
      <c r="B142" s="131"/>
      <c r="D142" s="126" t="s">
        <v>112</v>
      </c>
      <c r="E142" s="132" t="s">
        <v>1</v>
      </c>
      <c r="F142" s="133" t="s">
        <v>1148</v>
      </c>
      <c r="H142" s="134">
        <v>40.524999999999999</v>
      </c>
      <c r="L142" s="131"/>
      <c r="M142" s="135"/>
      <c r="T142" s="136"/>
      <c r="W142"/>
      <c r="X142"/>
      <c r="Y142"/>
      <c r="AR142" s="132" t="s">
        <v>112</v>
      </c>
      <c r="AS142" s="132" t="s">
        <v>65</v>
      </c>
      <c r="AT142" s="13" t="s">
        <v>65</v>
      </c>
      <c r="AU142" s="13" t="s">
        <v>30</v>
      </c>
      <c r="AV142" s="13" t="s">
        <v>55</v>
      </c>
      <c r="AW142" s="132" t="s">
        <v>101</v>
      </c>
    </row>
    <row r="143" spans="2:63" s="13" customFormat="1" x14ac:dyDescent="0.2">
      <c r="B143" s="131"/>
      <c r="D143" s="126" t="s">
        <v>112</v>
      </c>
      <c r="E143" s="132" t="s">
        <v>1</v>
      </c>
      <c r="F143" s="133" t="s">
        <v>1149</v>
      </c>
      <c r="H143" s="134">
        <v>39.548999999999999</v>
      </c>
      <c r="L143" s="131"/>
      <c r="M143" s="135"/>
      <c r="T143" s="136"/>
      <c r="W143"/>
      <c r="X143"/>
      <c r="Y143"/>
      <c r="AR143" s="132" t="s">
        <v>112</v>
      </c>
      <c r="AS143" s="132" t="s">
        <v>65</v>
      </c>
      <c r="AT143" s="13" t="s">
        <v>65</v>
      </c>
      <c r="AU143" s="13" t="s">
        <v>30</v>
      </c>
      <c r="AV143" s="13" t="s">
        <v>55</v>
      </c>
      <c r="AW143" s="132" t="s">
        <v>101</v>
      </c>
    </row>
    <row r="144" spans="2:63" s="13" customFormat="1" x14ac:dyDescent="0.2">
      <c r="B144" s="131"/>
      <c r="D144" s="126" t="s">
        <v>112</v>
      </c>
      <c r="E144" s="132" t="s">
        <v>1</v>
      </c>
      <c r="F144" s="133" t="s">
        <v>1150</v>
      </c>
      <c r="H144" s="134">
        <v>44.725999999999999</v>
      </c>
      <c r="L144" s="131"/>
      <c r="M144" s="135"/>
      <c r="T144" s="136"/>
      <c r="W144"/>
      <c r="X144"/>
      <c r="Y144"/>
      <c r="AR144" s="132" t="s">
        <v>112</v>
      </c>
      <c r="AS144" s="132" t="s">
        <v>65</v>
      </c>
      <c r="AT144" s="13" t="s">
        <v>65</v>
      </c>
      <c r="AU144" s="13" t="s">
        <v>30</v>
      </c>
      <c r="AV144" s="13" t="s">
        <v>55</v>
      </c>
      <c r="AW144" s="132" t="s">
        <v>101</v>
      </c>
    </row>
    <row r="145" spans="2:63" s="13" customFormat="1" x14ac:dyDescent="0.2">
      <c r="B145" s="131"/>
      <c r="D145" s="126" t="s">
        <v>112</v>
      </c>
      <c r="E145" s="132" t="s">
        <v>1</v>
      </c>
      <c r="F145" s="133" t="s">
        <v>1151</v>
      </c>
      <c r="H145" s="134">
        <v>13.552</v>
      </c>
      <c r="L145" s="131"/>
      <c r="M145" s="135"/>
      <c r="T145" s="136"/>
      <c r="W145"/>
      <c r="X145"/>
      <c r="Y145"/>
      <c r="AR145" s="132" t="s">
        <v>112</v>
      </c>
      <c r="AS145" s="132" t="s">
        <v>65</v>
      </c>
      <c r="AT145" s="13" t="s">
        <v>65</v>
      </c>
      <c r="AU145" s="13" t="s">
        <v>30</v>
      </c>
      <c r="AV145" s="13" t="s">
        <v>55</v>
      </c>
      <c r="AW145" s="132" t="s">
        <v>101</v>
      </c>
    </row>
    <row r="146" spans="2:63" s="13" customFormat="1" x14ac:dyDescent="0.2">
      <c r="B146" s="131"/>
      <c r="D146" s="126" t="s">
        <v>112</v>
      </c>
      <c r="E146" s="132" t="s">
        <v>1</v>
      </c>
      <c r="F146" s="133" t="s">
        <v>1152</v>
      </c>
      <c r="H146" s="134">
        <v>72.507000000000005</v>
      </c>
      <c r="L146" s="131"/>
      <c r="M146" s="135"/>
      <c r="T146" s="136"/>
      <c r="W146"/>
      <c r="X146"/>
      <c r="Y146"/>
      <c r="AR146" s="132" t="s">
        <v>112</v>
      </c>
      <c r="AS146" s="132" t="s">
        <v>65</v>
      </c>
      <c r="AT146" s="13" t="s">
        <v>65</v>
      </c>
      <c r="AU146" s="13" t="s">
        <v>30</v>
      </c>
      <c r="AV146" s="13" t="s">
        <v>55</v>
      </c>
      <c r="AW146" s="132" t="s">
        <v>101</v>
      </c>
    </row>
    <row r="147" spans="2:63" s="14" customFormat="1" x14ac:dyDescent="0.2">
      <c r="B147" s="137"/>
      <c r="D147" s="126" t="s">
        <v>112</v>
      </c>
      <c r="E147" s="138" t="s">
        <v>1</v>
      </c>
      <c r="F147" s="139" t="s">
        <v>127</v>
      </c>
      <c r="H147" s="140">
        <v>304.82600000000002</v>
      </c>
      <c r="L147" s="137"/>
      <c r="M147" s="141"/>
      <c r="T147" s="142"/>
      <c r="W147"/>
      <c r="X147"/>
      <c r="Y147"/>
      <c r="AR147" s="138" t="s">
        <v>112</v>
      </c>
      <c r="AS147" s="138" t="s">
        <v>65</v>
      </c>
      <c r="AT147" s="14" t="s">
        <v>108</v>
      </c>
      <c r="AU147" s="14" t="s">
        <v>30</v>
      </c>
      <c r="AV147" s="14" t="s">
        <v>63</v>
      </c>
      <c r="AW147" s="138" t="s">
        <v>101</v>
      </c>
    </row>
    <row r="148" spans="2:63" s="14" customFormat="1" x14ac:dyDescent="0.2">
      <c r="B148" s="137"/>
      <c r="D148" s="126"/>
      <c r="E148" s="138"/>
      <c r="F148" s="139" t="s">
        <v>1842</v>
      </c>
      <c r="H148" s="140">
        <f>H147*0.18</f>
        <v>54.868680000000005</v>
      </c>
      <c r="L148" s="137"/>
      <c r="M148" s="141"/>
      <c r="T148" s="142"/>
      <c r="W148"/>
      <c r="X148"/>
      <c r="Y148"/>
      <c r="AR148" s="138"/>
      <c r="AS148" s="138"/>
      <c r="AW148" s="138"/>
    </row>
    <row r="149" spans="2:63" s="1" customFormat="1" ht="44.25" customHeight="1" x14ac:dyDescent="0.2">
      <c r="B149" s="109"/>
      <c r="C149" s="110" t="s">
        <v>153</v>
      </c>
      <c r="D149" s="110" t="s">
        <v>103</v>
      </c>
      <c r="E149" s="111" t="s">
        <v>1153</v>
      </c>
      <c r="F149" s="112" t="s">
        <v>1154</v>
      </c>
      <c r="G149" s="113" t="s">
        <v>130</v>
      </c>
      <c r="H149" s="114">
        <f>40.671*0.18</f>
        <v>7.3207799999999992</v>
      </c>
      <c r="I149" s="115">
        <v>0</v>
      </c>
      <c r="J149" s="115">
        <f>ROUND(I149*H149,2)</f>
        <v>0</v>
      </c>
      <c r="K149" s="112" t="s">
        <v>107</v>
      </c>
      <c r="L149" s="28"/>
      <c r="M149" s="116" t="s">
        <v>1</v>
      </c>
      <c r="N149" s="117" t="s">
        <v>39</v>
      </c>
      <c r="O149" s="118">
        <v>0.124</v>
      </c>
      <c r="P149" s="118">
        <f>O149*H149</f>
        <v>0.90777671999999987</v>
      </c>
      <c r="Q149" s="118">
        <v>0</v>
      </c>
      <c r="R149" s="118">
        <f>Q149*H149</f>
        <v>0</v>
      </c>
      <c r="S149" s="118">
        <v>0</v>
      </c>
      <c r="T149" s="119">
        <f>S149*H149</f>
        <v>0</v>
      </c>
      <c r="W149"/>
      <c r="X149"/>
      <c r="Y149"/>
      <c r="AP149" s="120" t="s">
        <v>108</v>
      </c>
      <c r="AR149" s="120" t="s">
        <v>103</v>
      </c>
      <c r="AS149" s="120" t="s">
        <v>65</v>
      </c>
      <c r="AW149" s="17" t="s">
        <v>101</v>
      </c>
      <c r="BC149" s="121">
        <f>IF(N149="základní",J149,0)</f>
        <v>0</v>
      </c>
      <c r="BD149" s="121">
        <f>IF(N149="snížená",J149,0)</f>
        <v>0</v>
      </c>
      <c r="BE149" s="121">
        <f>IF(N149="zákl. přenesená",J149,0)</f>
        <v>0</v>
      </c>
      <c r="BF149" s="121">
        <f>IF(N149="sníž. přenesená",J149,0)</f>
        <v>0</v>
      </c>
      <c r="BG149" s="121">
        <f>IF(N149="nulová",J149,0)</f>
        <v>0</v>
      </c>
      <c r="BH149" s="17" t="s">
        <v>63</v>
      </c>
      <c r="BI149" s="121">
        <f>ROUND(I149*H149,2)</f>
        <v>0</v>
      </c>
      <c r="BJ149" s="17" t="s">
        <v>108</v>
      </c>
      <c r="BK149" s="120" t="s">
        <v>1155</v>
      </c>
    </row>
    <row r="150" spans="2:63" s="1" customFormat="1" x14ac:dyDescent="0.2">
      <c r="B150" s="28"/>
      <c r="D150" s="122" t="s">
        <v>110</v>
      </c>
      <c r="F150" s="412" t="s">
        <v>1156</v>
      </c>
      <c r="L150" s="28"/>
      <c r="M150" s="124"/>
      <c r="T150" s="48"/>
      <c r="W150"/>
      <c r="X150"/>
      <c r="Y150"/>
      <c r="AR150" s="17" t="s">
        <v>110</v>
      </c>
      <c r="AS150" s="17" t="s">
        <v>65</v>
      </c>
    </row>
    <row r="151" spans="2:63" s="12" customFormat="1" ht="22.5" x14ac:dyDescent="0.2">
      <c r="B151" s="125"/>
      <c r="D151" s="126" t="s">
        <v>112</v>
      </c>
      <c r="E151" s="127" t="s">
        <v>1</v>
      </c>
      <c r="F151" s="128" t="s">
        <v>1145</v>
      </c>
      <c r="H151" s="127" t="s">
        <v>1</v>
      </c>
      <c r="L151" s="125"/>
      <c r="M151" s="129"/>
      <c r="T151" s="130"/>
      <c r="W151"/>
      <c r="X151"/>
      <c r="Y151"/>
      <c r="AR151" s="127" t="s">
        <v>112</v>
      </c>
      <c r="AS151" s="127" t="s">
        <v>65</v>
      </c>
      <c r="AT151" s="12" t="s">
        <v>63</v>
      </c>
      <c r="AU151" s="12" t="s">
        <v>30</v>
      </c>
      <c r="AV151" s="12" t="s">
        <v>55</v>
      </c>
      <c r="AW151" s="127" t="s">
        <v>101</v>
      </c>
    </row>
    <row r="152" spans="2:63" s="13" customFormat="1" x14ac:dyDescent="0.2">
      <c r="B152" s="131"/>
      <c r="D152" s="126" t="s">
        <v>112</v>
      </c>
      <c r="E152" s="132" t="s">
        <v>1</v>
      </c>
      <c r="F152" s="133" t="s">
        <v>1157</v>
      </c>
      <c r="H152" s="134">
        <v>26.132999999999999</v>
      </c>
      <c r="L152" s="131"/>
      <c r="M152" s="135"/>
      <c r="T152" s="136"/>
      <c r="W152"/>
      <c r="X152"/>
      <c r="Y152"/>
      <c r="AR152" s="132" t="s">
        <v>112</v>
      </c>
      <c r="AS152" s="132" t="s">
        <v>65</v>
      </c>
      <c r="AT152" s="13" t="s">
        <v>65</v>
      </c>
      <c r="AU152" s="13" t="s">
        <v>30</v>
      </c>
      <c r="AV152" s="13" t="s">
        <v>55</v>
      </c>
      <c r="AW152" s="132" t="s">
        <v>101</v>
      </c>
    </row>
    <row r="153" spans="2:63" s="13" customFormat="1" x14ac:dyDescent="0.2">
      <c r="B153" s="131"/>
      <c r="D153" s="126" t="s">
        <v>112</v>
      </c>
      <c r="E153" s="132" t="s">
        <v>1</v>
      </c>
      <c r="F153" s="133" t="s">
        <v>1158</v>
      </c>
      <c r="H153" s="134">
        <v>14.538</v>
      </c>
      <c r="L153" s="131"/>
      <c r="M153" s="135"/>
      <c r="T153" s="136"/>
      <c r="W153"/>
      <c r="X153"/>
      <c r="Y153"/>
      <c r="AR153" s="132" t="s">
        <v>112</v>
      </c>
      <c r="AS153" s="132" t="s">
        <v>65</v>
      </c>
      <c r="AT153" s="13" t="s">
        <v>65</v>
      </c>
      <c r="AU153" s="13" t="s">
        <v>30</v>
      </c>
      <c r="AV153" s="13" t="s">
        <v>55</v>
      </c>
      <c r="AW153" s="132" t="s">
        <v>101</v>
      </c>
    </row>
    <row r="154" spans="2:63" s="14" customFormat="1" x14ac:dyDescent="0.2">
      <c r="B154" s="137"/>
      <c r="D154" s="126" t="s">
        <v>112</v>
      </c>
      <c r="E154" s="138" t="s">
        <v>1</v>
      </c>
      <c r="F154" s="139" t="s">
        <v>127</v>
      </c>
      <c r="H154" s="140">
        <v>40.670999999999999</v>
      </c>
      <c r="L154" s="137"/>
      <c r="M154" s="141"/>
      <c r="T154" s="142"/>
      <c r="W154"/>
      <c r="X154"/>
      <c r="Y154"/>
      <c r="AR154" s="138" t="s">
        <v>112</v>
      </c>
      <c r="AS154" s="138" t="s">
        <v>65</v>
      </c>
      <c r="AT154" s="14" t="s">
        <v>108</v>
      </c>
      <c r="AU154" s="14" t="s">
        <v>30</v>
      </c>
      <c r="AV154" s="14" t="s">
        <v>63</v>
      </c>
      <c r="AW154" s="138" t="s">
        <v>101</v>
      </c>
    </row>
    <row r="155" spans="2:63" s="14" customFormat="1" x14ac:dyDescent="0.2">
      <c r="B155" s="137"/>
      <c r="D155" s="126"/>
      <c r="E155" s="138"/>
      <c r="F155" s="139" t="s">
        <v>1842</v>
      </c>
      <c r="H155" s="140">
        <f>H154*0.18</f>
        <v>7.3207799999999992</v>
      </c>
      <c r="L155" s="137"/>
      <c r="M155" s="141"/>
      <c r="T155" s="142"/>
      <c r="W155"/>
      <c r="X155"/>
      <c r="Y155"/>
      <c r="AR155" s="138"/>
      <c r="AS155" s="138"/>
      <c r="AW155" s="138"/>
    </row>
    <row r="156" spans="2:63" s="1" customFormat="1" ht="49.15" customHeight="1" x14ac:dyDescent="0.2">
      <c r="B156" s="109"/>
      <c r="C156" s="110" t="s">
        <v>165</v>
      </c>
      <c r="D156" s="110" t="s">
        <v>103</v>
      </c>
      <c r="E156" s="111" t="s">
        <v>1159</v>
      </c>
      <c r="F156" s="112" t="s">
        <v>1160</v>
      </c>
      <c r="G156" s="113" t="s">
        <v>130</v>
      </c>
      <c r="H156" s="114">
        <f>655.605*0.18</f>
        <v>118.0089</v>
      </c>
      <c r="I156" s="115">
        <v>0</v>
      </c>
      <c r="J156" s="115">
        <f>ROUND(I156*H156,2)</f>
        <v>0</v>
      </c>
      <c r="K156" s="112" t="s">
        <v>107</v>
      </c>
      <c r="L156" s="28"/>
      <c r="M156" s="116" t="s">
        <v>1</v>
      </c>
      <c r="N156" s="117" t="s">
        <v>39</v>
      </c>
      <c r="O156" s="118">
        <v>0.11899999999999999</v>
      </c>
      <c r="P156" s="118">
        <f>O156*H156</f>
        <v>14.043059099999999</v>
      </c>
      <c r="Q156" s="118">
        <v>0</v>
      </c>
      <c r="R156" s="118">
        <f>Q156*H156</f>
        <v>0</v>
      </c>
      <c r="S156" s="118">
        <v>0</v>
      </c>
      <c r="T156" s="119">
        <f>S156*H156</f>
        <v>0</v>
      </c>
      <c r="W156"/>
      <c r="X156"/>
      <c r="Y156"/>
      <c r="AP156" s="120" t="s">
        <v>108</v>
      </c>
      <c r="AR156" s="120" t="s">
        <v>103</v>
      </c>
      <c r="AS156" s="120" t="s">
        <v>65</v>
      </c>
      <c r="AW156" s="17" t="s">
        <v>101</v>
      </c>
      <c r="BC156" s="121">
        <f>IF(N156="základní",J156,0)</f>
        <v>0</v>
      </c>
      <c r="BD156" s="121">
        <f>IF(N156="snížená",J156,0)</f>
        <v>0</v>
      </c>
      <c r="BE156" s="121">
        <f>IF(N156="zákl. přenesená",J156,0)</f>
        <v>0</v>
      </c>
      <c r="BF156" s="121">
        <f>IF(N156="sníž. přenesená",J156,0)</f>
        <v>0</v>
      </c>
      <c r="BG156" s="121">
        <f>IF(N156="nulová",J156,0)</f>
        <v>0</v>
      </c>
      <c r="BH156" s="17" t="s">
        <v>63</v>
      </c>
      <c r="BI156" s="121">
        <f>ROUND(I156*H156,2)</f>
        <v>0</v>
      </c>
      <c r="BJ156" s="17" t="s">
        <v>108</v>
      </c>
      <c r="BK156" s="120" t="s">
        <v>1161</v>
      </c>
    </row>
    <row r="157" spans="2:63" s="1" customFormat="1" x14ac:dyDescent="0.2">
      <c r="B157" s="28"/>
      <c r="D157" s="122" t="s">
        <v>110</v>
      </c>
      <c r="F157" s="412" t="s">
        <v>1162</v>
      </c>
      <c r="L157" s="28"/>
      <c r="M157" s="124"/>
      <c r="T157" s="48"/>
      <c r="W157"/>
      <c r="X157"/>
      <c r="Y157"/>
      <c r="AR157" s="17" t="s">
        <v>110</v>
      </c>
      <c r="AS157" s="17" t="s">
        <v>65</v>
      </c>
    </row>
    <row r="158" spans="2:63" s="12" customFormat="1" ht="22.5" x14ac:dyDescent="0.2">
      <c r="B158" s="125"/>
      <c r="D158" s="126" t="s">
        <v>112</v>
      </c>
      <c r="E158" s="127" t="s">
        <v>1</v>
      </c>
      <c r="F158" s="128" t="s">
        <v>1145</v>
      </c>
      <c r="H158" s="127" t="s">
        <v>1</v>
      </c>
      <c r="L158" s="125"/>
      <c r="M158" s="129"/>
      <c r="T158" s="130"/>
      <c r="W158"/>
      <c r="X158"/>
      <c r="Y158"/>
      <c r="AR158" s="127" t="s">
        <v>112</v>
      </c>
      <c r="AS158" s="127" t="s">
        <v>65</v>
      </c>
      <c r="AT158" s="12" t="s">
        <v>63</v>
      </c>
      <c r="AU158" s="12" t="s">
        <v>30</v>
      </c>
      <c r="AV158" s="12" t="s">
        <v>55</v>
      </c>
      <c r="AW158" s="127" t="s">
        <v>101</v>
      </c>
    </row>
    <row r="159" spans="2:63" s="13" customFormat="1" x14ac:dyDescent="0.2">
      <c r="B159" s="131"/>
      <c r="D159" s="126" t="s">
        <v>112</v>
      </c>
      <c r="E159" s="132" t="s">
        <v>1</v>
      </c>
      <c r="F159" s="133" t="s">
        <v>1163</v>
      </c>
      <c r="H159" s="134">
        <v>150.49600000000001</v>
      </c>
      <c r="L159" s="131"/>
      <c r="M159" s="135"/>
      <c r="T159" s="136"/>
      <c r="W159"/>
      <c r="X159"/>
      <c r="Y159"/>
      <c r="AR159" s="132" t="s">
        <v>112</v>
      </c>
      <c r="AS159" s="132" t="s">
        <v>65</v>
      </c>
      <c r="AT159" s="13" t="s">
        <v>65</v>
      </c>
      <c r="AU159" s="13" t="s">
        <v>30</v>
      </c>
      <c r="AV159" s="13" t="s">
        <v>55</v>
      </c>
      <c r="AW159" s="132" t="s">
        <v>101</v>
      </c>
    </row>
    <row r="160" spans="2:63" s="13" customFormat="1" x14ac:dyDescent="0.2">
      <c r="B160" s="131"/>
      <c r="D160" s="126" t="s">
        <v>112</v>
      </c>
      <c r="E160" s="132" t="s">
        <v>1</v>
      </c>
      <c r="F160" s="133" t="s">
        <v>1164</v>
      </c>
      <c r="H160" s="134">
        <v>51.533000000000001</v>
      </c>
      <c r="L160" s="131"/>
      <c r="M160" s="135"/>
      <c r="T160" s="136"/>
      <c r="W160"/>
      <c r="X160"/>
      <c r="Y160"/>
      <c r="AR160" s="132" t="s">
        <v>112</v>
      </c>
      <c r="AS160" s="132" t="s">
        <v>65</v>
      </c>
      <c r="AT160" s="13" t="s">
        <v>65</v>
      </c>
      <c r="AU160" s="13" t="s">
        <v>30</v>
      </c>
      <c r="AV160" s="13" t="s">
        <v>55</v>
      </c>
      <c r="AW160" s="132" t="s">
        <v>101</v>
      </c>
    </row>
    <row r="161" spans="2:63" s="13" customFormat="1" x14ac:dyDescent="0.2">
      <c r="B161" s="131"/>
      <c r="D161" s="126" t="s">
        <v>112</v>
      </c>
      <c r="E161" s="132" t="s">
        <v>1</v>
      </c>
      <c r="F161" s="133" t="s">
        <v>1165</v>
      </c>
      <c r="H161" s="134">
        <v>87.129000000000005</v>
      </c>
      <c r="L161" s="131"/>
      <c r="M161" s="135"/>
      <c r="T161" s="136"/>
      <c r="W161"/>
      <c r="X161"/>
      <c r="Y161"/>
      <c r="AR161" s="132" t="s">
        <v>112</v>
      </c>
      <c r="AS161" s="132" t="s">
        <v>65</v>
      </c>
      <c r="AT161" s="13" t="s">
        <v>65</v>
      </c>
      <c r="AU161" s="13" t="s">
        <v>30</v>
      </c>
      <c r="AV161" s="13" t="s">
        <v>55</v>
      </c>
      <c r="AW161" s="132" t="s">
        <v>101</v>
      </c>
    </row>
    <row r="162" spans="2:63" s="13" customFormat="1" x14ac:dyDescent="0.2">
      <c r="B162" s="131"/>
      <c r="D162" s="126" t="s">
        <v>112</v>
      </c>
      <c r="E162" s="132" t="s">
        <v>1</v>
      </c>
      <c r="F162" s="133" t="s">
        <v>1166</v>
      </c>
      <c r="H162" s="134">
        <v>85.031000000000006</v>
      </c>
      <c r="L162" s="131"/>
      <c r="M162" s="135"/>
      <c r="T162" s="136"/>
      <c r="W162"/>
      <c r="X162"/>
      <c r="Y162"/>
      <c r="AR162" s="132" t="s">
        <v>112</v>
      </c>
      <c r="AS162" s="132" t="s">
        <v>65</v>
      </c>
      <c r="AT162" s="13" t="s">
        <v>65</v>
      </c>
      <c r="AU162" s="13" t="s">
        <v>30</v>
      </c>
      <c r="AV162" s="13" t="s">
        <v>55</v>
      </c>
      <c r="AW162" s="132" t="s">
        <v>101</v>
      </c>
    </row>
    <row r="163" spans="2:63" s="13" customFormat="1" x14ac:dyDescent="0.2">
      <c r="B163" s="131"/>
      <c r="D163" s="126" t="s">
        <v>112</v>
      </c>
      <c r="E163" s="132" t="s">
        <v>1</v>
      </c>
      <c r="F163" s="133" t="s">
        <v>1167</v>
      </c>
      <c r="H163" s="134">
        <v>96.39</v>
      </c>
      <c r="L163" s="131"/>
      <c r="M163" s="135"/>
      <c r="T163" s="136"/>
      <c r="W163"/>
      <c r="X163"/>
      <c r="Y163"/>
      <c r="AR163" s="132" t="s">
        <v>112</v>
      </c>
      <c r="AS163" s="132" t="s">
        <v>65</v>
      </c>
      <c r="AT163" s="13" t="s">
        <v>65</v>
      </c>
      <c r="AU163" s="13" t="s">
        <v>30</v>
      </c>
      <c r="AV163" s="13" t="s">
        <v>55</v>
      </c>
      <c r="AW163" s="132" t="s">
        <v>101</v>
      </c>
    </row>
    <row r="164" spans="2:63" s="13" customFormat="1" x14ac:dyDescent="0.2">
      <c r="B164" s="131"/>
      <c r="D164" s="126" t="s">
        <v>112</v>
      </c>
      <c r="E164" s="132" t="s">
        <v>1</v>
      </c>
      <c r="F164" s="133" t="s">
        <v>1168</v>
      </c>
      <c r="H164" s="134">
        <v>29.135999999999999</v>
      </c>
      <c r="L164" s="131"/>
      <c r="M164" s="135"/>
      <c r="T164" s="136"/>
      <c r="W164"/>
      <c r="X164"/>
      <c r="Y164"/>
      <c r="AR164" s="132" t="s">
        <v>112</v>
      </c>
      <c r="AS164" s="132" t="s">
        <v>65</v>
      </c>
      <c r="AT164" s="13" t="s">
        <v>65</v>
      </c>
      <c r="AU164" s="13" t="s">
        <v>30</v>
      </c>
      <c r="AV164" s="13" t="s">
        <v>55</v>
      </c>
      <c r="AW164" s="132" t="s">
        <v>101</v>
      </c>
    </row>
    <row r="165" spans="2:63" s="13" customFormat="1" x14ac:dyDescent="0.2">
      <c r="B165" s="131"/>
      <c r="D165" s="126" t="s">
        <v>112</v>
      </c>
      <c r="E165" s="132" t="s">
        <v>1</v>
      </c>
      <c r="F165" s="133" t="s">
        <v>1169</v>
      </c>
      <c r="H165" s="134">
        <v>155.88999999999999</v>
      </c>
      <c r="L165" s="131"/>
      <c r="M165" s="135"/>
      <c r="T165" s="136"/>
      <c r="W165"/>
      <c r="X165"/>
      <c r="Y165"/>
      <c r="AR165" s="132" t="s">
        <v>112</v>
      </c>
      <c r="AS165" s="132" t="s">
        <v>65</v>
      </c>
      <c r="AT165" s="13" t="s">
        <v>65</v>
      </c>
      <c r="AU165" s="13" t="s">
        <v>30</v>
      </c>
      <c r="AV165" s="13" t="s">
        <v>55</v>
      </c>
      <c r="AW165" s="132" t="s">
        <v>101</v>
      </c>
    </row>
    <row r="166" spans="2:63" s="14" customFormat="1" x14ac:dyDescent="0.2">
      <c r="B166" s="137"/>
      <c r="D166" s="126" t="s">
        <v>112</v>
      </c>
      <c r="E166" s="138" t="s">
        <v>1</v>
      </c>
      <c r="F166" s="139" t="s">
        <v>127</v>
      </c>
      <c r="H166" s="140">
        <v>655.60500000000002</v>
      </c>
      <c r="L166" s="137"/>
      <c r="M166" s="141"/>
      <c r="T166" s="142"/>
      <c r="W166"/>
      <c r="X166"/>
      <c r="Y166"/>
      <c r="AR166" s="138" t="s">
        <v>112</v>
      </c>
      <c r="AS166" s="138" t="s">
        <v>65</v>
      </c>
      <c r="AT166" s="14" t="s">
        <v>108</v>
      </c>
      <c r="AU166" s="14" t="s">
        <v>30</v>
      </c>
      <c r="AV166" s="14" t="s">
        <v>63</v>
      </c>
      <c r="AW166" s="138" t="s">
        <v>101</v>
      </c>
    </row>
    <row r="167" spans="2:63" s="14" customFormat="1" x14ac:dyDescent="0.2">
      <c r="B167" s="137"/>
      <c r="D167" s="126"/>
      <c r="E167" s="138"/>
      <c r="F167" s="139" t="s">
        <v>1842</v>
      </c>
      <c r="H167" s="140">
        <f>H166*0.18</f>
        <v>118.0089</v>
      </c>
      <c r="L167" s="137"/>
      <c r="M167" s="141"/>
      <c r="T167" s="142"/>
      <c r="W167"/>
      <c r="X167"/>
      <c r="Y167"/>
      <c r="AR167" s="138"/>
      <c r="AS167" s="138"/>
      <c r="AW167" s="138"/>
    </row>
    <row r="168" spans="2:63" s="1" customFormat="1" ht="44.25" customHeight="1" x14ac:dyDescent="0.2">
      <c r="B168" s="109"/>
      <c r="C168" s="110" t="s">
        <v>171</v>
      </c>
      <c r="D168" s="110" t="s">
        <v>103</v>
      </c>
      <c r="E168" s="111" t="s">
        <v>1170</v>
      </c>
      <c r="F168" s="112" t="s">
        <v>1171</v>
      </c>
      <c r="G168" s="113" t="s">
        <v>130</v>
      </c>
      <c r="H168" s="114">
        <f>87.443*0.18</f>
        <v>15.739739999999999</v>
      </c>
      <c r="I168" s="115">
        <v>0</v>
      </c>
      <c r="J168" s="115">
        <f>ROUND(I168*H168,2)</f>
        <v>0</v>
      </c>
      <c r="K168" s="112" t="s">
        <v>107</v>
      </c>
      <c r="L168" s="28"/>
      <c r="M168" s="116" t="s">
        <v>1</v>
      </c>
      <c r="N168" s="117" t="s">
        <v>39</v>
      </c>
      <c r="O168" s="118">
        <v>0.23</v>
      </c>
      <c r="P168" s="118">
        <f>O168*H168</f>
        <v>3.6201401999999998</v>
      </c>
      <c r="Q168" s="118">
        <v>0</v>
      </c>
      <c r="R168" s="118">
        <f>Q168*H168</f>
        <v>0</v>
      </c>
      <c r="S168" s="118">
        <v>0</v>
      </c>
      <c r="T168" s="119">
        <f>S168*H168</f>
        <v>0</v>
      </c>
      <c r="W168"/>
      <c r="X168"/>
      <c r="Y168"/>
      <c r="AP168" s="120" t="s">
        <v>108</v>
      </c>
      <c r="AR168" s="120" t="s">
        <v>103</v>
      </c>
      <c r="AS168" s="120" t="s">
        <v>65</v>
      </c>
      <c r="AW168" s="17" t="s">
        <v>101</v>
      </c>
      <c r="BC168" s="121">
        <f>IF(N168="základní",J168,0)</f>
        <v>0</v>
      </c>
      <c r="BD168" s="121">
        <f>IF(N168="snížená",J168,0)</f>
        <v>0</v>
      </c>
      <c r="BE168" s="121">
        <f>IF(N168="zákl. přenesená",J168,0)</f>
        <v>0</v>
      </c>
      <c r="BF168" s="121">
        <f>IF(N168="sníž. přenesená",J168,0)</f>
        <v>0</v>
      </c>
      <c r="BG168" s="121">
        <f>IF(N168="nulová",J168,0)</f>
        <v>0</v>
      </c>
      <c r="BH168" s="17" t="s">
        <v>63</v>
      </c>
      <c r="BI168" s="121">
        <f>ROUND(I168*H168,2)</f>
        <v>0</v>
      </c>
      <c r="BJ168" s="17" t="s">
        <v>108</v>
      </c>
      <c r="BK168" s="120" t="s">
        <v>1172</v>
      </c>
    </row>
    <row r="169" spans="2:63" s="1" customFormat="1" x14ac:dyDescent="0.2">
      <c r="B169" s="28"/>
      <c r="D169" s="122" t="s">
        <v>110</v>
      </c>
      <c r="F169" s="412" t="s">
        <v>1173</v>
      </c>
      <c r="L169" s="28"/>
      <c r="M169" s="124"/>
      <c r="T169" s="48"/>
      <c r="W169"/>
      <c r="X169"/>
      <c r="Y169"/>
      <c r="AR169" s="17" t="s">
        <v>110</v>
      </c>
      <c r="AS169" s="17" t="s">
        <v>65</v>
      </c>
    </row>
    <row r="170" spans="2:63" s="12" customFormat="1" ht="22.5" x14ac:dyDescent="0.2">
      <c r="B170" s="125"/>
      <c r="D170" s="126" t="s">
        <v>112</v>
      </c>
      <c r="E170" s="127" t="s">
        <v>1</v>
      </c>
      <c r="F170" s="128" t="s">
        <v>1145</v>
      </c>
      <c r="H170" s="127" t="s">
        <v>1</v>
      </c>
      <c r="L170" s="125"/>
      <c r="M170" s="129"/>
      <c r="T170" s="130"/>
      <c r="W170"/>
      <c r="X170"/>
      <c r="Y170"/>
      <c r="AR170" s="127" t="s">
        <v>112</v>
      </c>
      <c r="AS170" s="127" t="s">
        <v>65</v>
      </c>
      <c r="AT170" s="12" t="s">
        <v>63</v>
      </c>
      <c r="AU170" s="12" t="s">
        <v>30</v>
      </c>
      <c r="AV170" s="12" t="s">
        <v>55</v>
      </c>
      <c r="AW170" s="127" t="s">
        <v>101</v>
      </c>
    </row>
    <row r="171" spans="2:63" s="13" customFormat="1" x14ac:dyDescent="0.2">
      <c r="B171" s="131"/>
      <c r="D171" s="126" t="s">
        <v>112</v>
      </c>
      <c r="E171" s="132" t="s">
        <v>1</v>
      </c>
      <c r="F171" s="133" t="s">
        <v>1174</v>
      </c>
      <c r="H171" s="134">
        <v>56.186</v>
      </c>
      <c r="L171" s="131"/>
      <c r="M171" s="135"/>
      <c r="T171" s="136"/>
      <c r="W171"/>
      <c r="X171"/>
      <c r="Y171"/>
      <c r="AR171" s="132" t="s">
        <v>112</v>
      </c>
      <c r="AS171" s="132" t="s">
        <v>65</v>
      </c>
      <c r="AT171" s="13" t="s">
        <v>65</v>
      </c>
      <c r="AU171" s="13" t="s">
        <v>30</v>
      </c>
      <c r="AV171" s="13" t="s">
        <v>55</v>
      </c>
      <c r="AW171" s="132" t="s">
        <v>101</v>
      </c>
    </row>
    <row r="172" spans="2:63" s="13" customFormat="1" x14ac:dyDescent="0.2">
      <c r="B172" s="131"/>
      <c r="D172" s="126" t="s">
        <v>112</v>
      </c>
      <c r="E172" s="132" t="s">
        <v>1</v>
      </c>
      <c r="F172" s="133" t="s">
        <v>1175</v>
      </c>
      <c r="H172" s="134">
        <v>31.257000000000001</v>
      </c>
      <c r="L172" s="131"/>
      <c r="M172" s="135"/>
      <c r="T172" s="136"/>
      <c r="W172"/>
      <c r="X172"/>
      <c r="Y172"/>
      <c r="AR172" s="132" t="s">
        <v>112</v>
      </c>
      <c r="AS172" s="132" t="s">
        <v>65</v>
      </c>
      <c r="AT172" s="13" t="s">
        <v>65</v>
      </c>
      <c r="AU172" s="13" t="s">
        <v>30</v>
      </c>
      <c r="AV172" s="13" t="s">
        <v>55</v>
      </c>
      <c r="AW172" s="132" t="s">
        <v>101</v>
      </c>
    </row>
    <row r="173" spans="2:63" s="14" customFormat="1" x14ac:dyDescent="0.2">
      <c r="B173" s="137"/>
      <c r="D173" s="126" t="s">
        <v>112</v>
      </c>
      <c r="E173" s="138" t="s">
        <v>1</v>
      </c>
      <c r="F173" s="139" t="s">
        <v>127</v>
      </c>
      <c r="H173" s="140">
        <v>87.442999999999998</v>
      </c>
      <c r="L173" s="137"/>
      <c r="M173" s="141"/>
      <c r="T173" s="142"/>
      <c r="W173"/>
      <c r="X173"/>
      <c r="Y173"/>
      <c r="AR173" s="138" t="s">
        <v>112</v>
      </c>
      <c r="AS173" s="138" t="s">
        <v>65</v>
      </c>
      <c r="AT173" s="14" t="s">
        <v>108</v>
      </c>
      <c r="AU173" s="14" t="s">
        <v>30</v>
      </c>
      <c r="AV173" s="14" t="s">
        <v>63</v>
      </c>
      <c r="AW173" s="138" t="s">
        <v>101</v>
      </c>
    </row>
    <row r="174" spans="2:63" s="14" customFormat="1" x14ac:dyDescent="0.2">
      <c r="B174" s="137"/>
      <c r="D174" s="126"/>
      <c r="E174" s="138"/>
      <c r="F174" s="139" t="s">
        <v>1842</v>
      </c>
      <c r="H174" s="140">
        <f>H173*0.18</f>
        <v>15.739739999999999</v>
      </c>
      <c r="L174" s="137"/>
      <c r="M174" s="141"/>
      <c r="T174" s="142"/>
      <c r="W174"/>
      <c r="X174"/>
      <c r="Y174"/>
      <c r="AR174" s="138"/>
      <c r="AS174" s="138"/>
      <c r="AW174" s="138"/>
    </row>
    <row r="175" spans="2:63" s="1" customFormat="1" ht="49.15" customHeight="1" x14ac:dyDescent="0.2">
      <c r="B175" s="109"/>
      <c r="C175" s="110" t="s">
        <v>180</v>
      </c>
      <c r="D175" s="110" t="s">
        <v>103</v>
      </c>
      <c r="E175" s="111" t="s">
        <v>1176</v>
      </c>
      <c r="F175" s="112" t="s">
        <v>1177</v>
      </c>
      <c r="G175" s="113" t="s">
        <v>130</v>
      </c>
      <c r="H175" s="114">
        <f>564.064*0.18</f>
        <v>101.53151999999999</v>
      </c>
      <c r="I175" s="115">
        <v>0</v>
      </c>
      <c r="J175" s="115">
        <f>ROUND(I175*H175,2)</f>
        <v>0</v>
      </c>
      <c r="K175" s="112" t="s">
        <v>107</v>
      </c>
      <c r="L175" s="28"/>
      <c r="M175" s="116" t="s">
        <v>1</v>
      </c>
      <c r="N175" s="117" t="s">
        <v>39</v>
      </c>
      <c r="O175" s="118">
        <v>0.191</v>
      </c>
      <c r="P175" s="118">
        <f>O175*H175</f>
        <v>19.392520319999999</v>
      </c>
      <c r="Q175" s="118">
        <v>0</v>
      </c>
      <c r="R175" s="118">
        <f>Q175*H175</f>
        <v>0</v>
      </c>
      <c r="S175" s="118">
        <v>0</v>
      </c>
      <c r="T175" s="119">
        <f>S175*H175</f>
        <v>0</v>
      </c>
      <c r="W175"/>
      <c r="X175"/>
      <c r="Y175"/>
      <c r="AP175" s="120" t="s">
        <v>108</v>
      </c>
      <c r="AR175" s="120" t="s">
        <v>103</v>
      </c>
      <c r="AS175" s="120" t="s">
        <v>65</v>
      </c>
      <c r="AW175" s="17" t="s">
        <v>101</v>
      </c>
      <c r="BC175" s="121">
        <f>IF(N175="základní",J175,0)</f>
        <v>0</v>
      </c>
      <c r="BD175" s="121">
        <f>IF(N175="snížená",J175,0)</f>
        <v>0</v>
      </c>
      <c r="BE175" s="121">
        <f>IF(N175="zákl. přenesená",J175,0)</f>
        <v>0</v>
      </c>
      <c r="BF175" s="121">
        <f>IF(N175="sníž. přenesená",J175,0)</f>
        <v>0</v>
      </c>
      <c r="BG175" s="121">
        <f>IF(N175="nulová",J175,0)</f>
        <v>0</v>
      </c>
      <c r="BH175" s="17" t="s">
        <v>63</v>
      </c>
      <c r="BI175" s="121">
        <f>ROUND(I175*H175,2)</f>
        <v>0</v>
      </c>
      <c r="BJ175" s="17" t="s">
        <v>108</v>
      </c>
      <c r="BK175" s="120" t="s">
        <v>1178</v>
      </c>
    </row>
    <row r="176" spans="2:63" s="1" customFormat="1" x14ac:dyDescent="0.2">
      <c r="B176" s="28"/>
      <c r="D176" s="122" t="s">
        <v>110</v>
      </c>
      <c r="F176" s="412" t="s">
        <v>1179</v>
      </c>
      <c r="L176" s="28"/>
      <c r="M176" s="124"/>
      <c r="T176" s="48"/>
      <c r="W176"/>
      <c r="X176"/>
      <c r="Y176"/>
      <c r="AR176" s="17" t="s">
        <v>110</v>
      </c>
      <c r="AS176" s="17" t="s">
        <v>65</v>
      </c>
    </row>
    <row r="177" spans="2:63" s="12" customFormat="1" ht="22.5" x14ac:dyDescent="0.2">
      <c r="B177" s="125"/>
      <c r="D177" s="126" t="s">
        <v>112</v>
      </c>
      <c r="E177" s="127" t="s">
        <v>1</v>
      </c>
      <c r="F177" s="128" t="s">
        <v>1145</v>
      </c>
      <c r="H177" s="127" t="s">
        <v>1</v>
      </c>
      <c r="L177" s="125"/>
      <c r="M177" s="129"/>
      <c r="T177" s="130"/>
      <c r="W177"/>
      <c r="X177"/>
      <c r="Y177"/>
      <c r="AR177" s="127" t="s">
        <v>112</v>
      </c>
      <c r="AS177" s="127" t="s">
        <v>65</v>
      </c>
      <c r="AT177" s="12" t="s">
        <v>63</v>
      </c>
      <c r="AU177" s="12" t="s">
        <v>30</v>
      </c>
      <c r="AV177" s="12" t="s">
        <v>55</v>
      </c>
      <c r="AW177" s="127" t="s">
        <v>101</v>
      </c>
    </row>
    <row r="178" spans="2:63" s="13" customFormat="1" x14ac:dyDescent="0.2">
      <c r="B178" s="131"/>
      <c r="D178" s="126" t="s">
        <v>112</v>
      </c>
      <c r="E178" s="132" t="s">
        <v>1</v>
      </c>
      <c r="F178" s="133" t="s">
        <v>1180</v>
      </c>
      <c r="H178" s="134">
        <v>129.49700000000001</v>
      </c>
      <c r="L178" s="131"/>
      <c r="M178" s="135"/>
      <c r="T178" s="136"/>
      <c r="W178"/>
      <c r="X178"/>
      <c r="Y178"/>
      <c r="AR178" s="132" t="s">
        <v>112</v>
      </c>
      <c r="AS178" s="132" t="s">
        <v>65</v>
      </c>
      <c r="AT178" s="13" t="s">
        <v>65</v>
      </c>
      <c r="AU178" s="13" t="s">
        <v>30</v>
      </c>
      <c r="AV178" s="13" t="s">
        <v>55</v>
      </c>
      <c r="AW178" s="132" t="s">
        <v>101</v>
      </c>
    </row>
    <row r="179" spans="2:63" s="13" customFormat="1" x14ac:dyDescent="0.2">
      <c r="B179" s="131"/>
      <c r="D179" s="126" t="s">
        <v>112</v>
      </c>
      <c r="E179" s="132" t="s">
        <v>1</v>
      </c>
      <c r="F179" s="133" t="s">
        <v>1181</v>
      </c>
      <c r="H179" s="134">
        <v>44.343000000000004</v>
      </c>
      <c r="L179" s="131"/>
      <c r="M179" s="135"/>
      <c r="T179" s="136"/>
      <c r="W179"/>
      <c r="X179"/>
      <c r="Y179"/>
      <c r="AR179" s="132" t="s">
        <v>112</v>
      </c>
      <c r="AS179" s="132" t="s">
        <v>65</v>
      </c>
      <c r="AT179" s="13" t="s">
        <v>65</v>
      </c>
      <c r="AU179" s="13" t="s">
        <v>30</v>
      </c>
      <c r="AV179" s="13" t="s">
        <v>55</v>
      </c>
      <c r="AW179" s="132" t="s">
        <v>101</v>
      </c>
    </row>
    <row r="180" spans="2:63" s="13" customFormat="1" x14ac:dyDescent="0.2">
      <c r="B180" s="131"/>
      <c r="D180" s="126" t="s">
        <v>112</v>
      </c>
      <c r="E180" s="132" t="s">
        <v>1</v>
      </c>
      <c r="F180" s="133" t="s">
        <v>1182</v>
      </c>
      <c r="H180" s="134">
        <v>74.971000000000004</v>
      </c>
      <c r="L180" s="131"/>
      <c r="M180" s="135"/>
      <c r="T180" s="136"/>
      <c r="W180"/>
      <c r="X180"/>
      <c r="Y180"/>
      <c r="AR180" s="132" t="s">
        <v>112</v>
      </c>
      <c r="AS180" s="132" t="s">
        <v>65</v>
      </c>
      <c r="AT180" s="13" t="s">
        <v>65</v>
      </c>
      <c r="AU180" s="13" t="s">
        <v>30</v>
      </c>
      <c r="AV180" s="13" t="s">
        <v>55</v>
      </c>
      <c r="AW180" s="132" t="s">
        <v>101</v>
      </c>
    </row>
    <row r="181" spans="2:63" s="13" customFormat="1" x14ac:dyDescent="0.2">
      <c r="B181" s="131"/>
      <c r="D181" s="126" t="s">
        <v>112</v>
      </c>
      <c r="E181" s="132" t="s">
        <v>1</v>
      </c>
      <c r="F181" s="133" t="s">
        <v>1183</v>
      </c>
      <c r="H181" s="134">
        <v>73.165999999999997</v>
      </c>
      <c r="L181" s="131"/>
      <c r="M181" s="135"/>
      <c r="T181" s="136"/>
      <c r="W181"/>
      <c r="X181"/>
      <c r="Y181"/>
      <c r="AR181" s="132" t="s">
        <v>112</v>
      </c>
      <c r="AS181" s="132" t="s">
        <v>65</v>
      </c>
      <c r="AT181" s="13" t="s">
        <v>65</v>
      </c>
      <c r="AU181" s="13" t="s">
        <v>30</v>
      </c>
      <c r="AV181" s="13" t="s">
        <v>55</v>
      </c>
      <c r="AW181" s="132" t="s">
        <v>101</v>
      </c>
    </row>
    <row r="182" spans="2:63" s="13" customFormat="1" x14ac:dyDescent="0.2">
      <c r="B182" s="131"/>
      <c r="D182" s="126" t="s">
        <v>112</v>
      </c>
      <c r="E182" s="132" t="s">
        <v>1</v>
      </c>
      <c r="F182" s="133" t="s">
        <v>1184</v>
      </c>
      <c r="H182" s="134">
        <v>82.879000000000005</v>
      </c>
      <c r="L182" s="131"/>
      <c r="M182" s="135"/>
      <c r="T182" s="136"/>
      <c r="W182"/>
      <c r="X182"/>
      <c r="Y182"/>
      <c r="AR182" s="132" t="s">
        <v>112</v>
      </c>
      <c r="AS182" s="132" t="s">
        <v>65</v>
      </c>
      <c r="AT182" s="13" t="s">
        <v>65</v>
      </c>
      <c r="AU182" s="13" t="s">
        <v>30</v>
      </c>
      <c r="AV182" s="13" t="s">
        <v>55</v>
      </c>
      <c r="AW182" s="132" t="s">
        <v>101</v>
      </c>
    </row>
    <row r="183" spans="2:63" s="13" customFormat="1" x14ac:dyDescent="0.2">
      <c r="B183" s="131"/>
      <c r="D183" s="126" t="s">
        <v>112</v>
      </c>
      <c r="E183" s="132" t="s">
        <v>1</v>
      </c>
      <c r="F183" s="133" t="s">
        <v>1185</v>
      </c>
      <c r="H183" s="134">
        <v>25.07</v>
      </c>
      <c r="L183" s="131"/>
      <c r="M183" s="135"/>
      <c r="T183" s="136"/>
      <c r="W183"/>
      <c r="X183"/>
      <c r="Y183"/>
      <c r="AR183" s="132" t="s">
        <v>112</v>
      </c>
      <c r="AS183" s="132" t="s">
        <v>65</v>
      </c>
      <c r="AT183" s="13" t="s">
        <v>65</v>
      </c>
      <c r="AU183" s="13" t="s">
        <v>30</v>
      </c>
      <c r="AV183" s="13" t="s">
        <v>55</v>
      </c>
      <c r="AW183" s="132" t="s">
        <v>101</v>
      </c>
    </row>
    <row r="184" spans="2:63" s="13" customFormat="1" x14ac:dyDescent="0.2">
      <c r="B184" s="131"/>
      <c r="D184" s="126" t="s">
        <v>112</v>
      </c>
      <c r="E184" s="132" t="s">
        <v>1</v>
      </c>
      <c r="F184" s="133" t="s">
        <v>1186</v>
      </c>
      <c r="H184" s="134">
        <v>134.13800000000001</v>
      </c>
      <c r="L184" s="131"/>
      <c r="M184" s="135"/>
      <c r="T184" s="136"/>
      <c r="W184"/>
      <c r="X184"/>
      <c r="Y184"/>
      <c r="AR184" s="132" t="s">
        <v>112</v>
      </c>
      <c r="AS184" s="132" t="s">
        <v>65</v>
      </c>
      <c r="AT184" s="13" t="s">
        <v>65</v>
      </c>
      <c r="AU184" s="13" t="s">
        <v>30</v>
      </c>
      <c r="AV184" s="13" t="s">
        <v>55</v>
      </c>
      <c r="AW184" s="132" t="s">
        <v>101</v>
      </c>
    </row>
    <row r="185" spans="2:63" s="14" customFormat="1" x14ac:dyDescent="0.2">
      <c r="B185" s="137"/>
      <c r="D185" s="126" t="s">
        <v>112</v>
      </c>
      <c r="E185" s="138" t="s">
        <v>1</v>
      </c>
      <c r="F185" s="139" t="s">
        <v>127</v>
      </c>
      <c r="H185" s="140">
        <v>564.06399999999996</v>
      </c>
      <c r="L185" s="137"/>
      <c r="M185" s="141"/>
      <c r="T185" s="142"/>
      <c r="W185"/>
      <c r="X185"/>
      <c r="Y185"/>
      <c r="AR185" s="138" t="s">
        <v>112</v>
      </c>
      <c r="AS185" s="138" t="s">
        <v>65</v>
      </c>
      <c r="AT185" s="14" t="s">
        <v>108</v>
      </c>
      <c r="AU185" s="14" t="s">
        <v>30</v>
      </c>
      <c r="AV185" s="14" t="s">
        <v>63</v>
      </c>
      <c r="AW185" s="138" t="s">
        <v>101</v>
      </c>
    </row>
    <row r="186" spans="2:63" s="14" customFormat="1" x14ac:dyDescent="0.2">
      <c r="B186" s="137"/>
      <c r="D186" s="126"/>
      <c r="E186" s="138"/>
      <c r="F186" s="139" t="s">
        <v>1842</v>
      </c>
      <c r="H186" s="140">
        <f>H185*0.18</f>
        <v>101.53151999999999</v>
      </c>
      <c r="L186" s="137"/>
      <c r="M186" s="141"/>
      <c r="T186" s="142"/>
      <c r="W186"/>
      <c r="X186"/>
      <c r="Y186"/>
      <c r="AR186" s="138"/>
      <c r="AS186" s="138"/>
      <c r="AW186" s="138"/>
    </row>
    <row r="187" spans="2:63" s="1" customFormat="1" ht="44.25" customHeight="1" x14ac:dyDescent="0.2">
      <c r="B187" s="109"/>
      <c r="C187" s="110" t="s">
        <v>185</v>
      </c>
      <c r="D187" s="110" t="s">
        <v>103</v>
      </c>
      <c r="E187" s="111" t="s">
        <v>1187</v>
      </c>
      <c r="F187" s="112" t="s">
        <v>1188</v>
      </c>
      <c r="G187" s="113" t="s">
        <v>130</v>
      </c>
      <c r="H187" s="114">
        <f>75.242*0.18</f>
        <v>13.543560000000001</v>
      </c>
      <c r="I187" s="115">
        <v>0</v>
      </c>
      <c r="J187" s="115">
        <f>ROUND(I187*H187,2)</f>
        <v>0</v>
      </c>
      <c r="K187" s="112" t="s">
        <v>107</v>
      </c>
      <c r="L187" s="28"/>
      <c r="M187" s="116" t="s">
        <v>1</v>
      </c>
      <c r="N187" s="117" t="s">
        <v>39</v>
      </c>
      <c r="O187" s="118">
        <v>0.318</v>
      </c>
      <c r="P187" s="118">
        <f>O187*H187</f>
        <v>4.3068520800000005</v>
      </c>
      <c r="Q187" s="118">
        <v>0</v>
      </c>
      <c r="R187" s="118">
        <f>Q187*H187</f>
        <v>0</v>
      </c>
      <c r="S187" s="118">
        <v>0</v>
      </c>
      <c r="T187" s="119">
        <f>S187*H187</f>
        <v>0</v>
      </c>
      <c r="W187"/>
      <c r="X187"/>
      <c r="Y187"/>
      <c r="AP187" s="120" t="s">
        <v>108</v>
      </c>
      <c r="AR187" s="120" t="s">
        <v>103</v>
      </c>
      <c r="AS187" s="120" t="s">
        <v>65</v>
      </c>
      <c r="AW187" s="17" t="s">
        <v>101</v>
      </c>
      <c r="BC187" s="121">
        <f>IF(N187="základní",J187,0)</f>
        <v>0</v>
      </c>
      <c r="BD187" s="121">
        <f>IF(N187="snížená",J187,0)</f>
        <v>0</v>
      </c>
      <c r="BE187" s="121">
        <f>IF(N187="zákl. přenesená",J187,0)</f>
        <v>0</v>
      </c>
      <c r="BF187" s="121">
        <f>IF(N187="sníž. přenesená",J187,0)</f>
        <v>0</v>
      </c>
      <c r="BG187" s="121">
        <f>IF(N187="nulová",J187,0)</f>
        <v>0</v>
      </c>
      <c r="BH187" s="17" t="s">
        <v>63</v>
      </c>
      <c r="BI187" s="121">
        <f>ROUND(I187*H187,2)</f>
        <v>0</v>
      </c>
      <c r="BJ187" s="17" t="s">
        <v>108</v>
      </c>
      <c r="BK187" s="120" t="s">
        <v>1189</v>
      </c>
    </row>
    <row r="188" spans="2:63" s="1" customFormat="1" x14ac:dyDescent="0.2">
      <c r="B188" s="28"/>
      <c r="D188" s="122" t="s">
        <v>110</v>
      </c>
      <c r="F188" s="412" t="s">
        <v>1190</v>
      </c>
      <c r="L188" s="28"/>
      <c r="M188" s="124"/>
      <c r="T188" s="48"/>
      <c r="W188"/>
      <c r="X188"/>
      <c r="Y188"/>
      <c r="AR188" s="17" t="s">
        <v>110</v>
      </c>
      <c r="AS188" s="17" t="s">
        <v>65</v>
      </c>
    </row>
    <row r="189" spans="2:63" s="12" customFormat="1" ht="22.5" x14ac:dyDescent="0.2">
      <c r="B189" s="125"/>
      <c r="D189" s="126" t="s">
        <v>112</v>
      </c>
      <c r="E189" s="127" t="s">
        <v>1</v>
      </c>
      <c r="F189" s="128" t="s">
        <v>1145</v>
      </c>
      <c r="H189" s="127" t="s">
        <v>1</v>
      </c>
      <c r="L189" s="125"/>
      <c r="M189" s="129"/>
      <c r="T189" s="130"/>
      <c r="W189"/>
      <c r="X189"/>
      <c r="Y189"/>
      <c r="AR189" s="127" t="s">
        <v>112</v>
      </c>
      <c r="AS189" s="127" t="s">
        <v>65</v>
      </c>
      <c r="AT189" s="12" t="s">
        <v>63</v>
      </c>
      <c r="AU189" s="12" t="s">
        <v>30</v>
      </c>
      <c r="AV189" s="12" t="s">
        <v>55</v>
      </c>
      <c r="AW189" s="127" t="s">
        <v>101</v>
      </c>
    </row>
    <row r="190" spans="2:63" s="13" customFormat="1" x14ac:dyDescent="0.2">
      <c r="B190" s="131"/>
      <c r="D190" s="126" t="s">
        <v>112</v>
      </c>
      <c r="E190" s="132" t="s">
        <v>1</v>
      </c>
      <c r="F190" s="133" t="s">
        <v>1191</v>
      </c>
      <c r="H190" s="134">
        <v>48.345999999999997</v>
      </c>
      <c r="L190" s="131"/>
      <c r="M190" s="135"/>
      <c r="T190" s="136"/>
      <c r="W190"/>
      <c r="X190"/>
      <c r="Y190"/>
      <c r="AR190" s="132" t="s">
        <v>112</v>
      </c>
      <c r="AS190" s="132" t="s">
        <v>65</v>
      </c>
      <c r="AT190" s="13" t="s">
        <v>65</v>
      </c>
      <c r="AU190" s="13" t="s">
        <v>30</v>
      </c>
      <c r="AV190" s="13" t="s">
        <v>55</v>
      </c>
      <c r="AW190" s="132" t="s">
        <v>101</v>
      </c>
    </row>
    <row r="191" spans="2:63" s="13" customFormat="1" x14ac:dyDescent="0.2">
      <c r="B191" s="131"/>
      <c r="D191" s="126" t="s">
        <v>112</v>
      </c>
      <c r="E191" s="132" t="s">
        <v>1</v>
      </c>
      <c r="F191" s="133" t="s">
        <v>1192</v>
      </c>
      <c r="H191" s="134">
        <v>26.896000000000001</v>
      </c>
      <c r="L191" s="131"/>
      <c r="M191" s="135"/>
      <c r="T191" s="136"/>
      <c r="W191"/>
      <c r="X191"/>
      <c r="Y191"/>
      <c r="AR191" s="132" t="s">
        <v>112</v>
      </c>
      <c r="AS191" s="132" t="s">
        <v>65</v>
      </c>
      <c r="AT191" s="13" t="s">
        <v>65</v>
      </c>
      <c r="AU191" s="13" t="s">
        <v>30</v>
      </c>
      <c r="AV191" s="13" t="s">
        <v>55</v>
      </c>
      <c r="AW191" s="132" t="s">
        <v>101</v>
      </c>
    </row>
    <row r="192" spans="2:63" s="14" customFormat="1" x14ac:dyDescent="0.2">
      <c r="B192" s="137"/>
      <c r="D192" s="126" t="s">
        <v>112</v>
      </c>
      <c r="E192" s="138" t="s">
        <v>1</v>
      </c>
      <c r="F192" s="139" t="s">
        <v>127</v>
      </c>
      <c r="H192" s="140">
        <v>75.242000000000004</v>
      </c>
      <c r="L192" s="137"/>
      <c r="M192" s="141"/>
      <c r="T192" s="142"/>
      <c r="W192"/>
      <c r="X192"/>
      <c r="Y192"/>
      <c r="AR192" s="138" t="s">
        <v>112</v>
      </c>
      <c r="AS192" s="138" t="s">
        <v>65</v>
      </c>
      <c r="AT192" s="14" t="s">
        <v>108</v>
      </c>
      <c r="AU192" s="14" t="s">
        <v>30</v>
      </c>
      <c r="AV192" s="14" t="s">
        <v>63</v>
      </c>
      <c r="AW192" s="138" t="s">
        <v>101</v>
      </c>
    </row>
    <row r="193" spans="2:63" s="14" customFormat="1" x14ac:dyDescent="0.2">
      <c r="B193" s="137"/>
      <c r="D193" s="126"/>
      <c r="E193" s="138"/>
      <c r="F193" s="139" t="s">
        <v>1842</v>
      </c>
      <c r="H193" s="140">
        <f>H192*0.18</f>
        <v>13.543560000000001</v>
      </c>
      <c r="L193" s="137"/>
      <c r="M193" s="141"/>
      <c r="T193" s="142"/>
      <c r="W193"/>
      <c r="X193"/>
      <c r="Y193"/>
      <c r="AR193" s="138"/>
      <c r="AS193" s="138"/>
      <c r="AW193" s="138"/>
    </row>
    <row r="194" spans="2:63" s="1" customFormat="1" ht="55.5" customHeight="1" x14ac:dyDescent="0.2">
      <c r="B194" s="109"/>
      <c r="C194" s="110" t="s">
        <v>193</v>
      </c>
      <c r="D194" s="110" t="s">
        <v>103</v>
      </c>
      <c r="E194" s="111" t="s">
        <v>128</v>
      </c>
      <c r="F194" s="112" t="s">
        <v>129</v>
      </c>
      <c r="G194" s="113" t="s">
        <v>130</v>
      </c>
      <c r="H194" s="114">
        <f>6.8*0.18</f>
        <v>1.224</v>
      </c>
      <c r="I194" s="115">
        <v>0</v>
      </c>
      <c r="J194" s="115">
        <f>ROUND(I194*H194,2)</f>
        <v>0</v>
      </c>
      <c r="K194" s="112" t="s">
        <v>107</v>
      </c>
      <c r="L194" s="28"/>
      <c r="M194" s="116" t="s">
        <v>1</v>
      </c>
      <c r="N194" s="117" t="s">
        <v>39</v>
      </c>
      <c r="O194" s="118">
        <v>0.23400000000000001</v>
      </c>
      <c r="P194" s="118">
        <f>O194*H194</f>
        <v>0.286416</v>
      </c>
      <c r="Q194" s="118">
        <v>0</v>
      </c>
      <c r="R194" s="118">
        <f>Q194*H194</f>
        <v>0</v>
      </c>
      <c r="S194" s="118">
        <v>0</v>
      </c>
      <c r="T194" s="119">
        <f>S194*H194</f>
        <v>0</v>
      </c>
      <c r="W194"/>
      <c r="X194"/>
      <c r="Y194"/>
      <c r="AP194" s="120" t="s">
        <v>108</v>
      </c>
      <c r="AR194" s="120" t="s">
        <v>103</v>
      </c>
      <c r="AS194" s="120" t="s">
        <v>65</v>
      </c>
      <c r="AW194" s="17" t="s">
        <v>101</v>
      </c>
      <c r="BC194" s="121">
        <f>IF(N194="základní",J194,0)</f>
        <v>0</v>
      </c>
      <c r="BD194" s="121">
        <f>IF(N194="snížená",J194,0)</f>
        <v>0</v>
      </c>
      <c r="BE194" s="121">
        <f>IF(N194="zákl. přenesená",J194,0)</f>
        <v>0</v>
      </c>
      <c r="BF194" s="121">
        <f>IF(N194="sníž. přenesená",J194,0)</f>
        <v>0</v>
      </c>
      <c r="BG194" s="121">
        <f>IF(N194="nulová",J194,0)</f>
        <v>0</v>
      </c>
      <c r="BH194" s="17" t="s">
        <v>63</v>
      </c>
      <c r="BI194" s="121">
        <f>ROUND(I194*H194,2)</f>
        <v>0</v>
      </c>
      <c r="BJ194" s="17" t="s">
        <v>108</v>
      </c>
      <c r="BK194" s="120" t="s">
        <v>1193</v>
      </c>
    </row>
    <row r="195" spans="2:63" s="1" customFormat="1" x14ac:dyDescent="0.2">
      <c r="B195" s="28"/>
      <c r="D195" s="122" t="s">
        <v>110</v>
      </c>
      <c r="F195" s="412" t="s">
        <v>132</v>
      </c>
      <c r="L195" s="28"/>
      <c r="M195" s="124"/>
      <c r="T195" s="48"/>
      <c r="W195"/>
      <c r="X195"/>
      <c r="Y195"/>
      <c r="AR195" s="17" t="s">
        <v>110</v>
      </c>
      <c r="AS195" s="17" t="s">
        <v>65</v>
      </c>
    </row>
    <row r="196" spans="2:63" s="12" customFormat="1" x14ac:dyDescent="0.2">
      <c r="B196" s="125"/>
      <c r="D196" s="126" t="s">
        <v>112</v>
      </c>
      <c r="E196" s="127" t="s">
        <v>1</v>
      </c>
      <c r="F196" s="128" t="s">
        <v>1194</v>
      </c>
      <c r="H196" s="127" t="s">
        <v>1</v>
      </c>
      <c r="L196" s="125"/>
      <c r="M196" s="129"/>
      <c r="T196" s="130"/>
      <c r="W196"/>
      <c r="X196"/>
      <c r="Y196"/>
      <c r="AR196" s="127" t="s">
        <v>112</v>
      </c>
      <c r="AS196" s="127" t="s">
        <v>65</v>
      </c>
      <c r="AT196" s="12" t="s">
        <v>63</v>
      </c>
      <c r="AU196" s="12" t="s">
        <v>30</v>
      </c>
      <c r="AV196" s="12" t="s">
        <v>55</v>
      </c>
      <c r="AW196" s="127" t="s">
        <v>101</v>
      </c>
    </row>
    <row r="197" spans="2:63" s="12" customFormat="1" ht="22.5" x14ac:dyDescent="0.2">
      <c r="B197" s="125"/>
      <c r="D197" s="126" t="s">
        <v>112</v>
      </c>
      <c r="E197" s="127" t="s">
        <v>1</v>
      </c>
      <c r="F197" s="128" t="s">
        <v>669</v>
      </c>
      <c r="H197" s="127" t="s">
        <v>1</v>
      </c>
      <c r="L197" s="125"/>
      <c r="M197" s="129"/>
      <c r="T197" s="130"/>
      <c r="W197"/>
      <c r="X197"/>
      <c r="Y197"/>
      <c r="AR197" s="127" t="s">
        <v>112</v>
      </c>
      <c r="AS197" s="127" t="s">
        <v>65</v>
      </c>
      <c r="AT197" s="12" t="s">
        <v>63</v>
      </c>
      <c r="AU197" s="12" t="s">
        <v>30</v>
      </c>
      <c r="AV197" s="12" t="s">
        <v>55</v>
      </c>
      <c r="AW197" s="127" t="s">
        <v>101</v>
      </c>
    </row>
    <row r="198" spans="2:63" s="13" customFormat="1" x14ac:dyDescent="0.2">
      <c r="B198" s="131"/>
      <c r="D198" s="126" t="s">
        <v>112</v>
      </c>
      <c r="E198" s="132" t="s">
        <v>1</v>
      </c>
      <c r="F198" s="133" t="s">
        <v>1195</v>
      </c>
      <c r="H198" s="134">
        <v>5.5359999999999996</v>
      </c>
      <c r="L198" s="131"/>
      <c r="M198" s="135"/>
      <c r="T198" s="136"/>
      <c r="W198"/>
      <c r="X198"/>
      <c r="Y198"/>
      <c r="AR198" s="132" t="s">
        <v>112</v>
      </c>
      <c r="AS198" s="132" t="s">
        <v>65</v>
      </c>
      <c r="AT198" s="13" t="s">
        <v>65</v>
      </c>
      <c r="AU198" s="13" t="s">
        <v>30</v>
      </c>
      <c r="AV198" s="13" t="s">
        <v>55</v>
      </c>
      <c r="AW198" s="132" t="s">
        <v>101</v>
      </c>
    </row>
    <row r="199" spans="2:63" s="12" customFormat="1" x14ac:dyDescent="0.2">
      <c r="B199" s="125"/>
      <c r="D199" s="126" t="s">
        <v>112</v>
      </c>
      <c r="E199" s="127" t="s">
        <v>1</v>
      </c>
      <c r="F199" s="128" t="s">
        <v>672</v>
      </c>
      <c r="H199" s="127" t="s">
        <v>1</v>
      </c>
      <c r="L199" s="125"/>
      <c r="M199" s="129"/>
      <c r="T199" s="130"/>
      <c r="W199"/>
      <c r="X199"/>
      <c r="Y199"/>
      <c r="AR199" s="127" t="s">
        <v>112</v>
      </c>
      <c r="AS199" s="127" t="s">
        <v>65</v>
      </c>
      <c r="AT199" s="12" t="s">
        <v>63</v>
      </c>
      <c r="AU199" s="12" t="s">
        <v>30</v>
      </c>
      <c r="AV199" s="12" t="s">
        <v>55</v>
      </c>
      <c r="AW199" s="127" t="s">
        <v>101</v>
      </c>
    </row>
    <row r="200" spans="2:63" s="12" customFormat="1" ht="33.75" x14ac:dyDescent="0.2">
      <c r="B200" s="125"/>
      <c r="D200" s="126" t="s">
        <v>112</v>
      </c>
      <c r="E200" s="127" t="s">
        <v>1</v>
      </c>
      <c r="F200" s="128" t="s">
        <v>666</v>
      </c>
      <c r="H200" s="127" t="s">
        <v>1</v>
      </c>
      <c r="L200" s="125"/>
      <c r="M200" s="129"/>
      <c r="T200" s="130"/>
      <c r="W200"/>
      <c r="X200"/>
      <c r="Y200"/>
      <c r="AR200" s="127" t="s">
        <v>112</v>
      </c>
      <c r="AS200" s="127" t="s">
        <v>65</v>
      </c>
      <c r="AT200" s="12" t="s">
        <v>63</v>
      </c>
      <c r="AU200" s="12" t="s">
        <v>30</v>
      </c>
      <c r="AV200" s="12" t="s">
        <v>55</v>
      </c>
      <c r="AW200" s="127" t="s">
        <v>101</v>
      </c>
    </row>
    <row r="201" spans="2:63" s="13" customFormat="1" x14ac:dyDescent="0.2">
      <c r="B201" s="131"/>
      <c r="D201" s="126" t="s">
        <v>112</v>
      </c>
      <c r="E201" s="132" t="s">
        <v>1</v>
      </c>
      <c r="F201" s="133" t="s">
        <v>1196</v>
      </c>
      <c r="H201" s="134">
        <v>1.264</v>
      </c>
      <c r="L201" s="131"/>
      <c r="M201" s="135"/>
      <c r="T201" s="136"/>
      <c r="W201"/>
      <c r="X201"/>
      <c r="Y201"/>
      <c r="AR201" s="132" t="s">
        <v>112</v>
      </c>
      <c r="AS201" s="132" t="s">
        <v>65</v>
      </c>
      <c r="AT201" s="13" t="s">
        <v>65</v>
      </c>
      <c r="AU201" s="13" t="s">
        <v>30</v>
      </c>
      <c r="AV201" s="13" t="s">
        <v>55</v>
      </c>
      <c r="AW201" s="132" t="s">
        <v>101</v>
      </c>
    </row>
    <row r="202" spans="2:63" s="14" customFormat="1" x14ac:dyDescent="0.2">
      <c r="B202" s="137"/>
      <c r="D202" s="126" t="s">
        <v>112</v>
      </c>
      <c r="E202" s="138" t="s">
        <v>1</v>
      </c>
      <c r="F202" s="139" t="s">
        <v>127</v>
      </c>
      <c r="H202" s="140">
        <v>6.8</v>
      </c>
      <c r="L202" s="137"/>
      <c r="M202" s="141"/>
      <c r="T202" s="142"/>
      <c r="W202"/>
      <c r="X202"/>
      <c r="Y202"/>
      <c r="AR202" s="138" t="s">
        <v>112</v>
      </c>
      <c r="AS202" s="138" t="s">
        <v>65</v>
      </c>
      <c r="AT202" s="14" t="s">
        <v>108</v>
      </c>
      <c r="AU202" s="14" t="s">
        <v>30</v>
      </c>
      <c r="AV202" s="14" t="s">
        <v>63</v>
      </c>
      <c r="AW202" s="138" t="s">
        <v>101</v>
      </c>
    </row>
    <row r="203" spans="2:63" s="14" customFormat="1" x14ac:dyDescent="0.2">
      <c r="B203" s="137"/>
      <c r="D203" s="126"/>
      <c r="E203" s="138"/>
      <c r="F203" s="139" t="s">
        <v>1842</v>
      </c>
      <c r="H203" s="140">
        <f>H202*0.18</f>
        <v>1.224</v>
      </c>
      <c r="L203" s="137"/>
      <c r="M203" s="141"/>
      <c r="T203" s="142"/>
      <c r="W203"/>
      <c r="X203"/>
      <c r="Y203"/>
      <c r="AR203" s="138"/>
      <c r="AS203" s="138"/>
      <c r="AW203" s="138"/>
    </row>
    <row r="204" spans="2:63" s="1" customFormat="1" ht="55.5" customHeight="1" x14ac:dyDescent="0.2">
      <c r="B204" s="109"/>
      <c r="C204" s="110" t="s">
        <v>198</v>
      </c>
      <c r="D204" s="110" t="s">
        <v>103</v>
      </c>
      <c r="E204" s="111" t="s">
        <v>142</v>
      </c>
      <c r="F204" s="112" t="s">
        <v>143</v>
      </c>
      <c r="G204" s="113" t="s">
        <v>130</v>
      </c>
      <c r="H204" s="114">
        <f>14.123*0.18</f>
        <v>2.5421399999999998</v>
      </c>
      <c r="I204" s="115">
        <v>0</v>
      </c>
      <c r="J204" s="115">
        <f>ROUND(I204*H204,2)</f>
        <v>0</v>
      </c>
      <c r="K204" s="112" t="s">
        <v>107</v>
      </c>
      <c r="L204" s="28"/>
      <c r="M204" s="116" t="s">
        <v>1</v>
      </c>
      <c r="N204" s="117" t="s">
        <v>39</v>
      </c>
      <c r="O204" s="118">
        <v>0.36199999999999999</v>
      </c>
      <c r="P204" s="118">
        <f>O204*H204</f>
        <v>0.92025467999999988</v>
      </c>
      <c r="Q204" s="118">
        <v>0</v>
      </c>
      <c r="R204" s="118">
        <f>Q204*H204</f>
        <v>0</v>
      </c>
      <c r="S204" s="118">
        <v>0</v>
      </c>
      <c r="T204" s="119">
        <f>S204*H204</f>
        <v>0</v>
      </c>
      <c r="W204"/>
      <c r="X204"/>
      <c r="Y204"/>
      <c r="AP204" s="120" t="s">
        <v>108</v>
      </c>
      <c r="AR204" s="120" t="s">
        <v>103</v>
      </c>
      <c r="AS204" s="120" t="s">
        <v>65</v>
      </c>
      <c r="AW204" s="17" t="s">
        <v>101</v>
      </c>
      <c r="BC204" s="121">
        <f>IF(N204="základní",J204,0)</f>
        <v>0</v>
      </c>
      <c r="BD204" s="121">
        <f>IF(N204="snížená",J204,0)</f>
        <v>0</v>
      </c>
      <c r="BE204" s="121">
        <f>IF(N204="zákl. přenesená",J204,0)</f>
        <v>0</v>
      </c>
      <c r="BF204" s="121">
        <f>IF(N204="sníž. přenesená",J204,0)</f>
        <v>0</v>
      </c>
      <c r="BG204" s="121">
        <f>IF(N204="nulová",J204,0)</f>
        <v>0</v>
      </c>
      <c r="BH204" s="17" t="s">
        <v>63</v>
      </c>
      <c r="BI204" s="121">
        <f>ROUND(I204*H204,2)</f>
        <v>0</v>
      </c>
      <c r="BJ204" s="17" t="s">
        <v>108</v>
      </c>
      <c r="BK204" s="120" t="s">
        <v>1197</v>
      </c>
    </row>
    <row r="205" spans="2:63" s="1" customFormat="1" x14ac:dyDescent="0.2">
      <c r="B205" s="28"/>
      <c r="D205" s="122" t="s">
        <v>110</v>
      </c>
      <c r="F205" s="412" t="s">
        <v>145</v>
      </c>
      <c r="L205" s="28"/>
      <c r="M205" s="124"/>
      <c r="T205" s="48"/>
      <c r="W205"/>
      <c r="X205"/>
      <c r="Y205"/>
      <c r="AR205" s="17" t="s">
        <v>110</v>
      </c>
      <c r="AS205" s="17" t="s">
        <v>65</v>
      </c>
    </row>
    <row r="206" spans="2:63" s="12" customFormat="1" x14ac:dyDescent="0.2">
      <c r="B206" s="125"/>
      <c r="D206" s="126" t="s">
        <v>112</v>
      </c>
      <c r="E206" s="127" t="s">
        <v>1</v>
      </c>
      <c r="F206" s="128" t="s">
        <v>1194</v>
      </c>
      <c r="H206" s="127" t="s">
        <v>1</v>
      </c>
      <c r="L206" s="125"/>
      <c r="M206" s="129"/>
      <c r="T206" s="130"/>
      <c r="W206"/>
      <c r="X206"/>
      <c r="Y206"/>
      <c r="AR206" s="127" t="s">
        <v>112</v>
      </c>
      <c r="AS206" s="127" t="s">
        <v>65</v>
      </c>
      <c r="AT206" s="12" t="s">
        <v>63</v>
      </c>
      <c r="AU206" s="12" t="s">
        <v>30</v>
      </c>
      <c r="AV206" s="12" t="s">
        <v>55</v>
      </c>
      <c r="AW206" s="127" t="s">
        <v>101</v>
      </c>
    </row>
    <row r="207" spans="2:63" s="12" customFormat="1" ht="22.5" x14ac:dyDescent="0.2">
      <c r="B207" s="125"/>
      <c r="D207" s="126" t="s">
        <v>112</v>
      </c>
      <c r="E207" s="127" t="s">
        <v>1</v>
      </c>
      <c r="F207" s="128" t="s">
        <v>669</v>
      </c>
      <c r="H207" s="127" t="s">
        <v>1</v>
      </c>
      <c r="L207" s="125"/>
      <c r="M207" s="129"/>
      <c r="T207" s="130"/>
      <c r="W207"/>
      <c r="X207"/>
      <c r="Y207"/>
      <c r="AR207" s="127" t="s">
        <v>112</v>
      </c>
      <c r="AS207" s="127" t="s">
        <v>65</v>
      </c>
      <c r="AT207" s="12" t="s">
        <v>63</v>
      </c>
      <c r="AU207" s="12" t="s">
        <v>30</v>
      </c>
      <c r="AV207" s="12" t="s">
        <v>55</v>
      </c>
      <c r="AW207" s="127" t="s">
        <v>101</v>
      </c>
    </row>
    <row r="208" spans="2:63" s="13" customFormat="1" x14ac:dyDescent="0.2">
      <c r="B208" s="131"/>
      <c r="D208" s="126" t="s">
        <v>112</v>
      </c>
      <c r="E208" s="132" t="s">
        <v>1</v>
      </c>
      <c r="F208" s="133" t="s">
        <v>1198</v>
      </c>
      <c r="H208" s="134">
        <v>11.499000000000001</v>
      </c>
      <c r="L208" s="131"/>
      <c r="M208" s="135"/>
      <c r="T208" s="136"/>
      <c r="W208"/>
      <c r="X208"/>
      <c r="Y208"/>
      <c r="AR208" s="132" t="s">
        <v>112</v>
      </c>
      <c r="AS208" s="132" t="s">
        <v>65</v>
      </c>
      <c r="AT208" s="13" t="s">
        <v>65</v>
      </c>
      <c r="AU208" s="13" t="s">
        <v>30</v>
      </c>
      <c r="AV208" s="13" t="s">
        <v>55</v>
      </c>
      <c r="AW208" s="132" t="s">
        <v>101</v>
      </c>
    </row>
    <row r="209" spans="2:63" s="12" customFormat="1" x14ac:dyDescent="0.2">
      <c r="B209" s="125"/>
      <c r="D209" s="126" t="s">
        <v>112</v>
      </c>
      <c r="E209" s="127" t="s">
        <v>1</v>
      </c>
      <c r="F209" s="128" t="s">
        <v>672</v>
      </c>
      <c r="H209" s="127" t="s">
        <v>1</v>
      </c>
      <c r="L209" s="125"/>
      <c r="M209" s="129"/>
      <c r="T209" s="130"/>
      <c r="W209"/>
      <c r="X209"/>
      <c r="Y209"/>
      <c r="AR209" s="127" t="s">
        <v>112</v>
      </c>
      <c r="AS209" s="127" t="s">
        <v>65</v>
      </c>
      <c r="AT209" s="12" t="s">
        <v>63</v>
      </c>
      <c r="AU209" s="12" t="s">
        <v>30</v>
      </c>
      <c r="AV209" s="12" t="s">
        <v>55</v>
      </c>
      <c r="AW209" s="127" t="s">
        <v>101</v>
      </c>
    </row>
    <row r="210" spans="2:63" s="12" customFormat="1" ht="33.75" x14ac:dyDescent="0.2">
      <c r="B210" s="125"/>
      <c r="D210" s="126" t="s">
        <v>112</v>
      </c>
      <c r="E210" s="127" t="s">
        <v>1</v>
      </c>
      <c r="F210" s="128" t="s">
        <v>666</v>
      </c>
      <c r="H210" s="127" t="s">
        <v>1</v>
      </c>
      <c r="L210" s="125"/>
      <c r="M210" s="129"/>
      <c r="T210" s="130"/>
      <c r="W210"/>
      <c r="X210"/>
      <c r="Y210"/>
      <c r="AR210" s="127" t="s">
        <v>112</v>
      </c>
      <c r="AS210" s="127" t="s">
        <v>65</v>
      </c>
      <c r="AT210" s="12" t="s">
        <v>63</v>
      </c>
      <c r="AU210" s="12" t="s">
        <v>30</v>
      </c>
      <c r="AV210" s="12" t="s">
        <v>55</v>
      </c>
      <c r="AW210" s="127" t="s">
        <v>101</v>
      </c>
    </row>
    <row r="211" spans="2:63" s="13" customFormat="1" x14ac:dyDescent="0.2">
      <c r="B211" s="131"/>
      <c r="D211" s="126" t="s">
        <v>112</v>
      </c>
      <c r="E211" s="132" t="s">
        <v>1</v>
      </c>
      <c r="F211" s="133" t="s">
        <v>1199</v>
      </c>
      <c r="H211" s="134">
        <v>2.6240000000000001</v>
      </c>
      <c r="L211" s="131"/>
      <c r="M211" s="135"/>
      <c r="T211" s="136"/>
      <c r="W211"/>
      <c r="X211"/>
      <c r="Y211"/>
      <c r="AR211" s="132" t="s">
        <v>112</v>
      </c>
      <c r="AS211" s="132" t="s">
        <v>65</v>
      </c>
      <c r="AT211" s="13" t="s">
        <v>65</v>
      </c>
      <c r="AU211" s="13" t="s">
        <v>30</v>
      </c>
      <c r="AV211" s="13" t="s">
        <v>55</v>
      </c>
      <c r="AW211" s="132" t="s">
        <v>101</v>
      </c>
    </row>
    <row r="212" spans="2:63" s="14" customFormat="1" x14ac:dyDescent="0.2">
      <c r="B212" s="137"/>
      <c r="D212" s="126" t="s">
        <v>112</v>
      </c>
      <c r="E212" s="138" t="s">
        <v>1</v>
      </c>
      <c r="F212" s="139" t="s">
        <v>127</v>
      </c>
      <c r="H212" s="140">
        <v>14.122999999999999</v>
      </c>
      <c r="L212" s="137"/>
      <c r="M212" s="141"/>
      <c r="T212" s="142"/>
      <c r="W212"/>
      <c r="X212"/>
      <c r="Y212"/>
      <c r="AR212" s="138" t="s">
        <v>112</v>
      </c>
      <c r="AS212" s="138" t="s">
        <v>65</v>
      </c>
      <c r="AT212" s="14" t="s">
        <v>108</v>
      </c>
      <c r="AU212" s="14" t="s">
        <v>30</v>
      </c>
      <c r="AV212" s="14" t="s">
        <v>63</v>
      </c>
      <c r="AW212" s="138" t="s">
        <v>101</v>
      </c>
    </row>
    <row r="213" spans="2:63" s="14" customFormat="1" x14ac:dyDescent="0.2">
      <c r="B213" s="137"/>
      <c r="D213" s="126"/>
      <c r="E213" s="138"/>
      <c r="F213" s="139" t="s">
        <v>1842</v>
      </c>
      <c r="H213" s="140">
        <f>H212*0.18</f>
        <v>2.5421399999999998</v>
      </c>
      <c r="L213" s="137"/>
      <c r="M213" s="141"/>
      <c r="T213" s="142"/>
      <c r="W213"/>
      <c r="X213"/>
      <c r="Y213"/>
      <c r="AR213" s="138"/>
      <c r="AS213" s="138"/>
      <c r="AW213" s="138"/>
    </row>
    <row r="214" spans="2:63" s="1" customFormat="1" ht="55.5" customHeight="1" x14ac:dyDescent="0.2">
      <c r="B214" s="109"/>
      <c r="C214" s="110" t="s">
        <v>203</v>
      </c>
      <c r="D214" s="110" t="s">
        <v>103</v>
      </c>
      <c r="E214" s="111" t="s">
        <v>154</v>
      </c>
      <c r="F214" s="112" t="s">
        <v>155</v>
      </c>
      <c r="G214" s="113" t="s">
        <v>130</v>
      </c>
      <c r="H214" s="114">
        <f>31.385*0.18</f>
        <v>5.6493000000000002</v>
      </c>
      <c r="I214" s="115">
        <v>0</v>
      </c>
      <c r="J214" s="115">
        <f>ROUND(I214*H214,2)</f>
        <v>0</v>
      </c>
      <c r="K214" s="112" t="s">
        <v>107</v>
      </c>
      <c r="L214" s="28"/>
      <c r="M214" s="116" t="s">
        <v>1</v>
      </c>
      <c r="N214" s="117" t="s">
        <v>39</v>
      </c>
      <c r="O214" s="118">
        <v>0.505</v>
      </c>
      <c r="P214" s="118">
        <f>O214*H214</f>
        <v>2.8528964999999999</v>
      </c>
      <c r="Q214" s="118">
        <v>0</v>
      </c>
      <c r="R214" s="118">
        <f>Q214*H214</f>
        <v>0</v>
      </c>
      <c r="S214" s="118">
        <v>0</v>
      </c>
      <c r="T214" s="119">
        <f>S214*H214</f>
        <v>0</v>
      </c>
      <c r="W214"/>
      <c r="X214"/>
      <c r="Y214"/>
      <c r="AP214" s="120" t="s">
        <v>108</v>
      </c>
      <c r="AR214" s="120" t="s">
        <v>103</v>
      </c>
      <c r="AS214" s="120" t="s">
        <v>65</v>
      </c>
      <c r="AW214" s="17" t="s">
        <v>101</v>
      </c>
      <c r="BC214" s="121">
        <f>IF(N214="základní",J214,0)</f>
        <v>0</v>
      </c>
      <c r="BD214" s="121">
        <f>IF(N214="snížená",J214,0)</f>
        <v>0</v>
      </c>
      <c r="BE214" s="121">
        <f>IF(N214="zákl. přenesená",J214,0)</f>
        <v>0</v>
      </c>
      <c r="BF214" s="121">
        <f>IF(N214="sníž. přenesená",J214,0)</f>
        <v>0</v>
      </c>
      <c r="BG214" s="121">
        <f>IF(N214="nulová",J214,0)</f>
        <v>0</v>
      </c>
      <c r="BH214" s="17" t="s">
        <v>63</v>
      </c>
      <c r="BI214" s="121">
        <f>ROUND(I214*H214,2)</f>
        <v>0</v>
      </c>
      <c r="BJ214" s="17" t="s">
        <v>108</v>
      </c>
      <c r="BK214" s="120" t="s">
        <v>1200</v>
      </c>
    </row>
    <row r="215" spans="2:63" s="1" customFormat="1" x14ac:dyDescent="0.2">
      <c r="B215" s="28"/>
      <c r="D215" s="122" t="s">
        <v>110</v>
      </c>
      <c r="F215" s="412" t="s">
        <v>157</v>
      </c>
      <c r="L215" s="28"/>
      <c r="M215" s="124"/>
      <c r="T215" s="48"/>
      <c r="W215"/>
      <c r="X215"/>
      <c r="Y215"/>
      <c r="AR215" s="17" t="s">
        <v>110</v>
      </c>
      <c r="AS215" s="17" t="s">
        <v>65</v>
      </c>
    </row>
    <row r="216" spans="2:63" s="12" customFormat="1" x14ac:dyDescent="0.2">
      <c r="B216" s="125"/>
      <c r="D216" s="126" t="s">
        <v>112</v>
      </c>
      <c r="E216" s="127" t="s">
        <v>1</v>
      </c>
      <c r="F216" s="128" t="s">
        <v>1194</v>
      </c>
      <c r="H216" s="127" t="s">
        <v>1</v>
      </c>
      <c r="L216" s="125"/>
      <c r="M216" s="129"/>
      <c r="T216" s="130"/>
      <c r="W216"/>
      <c r="X216"/>
      <c r="Y216"/>
      <c r="AR216" s="127" t="s">
        <v>112</v>
      </c>
      <c r="AS216" s="127" t="s">
        <v>65</v>
      </c>
      <c r="AT216" s="12" t="s">
        <v>63</v>
      </c>
      <c r="AU216" s="12" t="s">
        <v>30</v>
      </c>
      <c r="AV216" s="12" t="s">
        <v>55</v>
      </c>
      <c r="AW216" s="127" t="s">
        <v>101</v>
      </c>
    </row>
    <row r="217" spans="2:63" s="12" customFormat="1" ht="22.5" x14ac:dyDescent="0.2">
      <c r="B217" s="125"/>
      <c r="D217" s="126" t="s">
        <v>112</v>
      </c>
      <c r="E217" s="127" t="s">
        <v>1</v>
      </c>
      <c r="F217" s="128" t="s">
        <v>669</v>
      </c>
      <c r="H217" s="127" t="s">
        <v>1</v>
      </c>
      <c r="L217" s="125"/>
      <c r="M217" s="129"/>
      <c r="T217" s="130"/>
      <c r="W217"/>
      <c r="X217"/>
      <c r="Y217"/>
      <c r="AR217" s="127" t="s">
        <v>112</v>
      </c>
      <c r="AS217" s="127" t="s">
        <v>65</v>
      </c>
      <c r="AT217" s="12" t="s">
        <v>63</v>
      </c>
      <c r="AU217" s="12" t="s">
        <v>30</v>
      </c>
      <c r="AV217" s="12" t="s">
        <v>55</v>
      </c>
      <c r="AW217" s="127" t="s">
        <v>101</v>
      </c>
    </row>
    <row r="218" spans="2:63" s="13" customFormat="1" x14ac:dyDescent="0.2">
      <c r="B218" s="131"/>
      <c r="D218" s="126" t="s">
        <v>112</v>
      </c>
      <c r="E218" s="132" t="s">
        <v>1</v>
      </c>
      <c r="F218" s="133" t="s">
        <v>1201</v>
      </c>
      <c r="H218" s="134">
        <v>25.553000000000001</v>
      </c>
      <c r="L218" s="131"/>
      <c r="M218" s="135"/>
      <c r="T218" s="136"/>
      <c r="W218"/>
      <c r="X218"/>
      <c r="Y218"/>
      <c r="AR218" s="132" t="s">
        <v>112</v>
      </c>
      <c r="AS218" s="132" t="s">
        <v>65</v>
      </c>
      <c r="AT218" s="13" t="s">
        <v>65</v>
      </c>
      <c r="AU218" s="13" t="s">
        <v>30</v>
      </c>
      <c r="AV218" s="13" t="s">
        <v>55</v>
      </c>
      <c r="AW218" s="132" t="s">
        <v>101</v>
      </c>
    </row>
    <row r="219" spans="2:63" s="12" customFormat="1" x14ac:dyDescent="0.2">
      <c r="B219" s="125"/>
      <c r="D219" s="126" t="s">
        <v>112</v>
      </c>
      <c r="E219" s="127" t="s">
        <v>1</v>
      </c>
      <c r="F219" s="128" t="s">
        <v>672</v>
      </c>
      <c r="H219" s="127" t="s">
        <v>1</v>
      </c>
      <c r="L219" s="125"/>
      <c r="M219" s="129"/>
      <c r="T219" s="130"/>
      <c r="W219"/>
      <c r="X219"/>
      <c r="Y219"/>
      <c r="AR219" s="127" t="s">
        <v>112</v>
      </c>
      <c r="AS219" s="127" t="s">
        <v>65</v>
      </c>
      <c r="AT219" s="12" t="s">
        <v>63</v>
      </c>
      <c r="AU219" s="12" t="s">
        <v>30</v>
      </c>
      <c r="AV219" s="12" t="s">
        <v>55</v>
      </c>
      <c r="AW219" s="127" t="s">
        <v>101</v>
      </c>
    </row>
    <row r="220" spans="2:63" s="12" customFormat="1" ht="33.75" x14ac:dyDescent="0.2">
      <c r="B220" s="125"/>
      <c r="D220" s="126" t="s">
        <v>112</v>
      </c>
      <c r="E220" s="127" t="s">
        <v>1</v>
      </c>
      <c r="F220" s="128" t="s">
        <v>666</v>
      </c>
      <c r="H220" s="127" t="s">
        <v>1</v>
      </c>
      <c r="L220" s="125"/>
      <c r="M220" s="129"/>
      <c r="T220" s="130"/>
      <c r="W220"/>
      <c r="X220"/>
      <c r="Y220"/>
      <c r="AR220" s="127" t="s">
        <v>112</v>
      </c>
      <c r="AS220" s="127" t="s">
        <v>65</v>
      </c>
      <c r="AT220" s="12" t="s">
        <v>63</v>
      </c>
      <c r="AU220" s="12" t="s">
        <v>30</v>
      </c>
      <c r="AV220" s="12" t="s">
        <v>55</v>
      </c>
      <c r="AW220" s="127" t="s">
        <v>101</v>
      </c>
    </row>
    <row r="221" spans="2:63" s="13" customFormat="1" x14ac:dyDescent="0.2">
      <c r="B221" s="131"/>
      <c r="D221" s="126" t="s">
        <v>112</v>
      </c>
      <c r="E221" s="132" t="s">
        <v>1</v>
      </c>
      <c r="F221" s="133" t="s">
        <v>1202</v>
      </c>
      <c r="H221" s="134">
        <v>5.8319999999999999</v>
      </c>
      <c r="L221" s="131"/>
      <c r="M221" s="135"/>
      <c r="T221" s="136"/>
      <c r="W221"/>
      <c r="X221"/>
      <c r="Y221"/>
      <c r="AR221" s="132" t="s">
        <v>112</v>
      </c>
      <c r="AS221" s="132" t="s">
        <v>65</v>
      </c>
      <c r="AT221" s="13" t="s">
        <v>65</v>
      </c>
      <c r="AU221" s="13" t="s">
        <v>30</v>
      </c>
      <c r="AV221" s="13" t="s">
        <v>55</v>
      </c>
      <c r="AW221" s="132" t="s">
        <v>101</v>
      </c>
    </row>
    <row r="222" spans="2:63" s="14" customFormat="1" x14ac:dyDescent="0.2">
      <c r="B222" s="137"/>
      <c r="D222" s="126" t="s">
        <v>112</v>
      </c>
      <c r="E222" s="138" t="s">
        <v>1</v>
      </c>
      <c r="F222" s="139" t="s">
        <v>127</v>
      </c>
      <c r="H222" s="140">
        <v>31.385000000000002</v>
      </c>
      <c r="L222" s="137"/>
      <c r="M222" s="141"/>
      <c r="T222" s="142"/>
      <c r="W222"/>
      <c r="X222"/>
      <c r="Y222"/>
      <c r="AR222" s="138" t="s">
        <v>112</v>
      </c>
      <c r="AS222" s="138" t="s">
        <v>65</v>
      </c>
      <c r="AT222" s="14" t="s">
        <v>108</v>
      </c>
      <c r="AU222" s="14" t="s">
        <v>30</v>
      </c>
      <c r="AV222" s="14" t="s">
        <v>63</v>
      </c>
      <c r="AW222" s="138" t="s">
        <v>101</v>
      </c>
    </row>
    <row r="223" spans="2:63" s="14" customFormat="1" x14ac:dyDescent="0.2">
      <c r="B223" s="137"/>
      <c r="D223" s="126"/>
      <c r="E223" s="138"/>
      <c r="F223" s="139" t="s">
        <v>1842</v>
      </c>
      <c r="H223" s="140">
        <f>H222*0.18</f>
        <v>5.6493000000000002</v>
      </c>
      <c r="L223" s="137"/>
      <c r="M223" s="141"/>
      <c r="T223" s="142"/>
      <c r="W223"/>
      <c r="X223"/>
      <c r="Y223"/>
      <c r="AR223" s="138"/>
      <c r="AS223" s="138"/>
      <c r="AW223" s="138"/>
    </row>
    <row r="224" spans="2:63" s="1" customFormat="1" ht="37.9" customHeight="1" x14ac:dyDescent="0.2">
      <c r="B224" s="109"/>
      <c r="C224" s="110" t="s">
        <v>208</v>
      </c>
      <c r="D224" s="110" t="s">
        <v>103</v>
      </c>
      <c r="E224" s="111" t="s">
        <v>166</v>
      </c>
      <c r="F224" s="112" t="s">
        <v>167</v>
      </c>
      <c r="G224" s="113" t="s">
        <v>130</v>
      </c>
      <c r="H224" s="114">
        <f>4*0.18</f>
        <v>0.72</v>
      </c>
      <c r="I224" s="115">
        <v>0</v>
      </c>
      <c r="J224" s="115">
        <f>ROUND(I224*H224,2)</f>
        <v>0</v>
      </c>
      <c r="K224" s="112" t="s">
        <v>107</v>
      </c>
      <c r="L224" s="28"/>
      <c r="M224" s="116" t="s">
        <v>1</v>
      </c>
      <c r="N224" s="117" t="s">
        <v>39</v>
      </c>
      <c r="O224" s="118">
        <v>1.7629999999999999</v>
      </c>
      <c r="P224" s="118">
        <f>O224*H224</f>
        <v>1.2693599999999998</v>
      </c>
      <c r="Q224" s="118">
        <v>0</v>
      </c>
      <c r="R224" s="118">
        <f>Q224*H224</f>
        <v>0</v>
      </c>
      <c r="S224" s="118">
        <v>0</v>
      </c>
      <c r="T224" s="119">
        <f>S224*H224</f>
        <v>0</v>
      </c>
      <c r="W224"/>
      <c r="X224"/>
      <c r="Y224"/>
      <c r="AP224" s="120" t="s">
        <v>108</v>
      </c>
      <c r="AR224" s="120" t="s">
        <v>103</v>
      </c>
      <c r="AS224" s="120" t="s">
        <v>65</v>
      </c>
      <c r="AW224" s="17" t="s">
        <v>101</v>
      </c>
      <c r="BC224" s="121">
        <f>IF(N224="základní",J224,0)</f>
        <v>0</v>
      </c>
      <c r="BD224" s="121">
        <f>IF(N224="snížená",J224,0)</f>
        <v>0</v>
      </c>
      <c r="BE224" s="121">
        <f>IF(N224="zákl. přenesená",J224,0)</f>
        <v>0</v>
      </c>
      <c r="BF224" s="121">
        <f>IF(N224="sníž. přenesená",J224,0)</f>
        <v>0</v>
      </c>
      <c r="BG224" s="121">
        <f>IF(N224="nulová",J224,0)</f>
        <v>0</v>
      </c>
      <c r="BH224" s="17" t="s">
        <v>63</v>
      </c>
      <c r="BI224" s="121">
        <f>ROUND(I224*H224,2)</f>
        <v>0</v>
      </c>
      <c r="BJ224" s="17" t="s">
        <v>108</v>
      </c>
      <c r="BK224" s="120" t="s">
        <v>1203</v>
      </c>
    </row>
    <row r="225" spans="2:63" s="1" customFormat="1" x14ac:dyDescent="0.2">
      <c r="B225" s="28"/>
      <c r="D225" s="122" t="s">
        <v>110</v>
      </c>
      <c r="F225" s="412" t="s">
        <v>169</v>
      </c>
      <c r="L225" s="28"/>
      <c r="M225" s="124"/>
      <c r="T225" s="48"/>
      <c r="W225"/>
      <c r="X225"/>
      <c r="Y225"/>
      <c r="AR225" s="17" t="s">
        <v>110</v>
      </c>
      <c r="AS225" s="17" t="s">
        <v>65</v>
      </c>
    </row>
    <row r="226" spans="2:63" s="12" customFormat="1" ht="22.5" x14ac:dyDescent="0.2">
      <c r="B226" s="125"/>
      <c r="D226" s="126" t="s">
        <v>112</v>
      </c>
      <c r="E226" s="127" t="s">
        <v>1</v>
      </c>
      <c r="F226" s="128" t="s">
        <v>170</v>
      </c>
      <c r="H226" s="127" t="s">
        <v>1</v>
      </c>
      <c r="L226" s="125"/>
      <c r="M226" s="129"/>
      <c r="T226" s="130"/>
      <c r="W226"/>
      <c r="X226"/>
      <c r="Y226"/>
      <c r="AR226" s="127" t="s">
        <v>112</v>
      </c>
      <c r="AS226" s="127" t="s">
        <v>65</v>
      </c>
      <c r="AT226" s="12" t="s">
        <v>63</v>
      </c>
      <c r="AU226" s="12" t="s">
        <v>30</v>
      </c>
      <c r="AV226" s="12" t="s">
        <v>55</v>
      </c>
      <c r="AW226" s="127" t="s">
        <v>101</v>
      </c>
    </row>
    <row r="227" spans="2:63" s="13" customFormat="1" x14ac:dyDescent="0.2">
      <c r="B227" s="131"/>
      <c r="D227" s="126" t="s">
        <v>112</v>
      </c>
      <c r="E227" s="132" t="s">
        <v>1</v>
      </c>
      <c r="F227" s="133" t="s">
        <v>1864</v>
      </c>
      <c r="H227" s="134">
        <f>4*0.18</f>
        <v>0.72</v>
      </c>
      <c r="L227" s="131"/>
      <c r="M227" s="135"/>
      <c r="T227" s="136"/>
      <c r="W227"/>
      <c r="X227"/>
      <c r="Y227"/>
      <c r="AR227" s="132" t="s">
        <v>112</v>
      </c>
      <c r="AS227" s="132" t="s">
        <v>65</v>
      </c>
      <c r="AT227" s="13" t="s">
        <v>65</v>
      </c>
      <c r="AU227" s="13" t="s">
        <v>30</v>
      </c>
      <c r="AV227" s="13" t="s">
        <v>63</v>
      </c>
      <c r="AW227" s="132" t="s">
        <v>101</v>
      </c>
    </row>
    <row r="228" spans="2:63" s="1" customFormat="1" ht="37.9" customHeight="1" x14ac:dyDescent="0.2">
      <c r="B228" s="109"/>
      <c r="C228" s="110" t="s">
        <v>7</v>
      </c>
      <c r="D228" s="110" t="s">
        <v>103</v>
      </c>
      <c r="E228" s="111" t="s">
        <v>172</v>
      </c>
      <c r="F228" s="112" t="s">
        <v>173</v>
      </c>
      <c r="G228" s="113" t="s">
        <v>174</v>
      </c>
      <c r="H228" s="114">
        <f>248.546*0.18</f>
        <v>44.738279999999996</v>
      </c>
      <c r="I228" s="115">
        <v>0</v>
      </c>
      <c r="J228" s="115">
        <f>ROUND(I228*H228,2)</f>
        <v>0</v>
      </c>
      <c r="K228" s="112" t="s">
        <v>107</v>
      </c>
      <c r="L228" s="28"/>
      <c r="M228" s="116" t="s">
        <v>1</v>
      </c>
      <c r="N228" s="117" t="s">
        <v>39</v>
      </c>
      <c r="O228" s="118">
        <v>0.23599999999999999</v>
      </c>
      <c r="P228" s="118">
        <f>O228*H228</f>
        <v>10.558234079999998</v>
      </c>
      <c r="Q228" s="118">
        <v>8.4000000000000003E-4</v>
      </c>
      <c r="R228" s="118">
        <f>Q228*H228</f>
        <v>3.75801552E-2</v>
      </c>
      <c r="S228" s="118">
        <v>0</v>
      </c>
      <c r="T228" s="119">
        <f>S228*H228</f>
        <v>0</v>
      </c>
      <c r="W228"/>
      <c r="X228"/>
      <c r="Y228"/>
      <c r="AP228" s="120" t="s">
        <v>108</v>
      </c>
      <c r="AR228" s="120" t="s">
        <v>103</v>
      </c>
      <c r="AS228" s="120" t="s">
        <v>65</v>
      </c>
      <c r="AW228" s="17" t="s">
        <v>101</v>
      </c>
      <c r="BC228" s="121">
        <f>IF(N228="základní",J228,0)</f>
        <v>0</v>
      </c>
      <c r="BD228" s="121">
        <f>IF(N228="snížená",J228,0)</f>
        <v>0</v>
      </c>
      <c r="BE228" s="121">
        <f>IF(N228="zákl. přenesená",J228,0)</f>
        <v>0</v>
      </c>
      <c r="BF228" s="121">
        <f>IF(N228="sníž. přenesená",J228,0)</f>
        <v>0</v>
      </c>
      <c r="BG228" s="121">
        <f>IF(N228="nulová",J228,0)</f>
        <v>0</v>
      </c>
      <c r="BH228" s="17" t="s">
        <v>63</v>
      </c>
      <c r="BI228" s="121">
        <f>ROUND(I228*H228,2)</f>
        <v>0</v>
      </c>
      <c r="BJ228" s="17" t="s">
        <v>108</v>
      </c>
      <c r="BK228" s="120" t="s">
        <v>1204</v>
      </c>
    </row>
    <row r="229" spans="2:63" s="1" customFormat="1" x14ac:dyDescent="0.2">
      <c r="B229" s="28"/>
      <c r="D229" s="122" t="s">
        <v>110</v>
      </c>
      <c r="F229" s="412" t="s">
        <v>176</v>
      </c>
      <c r="L229" s="28"/>
      <c r="M229" s="124"/>
      <c r="T229" s="48"/>
      <c r="W229"/>
      <c r="X229"/>
      <c r="Y229"/>
      <c r="AR229" s="17" t="s">
        <v>110</v>
      </c>
      <c r="AS229" s="17" t="s">
        <v>65</v>
      </c>
    </row>
    <row r="230" spans="2:63" s="12" customFormat="1" x14ac:dyDescent="0.2">
      <c r="B230" s="125"/>
      <c r="D230" s="126" t="s">
        <v>112</v>
      </c>
      <c r="E230" s="127" t="s">
        <v>1</v>
      </c>
      <c r="F230" s="128" t="s">
        <v>177</v>
      </c>
      <c r="H230" s="127" t="s">
        <v>1</v>
      </c>
      <c r="L230" s="125"/>
      <c r="M230" s="129"/>
      <c r="T230" s="130"/>
      <c r="W230"/>
      <c r="X230"/>
      <c r="Y230"/>
      <c r="AR230" s="127" t="s">
        <v>112</v>
      </c>
      <c r="AS230" s="127" t="s">
        <v>65</v>
      </c>
      <c r="AT230" s="12" t="s">
        <v>63</v>
      </c>
      <c r="AU230" s="12" t="s">
        <v>30</v>
      </c>
      <c r="AV230" s="12" t="s">
        <v>55</v>
      </c>
      <c r="AW230" s="127" t="s">
        <v>101</v>
      </c>
    </row>
    <row r="231" spans="2:63" s="13" customFormat="1" x14ac:dyDescent="0.2">
      <c r="B231" s="131"/>
      <c r="D231" s="126" t="s">
        <v>112</v>
      </c>
      <c r="E231" s="132" t="s">
        <v>1</v>
      </c>
      <c r="F231" s="133" t="s">
        <v>1205</v>
      </c>
      <c r="H231" s="134">
        <v>85.176000000000002</v>
      </c>
      <c r="L231" s="131"/>
      <c r="M231" s="135"/>
      <c r="T231" s="136"/>
      <c r="W231"/>
      <c r="X231"/>
      <c r="Y231"/>
      <c r="AR231" s="132" t="s">
        <v>112</v>
      </c>
      <c r="AS231" s="132" t="s">
        <v>65</v>
      </c>
      <c r="AT231" s="13" t="s">
        <v>65</v>
      </c>
      <c r="AU231" s="13" t="s">
        <v>30</v>
      </c>
      <c r="AV231" s="13" t="s">
        <v>55</v>
      </c>
      <c r="AW231" s="132" t="s">
        <v>101</v>
      </c>
    </row>
    <row r="232" spans="2:63" s="13" customFormat="1" x14ac:dyDescent="0.2">
      <c r="B232" s="131"/>
      <c r="D232" s="126" t="s">
        <v>112</v>
      </c>
      <c r="E232" s="132" t="s">
        <v>1</v>
      </c>
      <c r="F232" s="133" t="s">
        <v>1206</v>
      </c>
      <c r="H232" s="134">
        <v>87.11</v>
      </c>
      <c r="L232" s="131"/>
      <c r="M232" s="135"/>
      <c r="T232" s="136"/>
      <c r="W232"/>
      <c r="X232"/>
      <c r="Y232"/>
      <c r="AR232" s="132" t="s">
        <v>112</v>
      </c>
      <c r="AS232" s="132" t="s">
        <v>65</v>
      </c>
      <c r="AT232" s="13" t="s">
        <v>65</v>
      </c>
      <c r="AU232" s="13" t="s">
        <v>30</v>
      </c>
      <c r="AV232" s="13" t="s">
        <v>55</v>
      </c>
      <c r="AW232" s="132" t="s">
        <v>101</v>
      </c>
    </row>
    <row r="233" spans="2:63" s="13" customFormat="1" x14ac:dyDescent="0.2">
      <c r="B233" s="131"/>
      <c r="D233" s="126" t="s">
        <v>112</v>
      </c>
      <c r="E233" s="132" t="s">
        <v>1</v>
      </c>
      <c r="F233" s="133" t="s">
        <v>1207</v>
      </c>
      <c r="H233" s="134">
        <v>76.260000000000005</v>
      </c>
      <c r="L233" s="131"/>
      <c r="M233" s="135"/>
      <c r="T233" s="136"/>
      <c r="W233"/>
      <c r="X233"/>
      <c r="Y233"/>
      <c r="AR233" s="132" t="s">
        <v>112</v>
      </c>
      <c r="AS233" s="132" t="s">
        <v>65</v>
      </c>
      <c r="AT233" s="13" t="s">
        <v>65</v>
      </c>
      <c r="AU233" s="13" t="s">
        <v>30</v>
      </c>
      <c r="AV233" s="13" t="s">
        <v>55</v>
      </c>
      <c r="AW233" s="132" t="s">
        <v>101</v>
      </c>
    </row>
    <row r="234" spans="2:63" s="14" customFormat="1" x14ac:dyDescent="0.2">
      <c r="B234" s="137"/>
      <c r="D234" s="126" t="s">
        <v>112</v>
      </c>
      <c r="E234" s="138" t="s">
        <v>1</v>
      </c>
      <c r="F234" s="139" t="s">
        <v>127</v>
      </c>
      <c r="H234" s="140">
        <v>248.54599999999999</v>
      </c>
      <c r="L234" s="137"/>
      <c r="M234" s="141"/>
      <c r="T234" s="142"/>
      <c r="W234"/>
      <c r="X234"/>
      <c r="Y234"/>
      <c r="AR234" s="138" t="s">
        <v>112</v>
      </c>
      <c r="AS234" s="138" t="s">
        <v>65</v>
      </c>
      <c r="AT234" s="14" t="s">
        <v>108</v>
      </c>
      <c r="AU234" s="14" t="s">
        <v>30</v>
      </c>
      <c r="AV234" s="14" t="s">
        <v>63</v>
      </c>
      <c r="AW234" s="138" t="s">
        <v>101</v>
      </c>
    </row>
    <row r="235" spans="2:63" s="14" customFormat="1" x14ac:dyDescent="0.2">
      <c r="B235" s="137"/>
      <c r="D235" s="126"/>
      <c r="E235" s="138"/>
      <c r="F235" s="139" t="s">
        <v>1842</v>
      </c>
      <c r="H235" s="140">
        <f>H234*0.18</f>
        <v>44.738279999999996</v>
      </c>
      <c r="L235" s="137"/>
      <c r="M235" s="141"/>
      <c r="T235" s="142"/>
      <c r="W235"/>
      <c r="X235"/>
      <c r="Y235"/>
      <c r="AR235" s="138"/>
      <c r="AS235" s="138"/>
      <c r="AW235" s="138"/>
    </row>
    <row r="236" spans="2:63" s="1" customFormat="1" ht="44.25" customHeight="1" x14ac:dyDescent="0.2">
      <c r="B236" s="109"/>
      <c r="C236" s="110" t="s">
        <v>218</v>
      </c>
      <c r="D236" s="110" t="s">
        <v>103</v>
      </c>
      <c r="E236" s="111" t="s">
        <v>181</v>
      </c>
      <c r="F236" s="112" t="s">
        <v>182</v>
      </c>
      <c r="G236" s="113" t="s">
        <v>174</v>
      </c>
      <c r="H236" s="114">
        <f>248.546*0.18</f>
        <v>44.738279999999996</v>
      </c>
      <c r="I236" s="115">
        <v>0</v>
      </c>
      <c r="J236" s="115">
        <f>ROUND(I236*H236,2)</f>
        <v>0</v>
      </c>
      <c r="K236" s="112" t="s">
        <v>107</v>
      </c>
      <c r="L236" s="28"/>
      <c r="M236" s="116" t="s">
        <v>1</v>
      </c>
      <c r="N236" s="117" t="s">
        <v>39</v>
      </c>
      <c r="O236" s="118">
        <v>0.216</v>
      </c>
      <c r="P236" s="118">
        <f>O236*H236</f>
        <v>9.6634684799999988</v>
      </c>
      <c r="Q236" s="118">
        <v>0</v>
      </c>
      <c r="R236" s="118">
        <f>Q236*H236</f>
        <v>0</v>
      </c>
      <c r="S236" s="118">
        <v>0</v>
      </c>
      <c r="T236" s="119">
        <f>S236*H236</f>
        <v>0</v>
      </c>
      <c r="W236"/>
      <c r="X236"/>
      <c r="Y236"/>
      <c r="AP236" s="120" t="s">
        <v>108</v>
      </c>
      <c r="AR236" s="120" t="s">
        <v>103</v>
      </c>
      <c r="AS236" s="120" t="s">
        <v>65</v>
      </c>
      <c r="AW236" s="17" t="s">
        <v>101</v>
      </c>
      <c r="BC236" s="121">
        <f>IF(N236="základní",J236,0)</f>
        <v>0</v>
      </c>
      <c r="BD236" s="121">
        <f>IF(N236="snížená",J236,0)</f>
        <v>0</v>
      </c>
      <c r="BE236" s="121">
        <f>IF(N236="zákl. přenesená",J236,0)</f>
        <v>0</v>
      </c>
      <c r="BF236" s="121">
        <f>IF(N236="sníž. přenesená",J236,0)</f>
        <v>0</v>
      </c>
      <c r="BG236" s="121">
        <f>IF(N236="nulová",J236,0)</f>
        <v>0</v>
      </c>
      <c r="BH236" s="17" t="s">
        <v>63</v>
      </c>
      <c r="BI236" s="121">
        <f>ROUND(I236*H236,2)</f>
        <v>0</v>
      </c>
      <c r="BJ236" s="17" t="s">
        <v>108</v>
      </c>
      <c r="BK236" s="120" t="s">
        <v>1208</v>
      </c>
    </row>
    <row r="237" spans="2:63" s="1" customFormat="1" x14ac:dyDescent="0.2">
      <c r="B237" s="28"/>
      <c r="D237" s="122" t="s">
        <v>110</v>
      </c>
      <c r="F237" s="412" t="s">
        <v>184</v>
      </c>
      <c r="L237" s="28"/>
      <c r="M237" s="124"/>
      <c r="T237" s="48"/>
      <c r="W237"/>
      <c r="X237"/>
      <c r="Y237"/>
      <c r="AR237" s="17" t="s">
        <v>110</v>
      </c>
      <c r="AS237" s="17" t="s">
        <v>65</v>
      </c>
    </row>
    <row r="238" spans="2:63" s="1" customFormat="1" ht="62.65" customHeight="1" x14ac:dyDescent="0.2">
      <c r="B238" s="109"/>
      <c r="C238" s="110" t="s">
        <v>223</v>
      </c>
      <c r="D238" s="110" t="s">
        <v>103</v>
      </c>
      <c r="E238" s="111" t="s">
        <v>186</v>
      </c>
      <c r="F238" s="112" t="s">
        <v>187</v>
      </c>
      <c r="G238" s="113" t="s">
        <v>130</v>
      </c>
      <c r="H238" s="114">
        <f>2846.153*0.18</f>
        <v>512.3075399999999</v>
      </c>
      <c r="I238" s="115">
        <v>0</v>
      </c>
      <c r="J238" s="115">
        <f>ROUND(I238*H238,2)</f>
        <v>0</v>
      </c>
      <c r="K238" s="112" t="s">
        <v>107</v>
      </c>
      <c r="L238" s="28"/>
      <c r="M238" s="116" t="s">
        <v>1</v>
      </c>
      <c r="N238" s="117" t="s">
        <v>39</v>
      </c>
      <c r="O238" s="118">
        <v>4.5999999999999999E-2</v>
      </c>
      <c r="P238" s="118">
        <f>O238*H238</f>
        <v>23.566146839999995</v>
      </c>
      <c r="Q238" s="118">
        <v>0</v>
      </c>
      <c r="R238" s="118">
        <f>Q238*H238</f>
        <v>0</v>
      </c>
      <c r="S238" s="118">
        <v>0</v>
      </c>
      <c r="T238" s="119">
        <f>S238*H238</f>
        <v>0</v>
      </c>
      <c r="W238"/>
      <c r="X238"/>
      <c r="Y238"/>
      <c r="AP238" s="120" t="s">
        <v>108</v>
      </c>
      <c r="AR238" s="120" t="s">
        <v>103</v>
      </c>
      <c r="AS238" s="120" t="s">
        <v>65</v>
      </c>
      <c r="AW238" s="17" t="s">
        <v>101</v>
      </c>
      <c r="BC238" s="121">
        <f>IF(N238="základní",J238,0)</f>
        <v>0</v>
      </c>
      <c r="BD238" s="121">
        <f>IF(N238="snížená",J238,0)</f>
        <v>0</v>
      </c>
      <c r="BE238" s="121">
        <f>IF(N238="zákl. přenesená",J238,0)</f>
        <v>0</v>
      </c>
      <c r="BF238" s="121">
        <f>IF(N238="sníž. přenesená",J238,0)</f>
        <v>0</v>
      </c>
      <c r="BG238" s="121">
        <f>IF(N238="nulová",J238,0)</f>
        <v>0</v>
      </c>
      <c r="BH238" s="17" t="s">
        <v>63</v>
      </c>
      <c r="BI238" s="121">
        <f>ROUND(I238*H238,2)</f>
        <v>0</v>
      </c>
      <c r="BJ238" s="17" t="s">
        <v>108</v>
      </c>
      <c r="BK238" s="120" t="s">
        <v>1209</v>
      </c>
    </row>
    <row r="239" spans="2:63" s="1" customFormat="1" x14ac:dyDescent="0.2">
      <c r="B239" s="28"/>
      <c r="D239" s="122" t="s">
        <v>110</v>
      </c>
      <c r="F239" s="412" t="s">
        <v>189</v>
      </c>
      <c r="L239" s="28"/>
      <c r="M239" s="124"/>
      <c r="T239" s="48"/>
      <c r="W239"/>
      <c r="X239"/>
      <c r="Y239"/>
      <c r="AR239" s="17" t="s">
        <v>110</v>
      </c>
      <c r="AS239" s="17" t="s">
        <v>65</v>
      </c>
    </row>
    <row r="240" spans="2:63" s="13" customFormat="1" x14ac:dyDescent="0.2">
      <c r="B240" s="131"/>
      <c r="D240" s="126" t="s">
        <v>112</v>
      </c>
      <c r="E240" s="132" t="s">
        <v>1</v>
      </c>
      <c r="F240" s="133" t="s">
        <v>1210</v>
      </c>
      <c r="H240" s="134">
        <v>1109.4680000000001</v>
      </c>
      <c r="L240" s="131"/>
      <c r="M240" s="135"/>
      <c r="T240" s="136"/>
      <c r="W240"/>
      <c r="X240"/>
      <c r="Y240"/>
      <c r="AR240" s="132" t="s">
        <v>112</v>
      </c>
      <c r="AS240" s="132" t="s">
        <v>65</v>
      </c>
      <c r="AT240" s="13" t="s">
        <v>65</v>
      </c>
      <c r="AU240" s="13" t="s">
        <v>30</v>
      </c>
      <c r="AV240" s="13" t="s">
        <v>55</v>
      </c>
      <c r="AW240" s="132" t="s">
        <v>101</v>
      </c>
    </row>
    <row r="241" spans="2:63" s="13" customFormat="1" x14ac:dyDescent="0.2">
      <c r="B241" s="131"/>
      <c r="D241" s="126" t="s">
        <v>112</v>
      </c>
      <c r="E241" s="132" t="s">
        <v>1</v>
      </c>
      <c r="F241" s="133" t="s">
        <v>1211</v>
      </c>
      <c r="H241" s="134">
        <v>101.26</v>
      </c>
      <c r="L241" s="131"/>
      <c r="M241" s="135"/>
      <c r="T241" s="136"/>
      <c r="W241"/>
      <c r="X241"/>
      <c r="Y241"/>
      <c r="AR241" s="132" t="s">
        <v>112</v>
      </c>
      <c r="AS241" s="132" t="s">
        <v>65</v>
      </c>
      <c r="AT241" s="13" t="s">
        <v>65</v>
      </c>
      <c r="AU241" s="13" t="s">
        <v>30</v>
      </c>
      <c r="AV241" s="13" t="s">
        <v>55</v>
      </c>
      <c r="AW241" s="132" t="s">
        <v>101</v>
      </c>
    </row>
    <row r="242" spans="2:63" s="13" customFormat="1" x14ac:dyDescent="0.2">
      <c r="B242" s="131"/>
      <c r="D242" s="126" t="s">
        <v>112</v>
      </c>
      <c r="E242" s="132" t="s">
        <v>1</v>
      </c>
      <c r="F242" s="133" t="s">
        <v>1212</v>
      </c>
      <c r="H242" s="134">
        <v>229.33</v>
      </c>
      <c r="L242" s="131"/>
      <c r="M242" s="135"/>
      <c r="T242" s="136"/>
      <c r="W242"/>
      <c r="X242"/>
      <c r="Y242"/>
      <c r="AR242" s="132" t="s">
        <v>112</v>
      </c>
      <c r="AS242" s="132" t="s">
        <v>65</v>
      </c>
      <c r="AT242" s="13" t="s">
        <v>65</v>
      </c>
      <c r="AU242" s="13" t="s">
        <v>30</v>
      </c>
      <c r="AV242" s="13" t="s">
        <v>55</v>
      </c>
      <c r="AW242" s="132" t="s">
        <v>101</v>
      </c>
    </row>
    <row r="243" spans="2:63" s="13" customFormat="1" x14ac:dyDescent="0.2">
      <c r="B243" s="131"/>
      <c r="D243" s="126" t="s">
        <v>112</v>
      </c>
      <c r="E243" s="132" t="s">
        <v>1</v>
      </c>
      <c r="F243" s="133" t="s">
        <v>1213</v>
      </c>
      <c r="H243" s="134">
        <v>286.67</v>
      </c>
      <c r="L243" s="131"/>
      <c r="M243" s="135"/>
      <c r="T243" s="136"/>
      <c r="W243"/>
      <c r="X243"/>
      <c r="Y243"/>
      <c r="AR243" s="132" t="s">
        <v>112</v>
      </c>
      <c r="AS243" s="132" t="s">
        <v>65</v>
      </c>
      <c r="AT243" s="13" t="s">
        <v>65</v>
      </c>
      <c r="AU243" s="13" t="s">
        <v>30</v>
      </c>
      <c r="AV243" s="13" t="s">
        <v>55</v>
      </c>
      <c r="AW243" s="132" t="s">
        <v>101</v>
      </c>
    </row>
    <row r="244" spans="2:63" s="13" customFormat="1" x14ac:dyDescent="0.2">
      <c r="B244" s="131"/>
      <c r="D244" s="126" t="s">
        <v>112</v>
      </c>
      <c r="E244" s="132" t="s">
        <v>1</v>
      </c>
      <c r="F244" s="133" t="s">
        <v>1214</v>
      </c>
      <c r="H244" s="134">
        <v>29.032</v>
      </c>
      <c r="L244" s="131"/>
      <c r="M244" s="135"/>
      <c r="T244" s="136"/>
      <c r="W244"/>
      <c r="X244"/>
      <c r="Y244"/>
      <c r="AR244" s="132" t="s">
        <v>112</v>
      </c>
      <c r="AS244" s="132" t="s">
        <v>65</v>
      </c>
      <c r="AT244" s="13" t="s">
        <v>65</v>
      </c>
      <c r="AU244" s="13" t="s">
        <v>30</v>
      </c>
      <c r="AV244" s="13" t="s">
        <v>55</v>
      </c>
      <c r="AW244" s="132" t="s">
        <v>101</v>
      </c>
    </row>
    <row r="245" spans="2:63" s="13" customFormat="1" x14ac:dyDescent="0.2">
      <c r="B245" s="131"/>
      <c r="D245" s="126" t="s">
        <v>112</v>
      </c>
      <c r="E245" s="132" t="s">
        <v>1</v>
      </c>
      <c r="F245" s="133" t="s">
        <v>1215</v>
      </c>
      <c r="H245" s="134">
        <v>734.00599999999997</v>
      </c>
      <c r="L245" s="131"/>
      <c r="M245" s="135"/>
      <c r="T245" s="136"/>
      <c r="W245"/>
      <c r="X245"/>
      <c r="Y245"/>
      <c r="AR245" s="132" t="s">
        <v>112</v>
      </c>
      <c r="AS245" s="132" t="s">
        <v>65</v>
      </c>
      <c r="AT245" s="13" t="s">
        <v>65</v>
      </c>
      <c r="AU245" s="13" t="s">
        <v>30</v>
      </c>
      <c r="AV245" s="13" t="s">
        <v>55</v>
      </c>
      <c r="AW245" s="132" t="s">
        <v>101</v>
      </c>
    </row>
    <row r="246" spans="2:63" s="13" customFormat="1" x14ac:dyDescent="0.2">
      <c r="B246" s="131"/>
      <c r="D246" s="126" t="s">
        <v>112</v>
      </c>
      <c r="E246" s="132" t="s">
        <v>1</v>
      </c>
      <c r="F246" s="133" t="s">
        <v>1216</v>
      </c>
      <c r="H246" s="134">
        <v>12.387</v>
      </c>
      <c r="L246" s="131"/>
      <c r="M246" s="135"/>
      <c r="T246" s="136"/>
      <c r="W246"/>
      <c r="X246"/>
      <c r="Y246"/>
      <c r="AR246" s="132" t="s">
        <v>112</v>
      </c>
      <c r="AS246" s="132" t="s">
        <v>65</v>
      </c>
      <c r="AT246" s="13" t="s">
        <v>65</v>
      </c>
      <c r="AU246" s="13" t="s">
        <v>30</v>
      </c>
      <c r="AV246" s="13" t="s">
        <v>55</v>
      </c>
      <c r="AW246" s="132" t="s">
        <v>101</v>
      </c>
    </row>
    <row r="247" spans="2:63" s="13" customFormat="1" x14ac:dyDescent="0.2">
      <c r="B247" s="131"/>
      <c r="D247" s="126" t="s">
        <v>112</v>
      </c>
      <c r="E247" s="132" t="s">
        <v>1</v>
      </c>
      <c r="F247" s="133" t="s">
        <v>1217</v>
      </c>
      <c r="H247" s="134">
        <v>344</v>
      </c>
      <c r="L247" s="131"/>
      <c r="M247" s="135"/>
      <c r="T247" s="136"/>
      <c r="W247"/>
      <c r="X247"/>
      <c r="Y247"/>
      <c r="AR247" s="132" t="s">
        <v>112</v>
      </c>
      <c r="AS247" s="132" t="s">
        <v>65</v>
      </c>
      <c r="AT247" s="13" t="s">
        <v>65</v>
      </c>
      <c r="AU247" s="13" t="s">
        <v>30</v>
      </c>
      <c r="AV247" s="13" t="s">
        <v>55</v>
      </c>
      <c r="AW247" s="132" t="s">
        <v>101</v>
      </c>
    </row>
    <row r="248" spans="2:63" s="14" customFormat="1" x14ac:dyDescent="0.2">
      <c r="B248" s="137"/>
      <c r="D248" s="126" t="s">
        <v>112</v>
      </c>
      <c r="E248" s="138" t="s">
        <v>1</v>
      </c>
      <c r="F248" s="139" t="s">
        <v>127</v>
      </c>
      <c r="H248" s="140">
        <v>2846.1529999999998</v>
      </c>
      <c r="L248" s="137"/>
      <c r="M248" s="141"/>
      <c r="T248" s="142"/>
      <c r="W248"/>
      <c r="X248"/>
      <c r="Y248"/>
      <c r="AR248" s="138" t="s">
        <v>112</v>
      </c>
      <c r="AS248" s="138" t="s">
        <v>65</v>
      </c>
      <c r="AT248" s="14" t="s">
        <v>108</v>
      </c>
      <c r="AU248" s="14" t="s">
        <v>30</v>
      </c>
      <c r="AV248" s="14" t="s">
        <v>63</v>
      </c>
      <c r="AW248" s="138" t="s">
        <v>101</v>
      </c>
    </row>
    <row r="249" spans="2:63" s="14" customFormat="1" x14ac:dyDescent="0.2">
      <c r="B249" s="137"/>
      <c r="D249" s="126"/>
      <c r="E249" s="138"/>
      <c r="F249" s="139" t="s">
        <v>1842</v>
      </c>
      <c r="H249" s="140">
        <f>H248*0.18</f>
        <v>512.3075399999999</v>
      </c>
      <c r="L249" s="137"/>
      <c r="M249" s="141"/>
      <c r="T249" s="142"/>
      <c r="W249"/>
      <c r="X249"/>
      <c r="Y249"/>
      <c r="AR249" s="138"/>
      <c r="AS249" s="138"/>
      <c r="AW249" s="138"/>
    </row>
    <row r="250" spans="2:63" s="1" customFormat="1" ht="62.65" customHeight="1" x14ac:dyDescent="0.2">
      <c r="B250" s="109"/>
      <c r="C250" s="110" t="s">
        <v>228</v>
      </c>
      <c r="D250" s="110" t="s">
        <v>103</v>
      </c>
      <c r="E250" s="111" t="s">
        <v>194</v>
      </c>
      <c r="F250" s="112" t="s">
        <v>195</v>
      </c>
      <c r="G250" s="113" t="s">
        <v>130</v>
      </c>
      <c r="H250" s="114">
        <f>670.691*0.18</f>
        <v>120.72438</v>
      </c>
      <c r="I250" s="115">
        <v>0</v>
      </c>
      <c r="J250" s="115">
        <f>ROUND(I250*H250,2)</f>
        <v>0</v>
      </c>
      <c r="K250" s="112" t="s">
        <v>107</v>
      </c>
      <c r="L250" s="28"/>
      <c r="M250" s="116" t="s">
        <v>1</v>
      </c>
      <c r="N250" s="117" t="s">
        <v>39</v>
      </c>
      <c r="O250" s="118">
        <v>5.0999999999999997E-2</v>
      </c>
      <c r="P250" s="118">
        <f>O250*H250</f>
        <v>6.1569433799999995</v>
      </c>
      <c r="Q250" s="118">
        <v>0</v>
      </c>
      <c r="R250" s="118">
        <f>Q250*H250</f>
        <v>0</v>
      </c>
      <c r="S250" s="118">
        <v>0</v>
      </c>
      <c r="T250" s="119">
        <f>S250*H250</f>
        <v>0</v>
      </c>
      <c r="W250"/>
      <c r="X250"/>
      <c r="Y250"/>
      <c r="AP250" s="120" t="s">
        <v>108</v>
      </c>
      <c r="AR250" s="120" t="s">
        <v>103</v>
      </c>
      <c r="AS250" s="120" t="s">
        <v>65</v>
      </c>
      <c r="AW250" s="17" t="s">
        <v>101</v>
      </c>
      <c r="BC250" s="121">
        <f>IF(N250="základní",J250,0)</f>
        <v>0</v>
      </c>
      <c r="BD250" s="121">
        <f>IF(N250="snížená",J250,0)</f>
        <v>0</v>
      </c>
      <c r="BE250" s="121">
        <f>IF(N250="zákl. přenesená",J250,0)</f>
        <v>0</v>
      </c>
      <c r="BF250" s="121">
        <f>IF(N250="sníž. přenesená",J250,0)</f>
        <v>0</v>
      </c>
      <c r="BG250" s="121">
        <f>IF(N250="nulová",J250,0)</f>
        <v>0</v>
      </c>
      <c r="BH250" s="17" t="s">
        <v>63</v>
      </c>
      <c r="BI250" s="121">
        <f>ROUND(I250*H250,2)</f>
        <v>0</v>
      </c>
      <c r="BJ250" s="17" t="s">
        <v>108</v>
      </c>
      <c r="BK250" s="120" t="s">
        <v>1218</v>
      </c>
    </row>
    <row r="251" spans="2:63" s="1" customFormat="1" x14ac:dyDescent="0.2">
      <c r="B251" s="28"/>
      <c r="D251" s="122" t="s">
        <v>110</v>
      </c>
      <c r="F251" s="412" t="s">
        <v>197</v>
      </c>
      <c r="L251" s="28"/>
      <c r="M251" s="124"/>
      <c r="T251" s="48"/>
      <c r="W251"/>
      <c r="X251"/>
      <c r="Y251"/>
      <c r="AR251" s="17" t="s">
        <v>110</v>
      </c>
      <c r="AS251" s="17" t="s">
        <v>65</v>
      </c>
    </row>
    <row r="252" spans="2:63" s="1" customFormat="1" ht="62.65" customHeight="1" x14ac:dyDescent="0.2">
      <c r="B252" s="109"/>
      <c r="C252" s="110" t="s">
        <v>234</v>
      </c>
      <c r="D252" s="110" t="s">
        <v>103</v>
      </c>
      <c r="E252" s="111" t="s">
        <v>199</v>
      </c>
      <c r="F252" s="112" t="s">
        <v>200</v>
      </c>
      <c r="G252" s="113" t="s">
        <v>130</v>
      </c>
      <c r="H252" s="114">
        <f>549.539*0.18</f>
        <v>98.917019999999994</v>
      </c>
      <c r="I252" s="115">
        <v>0</v>
      </c>
      <c r="J252" s="115">
        <f>ROUND(I252*H252,2)</f>
        <v>0</v>
      </c>
      <c r="K252" s="112" t="s">
        <v>107</v>
      </c>
      <c r="L252" s="28"/>
      <c r="M252" s="116" t="s">
        <v>1</v>
      </c>
      <c r="N252" s="117" t="s">
        <v>39</v>
      </c>
      <c r="O252" s="118">
        <v>8.6999999999999994E-2</v>
      </c>
      <c r="P252" s="118">
        <f>O252*H252</f>
        <v>8.6057807399999984</v>
      </c>
      <c r="Q252" s="118">
        <v>0</v>
      </c>
      <c r="R252" s="118">
        <f>Q252*H252</f>
        <v>0</v>
      </c>
      <c r="S252" s="118">
        <v>0</v>
      </c>
      <c r="T252" s="119">
        <f>S252*H252</f>
        <v>0</v>
      </c>
      <c r="W252"/>
      <c r="X252"/>
      <c r="Y252"/>
      <c r="AP252" s="120" t="s">
        <v>108</v>
      </c>
      <c r="AR252" s="120" t="s">
        <v>103</v>
      </c>
      <c r="AS252" s="120" t="s">
        <v>65</v>
      </c>
      <c r="AW252" s="17" t="s">
        <v>101</v>
      </c>
      <c r="BC252" s="121">
        <f>IF(N252="základní",J252,0)</f>
        <v>0</v>
      </c>
      <c r="BD252" s="121">
        <f>IF(N252="snížená",J252,0)</f>
        <v>0</v>
      </c>
      <c r="BE252" s="121">
        <f>IF(N252="zákl. přenesená",J252,0)</f>
        <v>0</v>
      </c>
      <c r="BF252" s="121">
        <f>IF(N252="sníž. přenesená",J252,0)</f>
        <v>0</v>
      </c>
      <c r="BG252" s="121">
        <f>IF(N252="nulová",J252,0)</f>
        <v>0</v>
      </c>
      <c r="BH252" s="17" t="s">
        <v>63</v>
      </c>
      <c r="BI252" s="121">
        <f>ROUND(I252*H252,2)</f>
        <v>0</v>
      </c>
      <c r="BJ252" s="17" t="s">
        <v>108</v>
      </c>
      <c r="BK252" s="120" t="s">
        <v>1219</v>
      </c>
    </row>
    <row r="253" spans="2:63" s="1" customFormat="1" x14ac:dyDescent="0.2">
      <c r="B253" s="28"/>
      <c r="D253" s="122" t="s">
        <v>110</v>
      </c>
      <c r="F253" s="412" t="s">
        <v>202</v>
      </c>
      <c r="L253" s="28"/>
      <c r="M253" s="124"/>
      <c r="T253" s="48"/>
      <c r="W253"/>
      <c r="X253"/>
      <c r="Y253"/>
      <c r="AR253" s="17" t="s">
        <v>110</v>
      </c>
      <c r="AS253" s="17" t="s">
        <v>65</v>
      </c>
    </row>
    <row r="254" spans="2:63" s="13" customFormat="1" x14ac:dyDescent="0.2">
      <c r="B254" s="131"/>
      <c r="D254" s="126" t="s">
        <v>112</v>
      </c>
      <c r="E254" s="132" t="s">
        <v>1</v>
      </c>
      <c r="F254" s="133" t="s">
        <v>1865</v>
      </c>
      <c r="H254" s="134">
        <f>549.539*0.18</f>
        <v>98.917019999999994</v>
      </c>
      <c r="L254" s="131"/>
      <c r="M254" s="135"/>
      <c r="T254" s="136"/>
      <c r="W254"/>
      <c r="X254"/>
      <c r="Y254"/>
      <c r="AR254" s="132" t="s">
        <v>112</v>
      </c>
      <c r="AS254" s="132" t="s">
        <v>65</v>
      </c>
      <c r="AT254" s="13" t="s">
        <v>65</v>
      </c>
      <c r="AU254" s="13" t="s">
        <v>30</v>
      </c>
      <c r="AV254" s="13" t="s">
        <v>63</v>
      </c>
      <c r="AW254" s="132" t="s">
        <v>101</v>
      </c>
    </row>
    <row r="255" spans="2:63" s="1" customFormat="1" ht="66.75" customHeight="1" x14ac:dyDescent="0.2">
      <c r="B255" s="109"/>
      <c r="C255" s="110" t="s">
        <v>239</v>
      </c>
      <c r="D255" s="110" t="s">
        <v>103</v>
      </c>
      <c r="E255" s="111" t="s">
        <v>204</v>
      </c>
      <c r="F255" s="112" t="s">
        <v>205</v>
      </c>
      <c r="G255" s="113" t="s">
        <v>130</v>
      </c>
      <c r="H255" s="114">
        <f>1648.617*0.18</f>
        <v>296.75106</v>
      </c>
      <c r="I255" s="115">
        <v>0</v>
      </c>
      <c r="J255" s="115">
        <f>ROUND(I255*H255,2)</f>
        <v>0</v>
      </c>
      <c r="K255" s="112" t="s">
        <v>107</v>
      </c>
      <c r="L255" s="28"/>
      <c r="M255" s="116" t="s">
        <v>1</v>
      </c>
      <c r="N255" s="117" t="s">
        <v>39</v>
      </c>
      <c r="O255" s="118">
        <v>5.0000000000000001E-3</v>
      </c>
      <c r="P255" s="118">
        <f>O255*H255</f>
        <v>1.4837553000000001</v>
      </c>
      <c r="Q255" s="118">
        <v>0</v>
      </c>
      <c r="R255" s="118">
        <f>Q255*H255</f>
        <v>0</v>
      </c>
      <c r="S255" s="118">
        <v>0</v>
      </c>
      <c r="T255" s="119">
        <f>S255*H255</f>
        <v>0</v>
      </c>
      <c r="W255"/>
      <c r="X255"/>
      <c r="Y255"/>
      <c r="AP255" s="120" t="s">
        <v>108</v>
      </c>
      <c r="AR255" s="120" t="s">
        <v>103</v>
      </c>
      <c r="AS255" s="120" t="s">
        <v>65</v>
      </c>
      <c r="AW255" s="17" t="s">
        <v>101</v>
      </c>
      <c r="BC255" s="121">
        <f>IF(N255="základní",J255,0)</f>
        <v>0</v>
      </c>
      <c r="BD255" s="121">
        <f>IF(N255="snížená",J255,0)</f>
        <v>0</v>
      </c>
      <c r="BE255" s="121">
        <f>IF(N255="zákl. přenesená",J255,0)</f>
        <v>0</v>
      </c>
      <c r="BF255" s="121">
        <f>IF(N255="sníž. přenesená",J255,0)</f>
        <v>0</v>
      </c>
      <c r="BG255" s="121">
        <f>IF(N255="nulová",J255,0)</f>
        <v>0</v>
      </c>
      <c r="BH255" s="17" t="s">
        <v>63</v>
      </c>
      <c r="BI255" s="121">
        <f>ROUND(I255*H255,2)</f>
        <v>0</v>
      </c>
      <c r="BJ255" s="17" t="s">
        <v>108</v>
      </c>
      <c r="BK255" s="120" t="s">
        <v>1220</v>
      </c>
    </row>
    <row r="256" spans="2:63" s="1" customFormat="1" x14ac:dyDescent="0.2">
      <c r="B256" s="28"/>
      <c r="D256" s="122" t="s">
        <v>110</v>
      </c>
      <c r="F256" s="412" t="s">
        <v>207</v>
      </c>
      <c r="L256" s="28"/>
      <c r="M256" s="124"/>
      <c r="T256" s="48"/>
      <c r="W256"/>
      <c r="X256"/>
      <c r="Y256"/>
      <c r="AR256" s="17" t="s">
        <v>110</v>
      </c>
      <c r="AS256" s="17" t="s">
        <v>65</v>
      </c>
    </row>
    <row r="257" spans="2:63" s="13" customFormat="1" x14ac:dyDescent="0.2">
      <c r="B257" s="131"/>
      <c r="D257" s="126" t="s">
        <v>112</v>
      </c>
      <c r="E257" s="132" t="s">
        <v>1</v>
      </c>
      <c r="F257" s="133" t="s">
        <v>1866</v>
      </c>
      <c r="H257" s="134">
        <f>1648.617*0.18</f>
        <v>296.75106</v>
      </c>
      <c r="L257" s="131"/>
      <c r="M257" s="135"/>
      <c r="T257" s="136"/>
      <c r="W257"/>
      <c r="X257"/>
      <c r="Y257"/>
      <c r="AR257" s="132" t="s">
        <v>112</v>
      </c>
      <c r="AS257" s="132" t="s">
        <v>65</v>
      </c>
      <c r="AT257" s="13" t="s">
        <v>65</v>
      </c>
      <c r="AU257" s="13" t="s">
        <v>30</v>
      </c>
      <c r="AV257" s="13" t="s">
        <v>63</v>
      </c>
      <c r="AW257" s="132" t="s">
        <v>101</v>
      </c>
    </row>
    <row r="258" spans="2:63" s="1" customFormat="1" ht="62.65" customHeight="1" x14ac:dyDescent="0.2">
      <c r="B258" s="109"/>
      <c r="C258" s="110" t="s">
        <v>6</v>
      </c>
      <c r="D258" s="110" t="s">
        <v>103</v>
      </c>
      <c r="E258" s="111" t="s">
        <v>209</v>
      </c>
      <c r="F258" s="112" t="s">
        <v>210</v>
      </c>
      <c r="G258" s="113" t="s">
        <v>130</v>
      </c>
      <c r="H258" s="114">
        <f>670.691*0.18</f>
        <v>120.72438</v>
      </c>
      <c r="I258" s="115">
        <v>0</v>
      </c>
      <c r="J258" s="115">
        <f>ROUND(I258*H258,2)</f>
        <v>0</v>
      </c>
      <c r="K258" s="112" t="s">
        <v>107</v>
      </c>
      <c r="L258" s="28"/>
      <c r="M258" s="116" t="s">
        <v>1</v>
      </c>
      <c r="N258" s="117" t="s">
        <v>39</v>
      </c>
      <c r="O258" s="118">
        <v>9.9000000000000005E-2</v>
      </c>
      <c r="P258" s="118">
        <f>O258*H258</f>
        <v>11.95171362</v>
      </c>
      <c r="Q258" s="118">
        <v>0</v>
      </c>
      <c r="R258" s="118">
        <f>Q258*H258</f>
        <v>0</v>
      </c>
      <c r="S258" s="118">
        <v>0</v>
      </c>
      <c r="T258" s="119">
        <f>S258*H258</f>
        <v>0</v>
      </c>
      <c r="W258"/>
      <c r="X258"/>
      <c r="Y258"/>
      <c r="AP258" s="120" t="s">
        <v>108</v>
      </c>
      <c r="AR258" s="120" t="s">
        <v>103</v>
      </c>
      <c r="AS258" s="120" t="s">
        <v>65</v>
      </c>
      <c r="AW258" s="17" t="s">
        <v>101</v>
      </c>
      <c r="BC258" s="121">
        <f>IF(N258="základní",J258,0)</f>
        <v>0</v>
      </c>
      <c r="BD258" s="121">
        <f>IF(N258="snížená",J258,0)</f>
        <v>0</v>
      </c>
      <c r="BE258" s="121">
        <f>IF(N258="zákl. přenesená",J258,0)</f>
        <v>0</v>
      </c>
      <c r="BF258" s="121">
        <f>IF(N258="sníž. přenesená",J258,0)</f>
        <v>0</v>
      </c>
      <c r="BG258" s="121">
        <f>IF(N258="nulová",J258,0)</f>
        <v>0</v>
      </c>
      <c r="BH258" s="17" t="s">
        <v>63</v>
      </c>
      <c r="BI258" s="121">
        <f>ROUND(I258*H258,2)</f>
        <v>0</v>
      </c>
      <c r="BJ258" s="17" t="s">
        <v>108</v>
      </c>
      <c r="BK258" s="120" t="s">
        <v>1221</v>
      </c>
    </row>
    <row r="259" spans="2:63" s="1" customFormat="1" x14ac:dyDescent="0.2">
      <c r="B259" s="28"/>
      <c r="D259" s="122" t="s">
        <v>110</v>
      </c>
      <c r="F259" s="412" t="s">
        <v>212</v>
      </c>
      <c r="L259" s="28"/>
      <c r="M259" s="124"/>
      <c r="T259" s="48"/>
      <c r="W259"/>
      <c r="X259"/>
      <c r="Y259"/>
      <c r="AR259" s="17" t="s">
        <v>110</v>
      </c>
      <c r="AS259" s="17" t="s">
        <v>65</v>
      </c>
    </row>
    <row r="260" spans="2:63" s="1" customFormat="1" ht="66.75" customHeight="1" x14ac:dyDescent="0.2">
      <c r="B260" s="109"/>
      <c r="C260" s="110" t="s">
        <v>256</v>
      </c>
      <c r="D260" s="110" t="s">
        <v>103</v>
      </c>
      <c r="E260" s="111" t="s">
        <v>213</v>
      </c>
      <c r="F260" s="112" t="s">
        <v>214</v>
      </c>
      <c r="G260" s="113" t="s">
        <v>130</v>
      </c>
      <c r="H260" s="114">
        <f>2012.073*0.18</f>
        <v>362.17313999999999</v>
      </c>
      <c r="I260" s="115">
        <v>0</v>
      </c>
      <c r="J260" s="115">
        <f>ROUND(I260*H260,2)</f>
        <v>0</v>
      </c>
      <c r="K260" s="112" t="s">
        <v>107</v>
      </c>
      <c r="L260" s="28"/>
      <c r="M260" s="116" t="s">
        <v>1</v>
      </c>
      <c r="N260" s="117" t="s">
        <v>39</v>
      </c>
      <c r="O260" s="118">
        <v>6.0000000000000001E-3</v>
      </c>
      <c r="P260" s="118">
        <f>O260*H260</f>
        <v>2.1730388399999998</v>
      </c>
      <c r="Q260" s="118">
        <v>0</v>
      </c>
      <c r="R260" s="118">
        <f>Q260*H260</f>
        <v>0</v>
      </c>
      <c r="S260" s="118">
        <v>0</v>
      </c>
      <c r="T260" s="119">
        <f>S260*H260</f>
        <v>0</v>
      </c>
      <c r="W260"/>
      <c r="X260"/>
      <c r="Y260"/>
      <c r="AP260" s="120" t="s">
        <v>108</v>
      </c>
      <c r="AR260" s="120" t="s">
        <v>103</v>
      </c>
      <c r="AS260" s="120" t="s">
        <v>65</v>
      </c>
      <c r="AW260" s="17" t="s">
        <v>101</v>
      </c>
      <c r="BC260" s="121">
        <f>IF(N260="základní",J260,0)</f>
        <v>0</v>
      </c>
      <c r="BD260" s="121">
        <f>IF(N260="snížená",J260,0)</f>
        <v>0</v>
      </c>
      <c r="BE260" s="121">
        <f>IF(N260="zákl. přenesená",J260,0)</f>
        <v>0</v>
      </c>
      <c r="BF260" s="121">
        <f>IF(N260="sníž. přenesená",J260,0)</f>
        <v>0</v>
      </c>
      <c r="BG260" s="121">
        <f>IF(N260="nulová",J260,0)</f>
        <v>0</v>
      </c>
      <c r="BH260" s="17" t="s">
        <v>63</v>
      </c>
      <c r="BI260" s="121">
        <f>ROUND(I260*H260,2)</f>
        <v>0</v>
      </c>
      <c r="BJ260" s="17" t="s">
        <v>108</v>
      </c>
      <c r="BK260" s="120" t="s">
        <v>1222</v>
      </c>
    </row>
    <row r="261" spans="2:63" s="1" customFormat="1" x14ac:dyDescent="0.2">
      <c r="B261" s="28"/>
      <c r="D261" s="122" t="s">
        <v>110</v>
      </c>
      <c r="F261" s="412" t="s">
        <v>216</v>
      </c>
      <c r="L261" s="28"/>
      <c r="M261" s="124"/>
      <c r="T261" s="48"/>
      <c r="W261"/>
      <c r="X261"/>
      <c r="Y261"/>
      <c r="AR261" s="17" t="s">
        <v>110</v>
      </c>
      <c r="AS261" s="17" t="s">
        <v>65</v>
      </c>
    </row>
    <row r="262" spans="2:63" s="13" customFormat="1" x14ac:dyDescent="0.2">
      <c r="B262" s="131"/>
      <c r="D262" s="126" t="s">
        <v>112</v>
      </c>
      <c r="E262" s="132" t="s">
        <v>1</v>
      </c>
      <c r="F262" s="133" t="s">
        <v>1867</v>
      </c>
      <c r="H262" s="134">
        <f>2012.073*0.18</f>
        <v>362.17313999999999</v>
      </c>
      <c r="L262" s="131"/>
      <c r="M262" s="135"/>
      <c r="T262" s="136"/>
      <c r="W262"/>
      <c r="X262"/>
      <c r="Y262"/>
      <c r="AR262" s="132" t="s">
        <v>112</v>
      </c>
      <c r="AS262" s="132" t="s">
        <v>65</v>
      </c>
      <c r="AT262" s="13" t="s">
        <v>65</v>
      </c>
      <c r="AU262" s="13" t="s">
        <v>30</v>
      </c>
      <c r="AV262" s="13" t="s">
        <v>63</v>
      </c>
      <c r="AW262" s="132" t="s">
        <v>101</v>
      </c>
    </row>
    <row r="263" spans="2:63" s="1" customFormat="1" ht="44.25" customHeight="1" x14ac:dyDescent="0.2">
      <c r="B263" s="109"/>
      <c r="C263" s="110" t="s">
        <v>261</v>
      </c>
      <c r="D263" s="110" t="s">
        <v>103</v>
      </c>
      <c r="E263" s="111" t="s">
        <v>219</v>
      </c>
      <c r="F263" s="112" t="s">
        <v>220</v>
      </c>
      <c r="G263" s="113" t="s">
        <v>130</v>
      </c>
      <c r="H263" s="114">
        <f>2515.563*0.18</f>
        <v>452.80133999999998</v>
      </c>
      <c r="I263" s="115">
        <v>0</v>
      </c>
      <c r="J263" s="115">
        <f>ROUND(I263*H263,2)</f>
        <v>0</v>
      </c>
      <c r="K263" s="112" t="s">
        <v>107</v>
      </c>
      <c r="L263" s="28"/>
      <c r="M263" s="116" t="s">
        <v>1</v>
      </c>
      <c r="N263" s="117" t="s">
        <v>39</v>
      </c>
      <c r="O263" s="118">
        <v>7.1999999999999995E-2</v>
      </c>
      <c r="P263" s="118">
        <f>O263*H263</f>
        <v>32.601696479999994</v>
      </c>
      <c r="Q263" s="118">
        <v>0</v>
      </c>
      <c r="R263" s="118">
        <f>Q263*H263</f>
        <v>0</v>
      </c>
      <c r="S263" s="118">
        <v>0</v>
      </c>
      <c r="T263" s="119">
        <f>S263*H263</f>
        <v>0</v>
      </c>
      <c r="W263"/>
      <c r="X263"/>
      <c r="Y263"/>
      <c r="AP263" s="120" t="s">
        <v>108</v>
      </c>
      <c r="AR263" s="120" t="s">
        <v>103</v>
      </c>
      <c r="AS263" s="120" t="s">
        <v>65</v>
      </c>
      <c r="AW263" s="17" t="s">
        <v>101</v>
      </c>
      <c r="BC263" s="121">
        <f>IF(N263="základní",J263,0)</f>
        <v>0</v>
      </c>
      <c r="BD263" s="121">
        <f>IF(N263="snížená",J263,0)</f>
        <v>0</v>
      </c>
      <c r="BE263" s="121">
        <f>IF(N263="zákl. přenesená",J263,0)</f>
        <v>0</v>
      </c>
      <c r="BF263" s="121">
        <f>IF(N263="sníž. přenesená",J263,0)</f>
        <v>0</v>
      </c>
      <c r="BG263" s="121">
        <f>IF(N263="nulová",J263,0)</f>
        <v>0</v>
      </c>
      <c r="BH263" s="17" t="s">
        <v>63</v>
      </c>
      <c r="BI263" s="121">
        <f>ROUND(I263*H263,2)</f>
        <v>0</v>
      </c>
      <c r="BJ263" s="17" t="s">
        <v>108</v>
      </c>
      <c r="BK263" s="120" t="s">
        <v>1223</v>
      </c>
    </row>
    <row r="264" spans="2:63" s="1" customFormat="1" x14ac:dyDescent="0.2">
      <c r="B264" s="28"/>
      <c r="D264" s="122" t="s">
        <v>110</v>
      </c>
      <c r="F264" s="412" t="s">
        <v>222</v>
      </c>
      <c r="L264" s="28"/>
      <c r="M264" s="124"/>
      <c r="T264" s="48"/>
      <c r="W264"/>
      <c r="X264"/>
      <c r="Y264"/>
      <c r="AR264" s="17" t="s">
        <v>110</v>
      </c>
      <c r="AS264" s="17" t="s">
        <v>65</v>
      </c>
    </row>
    <row r="265" spans="2:63" s="13" customFormat="1" x14ac:dyDescent="0.2">
      <c r="B265" s="131"/>
      <c r="D265" s="126" t="s">
        <v>112</v>
      </c>
      <c r="E265" s="132" t="s">
        <v>1</v>
      </c>
      <c r="F265" s="133" t="s">
        <v>1224</v>
      </c>
      <c r="H265" s="134">
        <v>1109.4680000000001</v>
      </c>
      <c r="L265" s="131"/>
      <c r="M265" s="135"/>
      <c r="T265" s="136"/>
      <c r="W265"/>
      <c r="X265"/>
      <c r="Y265"/>
      <c r="AR265" s="132" t="s">
        <v>112</v>
      </c>
      <c r="AS265" s="132" t="s">
        <v>65</v>
      </c>
      <c r="AT265" s="13" t="s">
        <v>65</v>
      </c>
      <c r="AU265" s="13" t="s">
        <v>30</v>
      </c>
      <c r="AV265" s="13" t="s">
        <v>55</v>
      </c>
      <c r="AW265" s="132" t="s">
        <v>101</v>
      </c>
    </row>
    <row r="266" spans="2:63" s="13" customFormat="1" x14ac:dyDescent="0.2">
      <c r="B266" s="131"/>
      <c r="D266" s="126" t="s">
        <v>112</v>
      </c>
      <c r="E266" s="132" t="s">
        <v>1</v>
      </c>
      <c r="F266" s="133" t="s">
        <v>1213</v>
      </c>
      <c r="H266" s="134">
        <v>286.67</v>
      </c>
      <c r="L266" s="131"/>
      <c r="M266" s="135"/>
      <c r="T266" s="136"/>
      <c r="W266"/>
      <c r="X266"/>
      <c r="Y266"/>
      <c r="AR266" s="132" t="s">
        <v>112</v>
      </c>
      <c r="AS266" s="132" t="s">
        <v>65</v>
      </c>
      <c r="AT266" s="13" t="s">
        <v>65</v>
      </c>
      <c r="AU266" s="13" t="s">
        <v>30</v>
      </c>
      <c r="AV266" s="13" t="s">
        <v>55</v>
      </c>
      <c r="AW266" s="132" t="s">
        <v>101</v>
      </c>
    </row>
    <row r="267" spans="2:63" s="13" customFormat="1" x14ac:dyDescent="0.2">
      <c r="B267" s="131"/>
      <c r="D267" s="126" t="s">
        <v>112</v>
      </c>
      <c r="E267" s="132" t="s">
        <v>1</v>
      </c>
      <c r="F267" s="133" t="s">
        <v>1214</v>
      </c>
      <c r="H267" s="134">
        <v>29.032</v>
      </c>
      <c r="L267" s="131"/>
      <c r="M267" s="135"/>
      <c r="T267" s="136"/>
      <c r="W267"/>
      <c r="X267"/>
      <c r="Y267"/>
      <c r="AR267" s="132" t="s">
        <v>112</v>
      </c>
      <c r="AS267" s="132" t="s">
        <v>65</v>
      </c>
      <c r="AT267" s="13" t="s">
        <v>65</v>
      </c>
      <c r="AU267" s="13" t="s">
        <v>30</v>
      </c>
      <c r="AV267" s="13" t="s">
        <v>55</v>
      </c>
      <c r="AW267" s="132" t="s">
        <v>101</v>
      </c>
    </row>
    <row r="268" spans="2:63" s="13" customFormat="1" x14ac:dyDescent="0.2">
      <c r="B268" s="131"/>
      <c r="D268" s="126" t="s">
        <v>112</v>
      </c>
      <c r="E268" s="132" t="s">
        <v>1</v>
      </c>
      <c r="F268" s="133" t="s">
        <v>1215</v>
      </c>
      <c r="H268" s="134">
        <v>734.00599999999997</v>
      </c>
      <c r="L268" s="131"/>
      <c r="M268" s="135"/>
      <c r="T268" s="136"/>
      <c r="W268"/>
      <c r="X268"/>
      <c r="Y268"/>
      <c r="AR268" s="132" t="s">
        <v>112</v>
      </c>
      <c r="AS268" s="132" t="s">
        <v>65</v>
      </c>
      <c r="AT268" s="13" t="s">
        <v>65</v>
      </c>
      <c r="AU268" s="13" t="s">
        <v>30</v>
      </c>
      <c r="AV268" s="13" t="s">
        <v>55</v>
      </c>
      <c r="AW268" s="132" t="s">
        <v>101</v>
      </c>
    </row>
    <row r="269" spans="2:63" s="13" customFormat="1" x14ac:dyDescent="0.2">
      <c r="B269" s="131"/>
      <c r="D269" s="126" t="s">
        <v>112</v>
      </c>
      <c r="E269" s="132" t="s">
        <v>1</v>
      </c>
      <c r="F269" s="133" t="s">
        <v>1216</v>
      </c>
      <c r="H269" s="134">
        <v>12.387</v>
      </c>
      <c r="L269" s="131"/>
      <c r="M269" s="135"/>
      <c r="T269" s="136"/>
      <c r="W269"/>
      <c r="X269"/>
      <c r="Y269"/>
      <c r="AR269" s="132" t="s">
        <v>112</v>
      </c>
      <c r="AS269" s="132" t="s">
        <v>65</v>
      </c>
      <c r="AT269" s="13" t="s">
        <v>65</v>
      </c>
      <c r="AU269" s="13" t="s">
        <v>30</v>
      </c>
      <c r="AV269" s="13" t="s">
        <v>55</v>
      </c>
      <c r="AW269" s="132" t="s">
        <v>101</v>
      </c>
    </row>
    <row r="270" spans="2:63" s="13" customFormat="1" x14ac:dyDescent="0.2">
      <c r="B270" s="131"/>
      <c r="D270" s="126" t="s">
        <v>112</v>
      </c>
      <c r="E270" s="132" t="s">
        <v>1</v>
      </c>
      <c r="F270" s="133" t="s">
        <v>1217</v>
      </c>
      <c r="H270" s="134">
        <v>344</v>
      </c>
      <c r="L270" s="131"/>
      <c r="M270" s="135"/>
      <c r="T270" s="136"/>
      <c r="W270"/>
      <c r="X270"/>
      <c r="Y270"/>
      <c r="AR270" s="132" t="s">
        <v>112</v>
      </c>
      <c r="AS270" s="132" t="s">
        <v>65</v>
      </c>
      <c r="AT270" s="13" t="s">
        <v>65</v>
      </c>
      <c r="AU270" s="13" t="s">
        <v>30</v>
      </c>
      <c r="AV270" s="13" t="s">
        <v>55</v>
      </c>
      <c r="AW270" s="132" t="s">
        <v>101</v>
      </c>
    </row>
    <row r="271" spans="2:63" s="14" customFormat="1" x14ac:dyDescent="0.2">
      <c r="B271" s="137"/>
      <c r="D271" s="126" t="s">
        <v>112</v>
      </c>
      <c r="E271" s="138" t="s">
        <v>1</v>
      </c>
      <c r="F271" s="139" t="s">
        <v>127</v>
      </c>
      <c r="H271" s="140">
        <v>2515.5630000000001</v>
      </c>
      <c r="L271" s="137"/>
      <c r="M271" s="141"/>
      <c r="T271" s="142"/>
      <c r="W271"/>
      <c r="X271"/>
      <c r="Y271"/>
      <c r="AR271" s="138" t="s">
        <v>112</v>
      </c>
      <c r="AS271" s="138" t="s">
        <v>65</v>
      </c>
      <c r="AT271" s="14" t="s">
        <v>108</v>
      </c>
      <c r="AU271" s="14" t="s">
        <v>30</v>
      </c>
      <c r="AV271" s="14" t="s">
        <v>63</v>
      </c>
      <c r="AW271" s="138" t="s">
        <v>101</v>
      </c>
    </row>
    <row r="272" spans="2:63" s="14" customFormat="1" x14ac:dyDescent="0.2">
      <c r="B272" s="137"/>
      <c r="D272" s="126"/>
      <c r="E272" s="138"/>
      <c r="F272" s="139" t="s">
        <v>1842</v>
      </c>
      <c r="H272" s="140">
        <f>H271*0.18</f>
        <v>452.80133999999998</v>
      </c>
      <c r="L272" s="137"/>
      <c r="M272" s="141"/>
      <c r="T272" s="142"/>
      <c r="W272"/>
      <c r="X272"/>
      <c r="Y272"/>
      <c r="AR272" s="138"/>
      <c r="AS272" s="138"/>
      <c r="AW272" s="138"/>
    </row>
    <row r="273" spans="2:63" s="1" customFormat="1" ht="44.25" customHeight="1" x14ac:dyDescent="0.2">
      <c r="B273" s="109"/>
      <c r="C273" s="110" t="s">
        <v>275</v>
      </c>
      <c r="D273" s="110" t="s">
        <v>103</v>
      </c>
      <c r="E273" s="111" t="s">
        <v>224</v>
      </c>
      <c r="F273" s="112" t="s">
        <v>225</v>
      </c>
      <c r="G273" s="113" t="s">
        <v>130</v>
      </c>
      <c r="H273" s="114">
        <f>670.691*0.18</f>
        <v>120.72438</v>
      </c>
      <c r="I273" s="115">
        <v>0</v>
      </c>
      <c r="J273" s="115">
        <f>ROUND(I273*H273,2)</f>
        <v>0</v>
      </c>
      <c r="K273" s="112" t="s">
        <v>107</v>
      </c>
      <c r="L273" s="28"/>
      <c r="M273" s="116" t="s">
        <v>1</v>
      </c>
      <c r="N273" s="117" t="s">
        <v>39</v>
      </c>
      <c r="O273" s="118">
        <v>9.6000000000000002E-2</v>
      </c>
      <c r="P273" s="118">
        <f>O273*H273</f>
        <v>11.58954048</v>
      </c>
      <c r="Q273" s="118">
        <v>0</v>
      </c>
      <c r="R273" s="118">
        <f>Q273*H273</f>
        <v>0</v>
      </c>
      <c r="S273" s="118">
        <v>0</v>
      </c>
      <c r="T273" s="119">
        <f>S273*H273</f>
        <v>0</v>
      </c>
      <c r="W273"/>
      <c r="X273"/>
      <c r="Y273"/>
      <c r="AP273" s="120" t="s">
        <v>108</v>
      </c>
      <c r="AR273" s="120" t="s">
        <v>103</v>
      </c>
      <c r="AS273" s="120" t="s">
        <v>65</v>
      </c>
      <c r="AW273" s="17" t="s">
        <v>101</v>
      </c>
      <c r="BC273" s="121">
        <f>IF(N273="základní",J273,0)</f>
        <v>0</v>
      </c>
      <c r="BD273" s="121">
        <f>IF(N273="snížená",J273,0)</f>
        <v>0</v>
      </c>
      <c r="BE273" s="121">
        <f>IF(N273="zákl. přenesená",J273,0)</f>
        <v>0</v>
      </c>
      <c r="BF273" s="121">
        <f>IF(N273="sníž. přenesená",J273,0)</f>
        <v>0</v>
      </c>
      <c r="BG273" s="121">
        <f>IF(N273="nulová",J273,0)</f>
        <v>0</v>
      </c>
      <c r="BH273" s="17" t="s">
        <v>63</v>
      </c>
      <c r="BI273" s="121">
        <f>ROUND(I273*H273,2)</f>
        <v>0</v>
      </c>
      <c r="BJ273" s="17" t="s">
        <v>108</v>
      </c>
      <c r="BK273" s="120" t="s">
        <v>1225</v>
      </c>
    </row>
    <row r="274" spans="2:63" s="1" customFormat="1" x14ac:dyDescent="0.2">
      <c r="B274" s="28"/>
      <c r="D274" s="122" t="s">
        <v>110</v>
      </c>
      <c r="F274" s="412" t="s">
        <v>227</v>
      </c>
      <c r="L274" s="28"/>
      <c r="M274" s="124"/>
      <c r="T274" s="48"/>
      <c r="W274"/>
      <c r="X274"/>
      <c r="Y274"/>
      <c r="AR274" s="17" t="s">
        <v>110</v>
      </c>
      <c r="AS274" s="17" t="s">
        <v>65</v>
      </c>
    </row>
    <row r="275" spans="2:63" s="1" customFormat="1" ht="62.65" customHeight="1" x14ac:dyDescent="0.2">
      <c r="B275" s="109"/>
      <c r="C275" s="110" t="s">
        <v>288</v>
      </c>
      <c r="D275" s="110" t="s">
        <v>103</v>
      </c>
      <c r="E275" s="111" t="s">
        <v>1226</v>
      </c>
      <c r="F275" s="112" t="s">
        <v>1227</v>
      </c>
      <c r="G275" s="113" t="s">
        <v>130</v>
      </c>
      <c r="H275" s="114">
        <f>101.262*0.18</f>
        <v>18.227159999999998</v>
      </c>
      <c r="I275" s="115">
        <v>0</v>
      </c>
      <c r="J275" s="115">
        <f>ROUND(I275*H275,2)</f>
        <v>0</v>
      </c>
      <c r="K275" s="112" t="s">
        <v>107</v>
      </c>
      <c r="L275" s="28"/>
      <c r="M275" s="116" t="s">
        <v>1</v>
      </c>
      <c r="N275" s="117" t="s">
        <v>39</v>
      </c>
      <c r="O275" s="118">
        <v>0.39400000000000002</v>
      </c>
      <c r="P275" s="118">
        <f>O275*H275</f>
        <v>7.1815010399999997</v>
      </c>
      <c r="Q275" s="118">
        <v>0</v>
      </c>
      <c r="R275" s="118">
        <f>Q275*H275</f>
        <v>0</v>
      </c>
      <c r="S275" s="118">
        <v>0</v>
      </c>
      <c r="T275" s="119">
        <f>S275*H275</f>
        <v>0</v>
      </c>
      <c r="W275"/>
      <c r="X275"/>
      <c r="Y275"/>
      <c r="AP275" s="120" t="s">
        <v>108</v>
      </c>
      <c r="AR275" s="120" t="s">
        <v>103</v>
      </c>
      <c r="AS275" s="120" t="s">
        <v>65</v>
      </c>
      <c r="AW275" s="17" t="s">
        <v>101</v>
      </c>
      <c r="BC275" s="121">
        <f>IF(N275="základní",J275,0)</f>
        <v>0</v>
      </c>
      <c r="BD275" s="121">
        <f>IF(N275="snížená",J275,0)</f>
        <v>0</v>
      </c>
      <c r="BE275" s="121">
        <f>IF(N275="zákl. přenesená",J275,0)</f>
        <v>0</v>
      </c>
      <c r="BF275" s="121">
        <f>IF(N275="sníž. přenesená",J275,0)</f>
        <v>0</v>
      </c>
      <c r="BG275" s="121">
        <f>IF(N275="nulová",J275,0)</f>
        <v>0</v>
      </c>
      <c r="BH275" s="17" t="s">
        <v>63</v>
      </c>
      <c r="BI275" s="121">
        <f>ROUND(I275*H275,2)</f>
        <v>0</v>
      </c>
      <c r="BJ275" s="17" t="s">
        <v>108</v>
      </c>
      <c r="BK275" s="120" t="s">
        <v>1228</v>
      </c>
    </row>
    <row r="276" spans="2:63" s="1" customFormat="1" x14ac:dyDescent="0.2">
      <c r="B276" s="28"/>
      <c r="D276" s="122" t="s">
        <v>110</v>
      </c>
      <c r="F276" s="412" t="s">
        <v>1229</v>
      </c>
      <c r="L276" s="28"/>
      <c r="M276" s="124"/>
      <c r="T276" s="48"/>
      <c r="W276"/>
      <c r="X276"/>
      <c r="Y276"/>
      <c r="AR276" s="17" t="s">
        <v>110</v>
      </c>
      <c r="AS276" s="17" t="s">
        <v>65</v>
      </c>
    </row>
    <row r="277" spans="2:63" s="12" customFormat="1" x14ac:dyDescent="0.2">
      <c r="B277" s="125"/>
      <c r="D277" s="126" t="s">
        <v>112</v>
      </c>
      <c r="E277" s="127" t="s">
        <v>1</v>
      </c>
      <c r="F277" s="128" t="s">
        <v>1230</v>
      </c>
      <c r="H277" s="127" t="s">
        <v>1</v>
      </c>
      <c r="L277" s="125"/>
      <c r="M277" s="129"/>
      <c r="T277" s="130"/>
      <c r="W277"/>
      <c r="X277"/>
      <c r="Y277"/>
      <c r="AR277" s="127" t="s">
        <v>112</v>
      </c>
      <c r="AS277" s="127" t="s">
        <v>65</v>
      </c>
      <c r="AT277" s="12" t="s">
        <v>63</v>
      </c>
      <c r="AU277" s="12" t="s">
        <v>30</v>
      </c>
      <c r="AV277" s="12" t="s">
        <v>55</v>
      </c>
      <c r="AW277" s="127" t="s">
        <v>101</v>
      </c>
    </row>
    <row r="278" spans="2:63" s="12" customFormat="1" x14ac:dyDescent="0.2">
      <c r="B278" s="125"/>
      <c r="D278" s="126" t="s">
        <v>112</v>
      </c>
      <c r="E278" s="127" t="s">
        <v>1</v>
      </c>
      <c r="F278" s="128" t="s">
        <v>1231</v>
      </c>
      <c r="H278" s="127" t="s">
        <v>1</v>
      </c>
      <c r="L278" s="125"/>
      <c r="M278" s="129"/>
      <c r="T278" s="130"/>
      <c r="W278"/>
      <c r="X278"/>
      <c r="Y278"/>
      <c r="AR278" s="127" t="s">
        <v>112</v>
      </c>
      <c r="AS278" s="127" t="s">
        <v>65</v>
      </c>
      <c r="AT278" s="12" t="s">
        <v>63</v>
      </c>
      <c r="AU278" s="12" t="s">
        <v>30</v>
      </c>
      <c r="AV278" s="12" t="s">
        <v>55</v>
      </c>
      <c r="AW278" s="127" t="s">
        <v>101</v>
      </c>
    </row>
    <row r="279" spans="2:63" s="13" customFormat="1" x14ac:dyDescent="0.2">
      <c r="B279" s="131"/>
      <c r="D279" s="126" t="s">
        <v>112</v>
      </c>
      <c r="E279" s="132" t="s">
        <v>1</v>
      </c>
      <c r="F279" s="133" t="s">
        <v>1232</v>
      </c>
      <c r="H279" s="134">
        <v>9</v>
      </c>
      <c r="L279" s="131"/>
      <c r="M279" s="135"/>
      <c r="T279" s="136"/>
      <c r="W279"/>
      <c r="X279"/>
      <c r="Y279"/>
      <c r="AR279" s="132" t="s">
        <v>112</v>
      </c>
      <c r="AS279" s="132" t="s">
        <v>65</v>
      </c>
      <c r="AT279" s="13" t="s">
        <v>65</v>
      </c>
      <c r="AU279" s="13" t="s">
        <v>30</v>
      </c>
      <c r="AV279" s="13" t="s">
        <v>55</v>
      </c>
      <c r="AW279" s="132" t="s">
        <v>101</v>
      </c>
    </row>
    <row r="280" spans="2:63" s="13" customFormat="1" x14ac:dyDescent="0.2">
      <c r="B280" s="131"/>
      <c r="D280" s="126" t="s">
        <v>112</v>
      </c>
      <c r="E280" s="132" t="s">
        <v>1</v>
      </c>
      <c r="F280" s="133" t="s">
        <v>1233</v>
      </c>
      <c r="H280" s="134">
        <v>16.875</v>
      </c>
      <c r="L280" s="131"/>
      <c r="M280" s="135"/>
      <c r="T280" s="136"/>
      <c r="W280"/>
      <c r="X280"/>
      <c r="Y280"/>
      <c r="AR280" s="132" t="s">
        <v>112</v>
      </c>
      <c r="AS280" s="132" t="s">
        <v>65</v>
      </c>
      <c r="AT280" s="13" t="s">
        <v>65</v>
      </c>
      <c r="AU280" s="13" t="s">
        <v>30</v>
      </c>
      <c r="AV280" s="13" t="s">
        <v>55</v>
      </c>
      <c r="AW280" s="132" t="s">
        <v>101</v>
      </c>
    </row>
    <row r="281" spans="2:63" s="13" customFormat="1" x14ac:dyDescent="0.2">
      <c r="B281" s="131"/>
      <c r="D281" s="126" t="s">
        <v>112</v>
      </c>
      <c r="E281" s="132" t="s">
        <v>1</v>
      </c>
      <c r="F281" s="133" t="s">
        <v>1234</v>
      </c>
      <c r="H281" s="134">
        <v>6.9749999999999996</v>
      </c>
      <c r="L281" s="131"/>
      <c r="M281" s="135"/>
      <c r="T281" s="136"/>
      <c r="W281"/>
      <c r="X281"/>
      <c r="Y281"/>
      <c r="AR281" s="132" t="s">
        <v>112</v>
      </c>
      <c r="AS281" s="132" t="s">
        <v>65</v>
      </c>
      <c r="AT281" s="13" t="s">
        <v>65</v>
      </c>
      <c r="AU281" s="13" t="s">
        <v>30</v>
      </c>
      <c r="AV281" s="13" t="s">
        <v>55</v>
      </c>
      <c r="AW281" s="132" t="s">
        <v>101</v>
      </c>
    </row>
    <row r="282" spans="2:63" s="13" customFormat="1" x14ac:dyDescent="0.2">
      <c r="B282" s="131"/>
      <c r="D282" s="126" t="s">
        <v>112</v>
      </c>
      <c r="E282" s="132" t="s">
        <v>1</v>
      </c>
      <c r="F282" s="133" t="s">
        <v>1235</v>
      </c>
      <c r="H282" s="134">
        <v>7.0129999999999999</v>
      </c>
      <c r="L282" s="131"/>
      <c r="M282" s="135"/>
      <c r="T282" s="136"/>
      <c r="W282"/>
      <c r="X282"/>
      <c r="Y282"/>
      <c r="AR282" s="132" t="s">
        <v>112</v>
      </c>
      <c r="AS282" s="132" t="s">
        <v>65</v>
      </c>
      <c r="AT282" s="13" t="s">
        <v>65</v>
      </c>
      <c r="AU282" s="13" t="s">
        <v>30</v>
      </c>
      <c r="AV282" s="13" t="s">
        <v>55</v>
      </c>
      <c r="AW282" s="132" t="s">
        <v>101</v>
      </c>
    </row>
    <row r="283" spans="2:63" s="13" customFormat="1" x14ac:dyDescent="0.2">
      <c r="B283" s="131"/>
      <c r="D283" s="126" t="s">
        <v>112</v>
      </c>
      <c r="E283" s="132" t="s">
        <v>1</v>
      </c>
      <c r="F283" s="133" t="s">
        <v>1236</v>
      </c>
      <c r="H283" s="134">
        <v>10.5</v>
      </c>
      <c r="L283" s="131"/>
      <c r="M283" s="135"/>
      <c r="T283" s="136"/>
      <c r="W283"/>
      <c r="X283"/>
      <c r="Y283"/>
      <c r="AR283" s="132" t="s">
        <v>112</v>
      </c>
      <c r="AS283" s="132" t="s">
        <v>65</v>
      </c>
      <c r="AT283" s="13" t="s">
        <v>65</v>
      </c>
      <c r="AU283" s="13" t="s">
        <v>30</v>
      </c>
      <c r="AV283" s="13" t="s">
        <v>55</v>
      </c>
      <c r="AW283" s="132" t="s">
        <v>101</v>
      </c>
    </row>
    <row r="284" spans="2:63" s="13" customFormat="1" x14ac:dyDescent="0.2">
      <c r="B284" s="131"/>
      <c r="D284" s="126" t="s">
        <v>112</v>
      </c>
      <c r="E284" s="132" t="s">
        <v>1</v>
      </c>
      <c r="F284" s="133" t="s">
        <v>1237</v>
      </c>
      <c r="H284" s="134">
        <v>9.5630000000000006</v>
      </c>
      <c r="L284" s="131"/>
      <c r="M284" s="135"/>
      <c r="T284" s="136"/>
      <c r="W284"/>
      <c r="X284"/>
      <c r="Y284"/>
      <c r="AR284" s="132" t="s">
        <v>112</v>
      </c>
      <c r="AS284" s="132" t="s">
        <v>65</v>
      </c>
      <c r="AT284" s="13" t="s">
        <v>65</v>
      </c>
      <c r="AU284" s="13" t="s">
        <v>30</v>
      </c>
      <c r="AV284" s="13" t="s">
        <v>55</v>
      </c>
      <c r="AW284" s="132" t="s">
        <v>101</v>
      </c>
    </row>
    <row r="285" spans="2:63" s="13" customFormat="1" x14ac:dyDescent="0.2">
      <c r="B285" s="131"/>
      <c r="D285" s="126" t="s">
        <v>112</v>
      </c>
      <c r="E285" s="132" t="s">
        <v>1</v>
      </c>
      <c r="F285" s="133" t="s">
        <v>1238</v>
      </c>
      <c r="H285" s="134">
        <v>13.736000000000001</v>
      </c>
      <c r="L285" s="131"/>
      <c r="M285" s="135"/>
      <c r="T285" s="136"/>
      <c r="W285"/>
      <c r="X285"/>
      <c r="Y285"/>
      <c r="AR285" s="132" t="s">
        <v>112</v>
      </c>
      <c r="AS285" s="132" t="s">
        <v>65</v>
      </c>
      <c r="AT285" s="13" t="s">
        <v>65</v>
      </c>
      <c r="AU285" s="13" t="s">
        <v>30</v>
      </c>
      <c r="AV285" s="13" t="s">
        <v>55</v>
      </c>
      <c r="AW285" s="132" t="s">
        <v>101</v>
      </c>
    </row>
    <row r="286" spans="2:63" s="13" customFormat="1" x14ac:dyDescent="0.2">
      <c r="B286" s="131"/>
      <c r="D286" s="126" t="s">
        <v>112</v>
      </c>
      <c r="E286" s="132" t="s">
        <v>1</v>
      </c>
      <c r="F286" s="133" t="s">
        <v>1239</v>
      </c>
      <c r="H286" s="134">
        <v>3.6</v>
      </c>
      <c r="L286" s="131"/>
      <c r="M286" s="135"/>
      <c r="T286" s="136"/>
      <c r="W286"/>
      <c r="X286"/>
      <c r="Y286"/>
      <c r="AR286" s="132" t="s">
        <v>112</v>
      </c>
      <c r="AS286" s="132" t="s">
        <v>65</v>
      </c>
      <c r="AT286" s="13" t="s">
        <v>65</v>
      </c>
      <c r="AU286" s="13" t="s">
        <v>30</v>
      </c>
      <c r="AV286" s="13" t="s">
        <v>55</v>
      </c>
      <c r="AW286" s="132" t="s">
        <v>101</v>
      </c>
    </row>
    <row r="287" spans="2:63" s="13" customFormat="1" x14ac:dyDescent="0.2">
      <c r="B287" s="131"/>
      <c r="D287" s="126" t="s">
        <v>112</v>
      </c>
      <c r="E287" s="132" t="s">
        <v>1</v>
      </c>
      <c r="F287" s="133" t="s">
        <v>1240</v>
      </c>
      <c r="H287" s="134">
        <v>24</v>
      </c>
      <c r="L287" s="131"/>
      <c r="M287" s="135"/>
      <c r="T287" s="136"/>
      <c r="W287"/>
      <c r="X287"/>
      <c r="Y287"/>
      <c r="AR287" s="132" t="s">
        <v>112</v>
      </c>
      <c r="AS287" s="132" t="s">
        <v>65</v>
      </c>
      <c r="AT287" s="13" t="s">
        <v>65</v>
      </c>
      <c r="AU287" s="13" t="s">
        <v>30</v>
      </c>
      <c r="AV287" s="13" t="s">
        <v>55</v>
      </c>
      <c r="AW287" s="132" t="s">
        <v>101</v>
      </c>
    </row>
    <row r="288" spans="2:63" s="14" customFormat="1" x14ac:dyDescent="0.2">
      <c r="B288" s="137"/>
      <c r="D288" s="126" t="s">
        <v>112</v>
      </c>
      <c r="E288" s="138" t="s">
        <v>1</v>
      </c>
      <c r="F288" s="139" t="s">
        <v>127</v>
      </c>
      <c r="H288" s="140">
        <v>101.262</v>
      </c>
      <c r="L288" s="137"/>
      <c r="M288" s="141"/>
      <c r="T288" s="142"/>
      <c r="W288"/>
      <c r="X288"/>
      <c r="Y288"/>
      <c r="AR288" s="138" t="s">
        <v>112</v>
      </c>
      <c r="AS288" s="138" t="s">
        <v>65</v>
      </c>
      <c r="AT288" s="14" t="s">
        <v>108</v>
      </c>
      <c r="AU288" s="14" t="s">
        <v>30</v>
      </c>
      <c r="AV288" s="14" t="s">
        <v>63</v>
      </c>
      <c r="AW288" s="138" t="s">
        <v>101</v>
      </c>
    </row>
    <row r="289" spans="2:63" s="14" customFormat="1" x14ac:dyDescent="0.2">
      <c r="B289" s="137"/>
      <c r="D289" s="126"/>
      <c r="E289" s="138"/>
      <c r="F289" s="139" t="s">
        <v>1842</v>
      </c>
      <c r="H289" s="140">
        <f>H288*0.18</f>
        <v>18.227159999999998</v>
      </c>
      <c r="L289" s="137"/>
      <c r="M289" s="141"/>
      <c r="T289" s="142"/>
      <c r="W289"/>
      <c r="X289"/>
      <c r="Y289"/>
      <c r="AR289" s="138"/>
      <c r="AS289" s="138"/>
      <c r="AW289" s="138"/>
    </row>
    <row r="290" spans="2:63" s="1" customFormat="1" ht="44.25" customHeight="1" x14ac:dyDescent="0.2">
      <c r="B290" s="109"/>
      <c r="C290" s="110" t="s">
        <v>297</v>
      </c>
      <c r="D290" s="110" t="s">
        <v>103</v>
      </c>
      <c r="E290" s="111" t="s">
        <v>229</v>
      </c>
      <c r="F290" s="112" t="s">
        <v>230</v>
      </c>
      <c r="G290" s="113" t="s">
        <v>231</v>
      </c>
      <c r="H290" s="114">
        <f>2196.414*0.18</f>
        <v>395.35452000000004</v>
      </c>
      <c r="I290" s="115">
        <v>0</v>
      </c>
      <c r="J290" s="115">
        <f>ROUND(I290*H290,2)</f>
        <v>0</v>
      </c>
      <c r="K290" s="112" t="s">
        <v>107</v>
      </c>
      <c r="L290" s="28"/>
      <c r="M290" s="116" t="s">
        <v>1</v>
      </c>
      <c r="N290" s="117" t="s">
        <v>39</v>
      </c>
      <c r="O290" s="118">
        <v>0</v>
      </c>
      <c r="P290" s="118">
        <f>O290*H290</f>
        <v>0</v>
      </c>
      <c r="Q290" s="118">
        <v>0</v>
      </c>
      <c r="R290" s="118">
        <f>Q290*H290</f>
        <v>0</v>
      </c>
      <c r="S290" s="118">
        <v>0</v>
      </c>
      <c r="T290" s="119">
        <f>S290*H290</f>
        <v>0</v>
      </c>
      <c r="W290"/>
      <c r="X290"/>
      <c r="Y290"/>
      <c r="AP290" s="120" t="s">
        <v>108</v>
      </c>
      <c r="AR290" s="120" t="s">
        <v>103</v>
      </c>
      <c r="AS290" s="120" t="s">
        <v>65</v>
      </c>
      <c r="AW290" s="17" t="s">
        <v>101</v>
      </c>
      <c r="BC290" s="121">
        <f>IF(N290="základní",J290,0)</f>
        <v>0</v>
      </c>
      <c r="BD290" s="121">
        <f>IF(N290="snížená",J290,0)</f>
        <v>0</v>
      </c>
      <c r="BE290" s="121">
        <f>IF(N290="zákl. přenesená",J290,0)</f>
        <v>0</v>
      </c>
      <c r="BF290" s="121">
        <f>IF(N290="sníž. přenesená",J290,0)</f>
        <v>0</v>
      </c>
      <c r="BG290" s="121">
        <f>IF(N290="nulová",J290,0)</f>
        <v>0</v>
      </c>
      <c r="BH290" s="17" t="s">
        <v>63</v>
      </c>
      <c r="BI290" s="121">
        <f>ROUND(I290*H290,2)</f>
        <v>0</v>
      </c>
      <c r="BJ290" s="17" t="s">
        <v>108</v>
      </c>
      <c r="BK290" s="120" t="s">
        <v>1241</v>
      </c>
    </row>
    <row r="291" spans="2:63" s="1" customFormat="1" x14ac:dyDescent="0.2">
      <c r="B291" s="28"/>
      <c r="D291" s="122" t="s">
        <v>110</v>
      </c>
      <c r="F291" s="412" t="s">
        <v>233</v>
      </c>
      <c r="L291" s="28"/>
      <c r="M291" s="124"/>
      <c r="T291" s="48"/>
      <c r="W291"/>
      <c r="X291"/>
      <c r="Y291"/>
      <c r="AR291" s="17" t="s">
        <v>110</v>
      </c>
      <c r="AS291" s="17" t="s">
        <v>65</v>
      </c>
    </row>
    <row r="292" spans="2:63" s="13" customFormat="1" x14ac:dyDescent="0.2">
      <c r="B292" s="131"/>
      <c r="D292" s="126" t="s">
        <v>112</v>
      </c>
      <c r="F292" s="133" t="s">
        <v>1242</v>
      </c>
      <c r="H292" s="134">
        <f>2196.414*0.18</f>
        <v>395.35452000000004</v>
      </c>
      <c r="L292" s="131"/>
      <c r="M292" s="135"/>
      <c r="T292" s="136"/>
      <c r="W292"/>
      <c r="X292"/>
      <c r="Y292"/>
      <c r="AR292" s="132" t="s">
        <v>112</v>
      </c>
      <c r="AS292" s="132" t="s">
        <v>65</v>
      </c>
      <c r="AT292" s="13" t="s">
        <v>65</v>
      </c>
      <c r="AU292" s="13" t="s">
        <v>2</v>
      </c>
      <c r="AV292" s="13" t="s">
        <v>63</v>
      </c>
      <c r="AW292" s="132" t="s">
        <v>101</v>
      </c>
    </row>
    <row r="293" spans="2:63" s="1" customFormat="1" ht="37.9" customHeight="1" x14ac:dyDescent="0.2">
      <c r="B293" s="109"/>
      <c r="C293" s="110" t="s">
        <v>307</v>
      </c>
      <c r="D293" s="110" t="s">
        <v>103</v>
      </c>
      <c r="E293" s="111" t="s">
        <v>235</v>
      </c>
      <c r="F293" s="112" t="s">
        <v>236</v>
      </c>
      <c r="G293" s="113" t="s">
        <v>130</v>
      </c>
      <c r="H293" s="114">
        <f>1220.236*0.18</f>
        <v>219.64248000000001</v>
      </c>
      <c r="I293" s="115">
        <v>0</v>
      </c>
      <c r="J293" s="115">
        <f>ROUND(I293*H293,2)</f>
        <v>0</v>
      </c>
      <c r="K293" s="112" t="s">
        <v>107</v>
      </c>
      <c r="L293" s="28"/>
      <c r="M293" s="116" t="s">
        <v>1</v>
      </c>
      <c r="N293" s="117" t="s">
        <v>39</v>
      </c>
      <c r="O293" s="118">
        <v>8.9999999999999993E-3</v>
      </c>
      <c r="P293" s="118">
        <f>O293*H293</f>
        <v>1.9767823199999999</v>
      </c>
      <c r="Q293" s="118">
        <v>0</v>
      </c>
      <c r="R293" s="118">
        <f>Q293*H293</f>
        <v>0</v>
      </c>
      <c r="S293" s="118">
        <v>0</v>
      </c>
      <c r="T293" s="119">
        <f>S293*H293</f>
        <v>0</v>
      </c>
      <c r="W293"/>
      <c r="X293"/>
      <c r="Y293"/>
      <c r="AP293" s="120" t="s">
        <v>108</v>
      </c>
      <c r="AR293" s="120" t="s">
        <v>103</v>
      </c>
      <c r="AS293" s="120" t="s">
        <v>65</v>
      </c>
      <c r="AW293" s="17" t="s">
        <v>101</v>
      </c>
      <c r="BC293" s="121">
        <f>IF(N293="základní",J293,0)</f>
        <v>0</v>
      </c>
      <c r="BD293" s="121">
        <f>IF(N293="snížená",J293,0)</f>
        <v>0</v>
      </c>
      <c r="BE293" s="121">
        <f>IF(N293="zákl. přenesená",J293,0)</f>
        <v>0</v>
      </c>
      <c r="BF293" s="121">
        <f>IF(N293="sníž. přenesená",J293,0)</f>
        <v>0</v>
      </c>
      <c r="BG293" s="121">
        <f>IF(N293="nulová",J293,0)</f>
        <v>0</v>
      </c>
      <c r="BH293" s="17" t="s">
        <v>63</v>
      </c>
      <c r="BI293" s="121">
        <f>ROUND(I293*H293,2)</f>
        <v>0</v>
      </c>
      <c r="BJ293" s="17" t="s">
        <v>108</v>
      </c>
      <c r="BK293" s="120" t="s">
        <v>1243</v>
      </c>
    </row>
    <row r="294" spans="2:63" s="1" customFormat="1" x14ac:dyDescent="0.2">
      <c r="B294" s="28"/>
      <c r="D294" s="122" t="s">
        <v>110</v>
      </c>
      <c r="F294" s="412" t="s">
        <v>238</v>
      </c>
      <c r="L294" s="28"/>
      <c r="M294" s="124"/>
      <c r="T294" s="48"/>
      <c r="W294"/>
      <c r="X294"/>
      <c r="Y294"/>
      <c r="AR294" s="17" t="s">
        <v>110</v>
      </c>
      <c r="AS294" s="17" t="s">
        <v>65</v>
      </c>
    </row>
    <row r="295" spans="2:63" s="1" customFormat="1" ht="44.25" customHeight="1" x14ac:dyDescent="0.2">
      <c r="B295" s="109"/>
      <c r="C295" s="110" t="s">
        <v>311</v>
      </c>
      <c r="D295" s="110" t="s">
        <v>103</v>
      </c>
      <c r="E295" s="111" t="s">
        <v>240</v>
      </c>
      <c r="F295" s="112" t="s">
        <v>241</v>
      </c>
      <c r="G295" s="113" t="s">
        <v>130</v>
      </c>
      <c r="H295" s="114">
        <f>992.372*0.18</f>
        <v>178.62696</v>
      </c>
      <c r="I295" s="115">
        <v>0</v>
      </c>
      <c r="J295" s="115">
        <f>ROUND(I295*H295,2)</f>
        <v>0</v>
      </c>
      <c r="K295" s="112" t="s">
        <v>107</v>
      </c>
      <c r="L295" s="28"/>
      <c r="M295" s="116" t="s">
        <v>1</v>
      </c>
      <c r="N295" s="117" t="s">
        <v>39</v>
      </c>
      <c r="O295" s="118">
        <v>0.32800000000000001</v>
      </c>
      <c r="P295" s="118">
        <f>O295*H295</f>
        <v>58.58964288</v>
      </c>
      <c r="Q295" s="118">
        <v>0</v>
      </c>
      <c r="R295" s="118">
        <f>Q295*H295</f>
        <v>0</v>
      </c>
      <c r="S295" s="118">
        <v>0</v>
      </c>
      <c r="T295" s="119">
        <f>S295*H295</f>
        <v>0</v>
      </c>
      <c r="W295"/>
      <c r="X295"/>
      <c r="Y295"/>
      <c r="AP295" s="120" t="s">
        <v>108</v>
      </c>
      <c r="AR295" s="120" t="s">
        <v>103</v>
      </c>
      <c r="AS295" s="120" t="s">
        <v>65</v>
      </c>
      <c r="AW295" s="17" t="s">
        <v>101</v>
      </c>
      <c r="BC295" s="121">
        <f>IF(N295="základní",J295,0)</f>
        <v>0</v>
      </c>
      <c r="BD295" s="121">
        <f>IF(N295="snížená",J295,0)</f>
        <v>0</v>
      </c>
      <c r="BE295" s="121">
        <f>IF(N295="zákl. přenesená",J295,0)</f>
        <v>0</v>
      </c>
      <c r="BF295" s="121">
        <f>IF(N295="sníž. přenesená",J295,0)</f>
        <v>0</v>
      </c>
      <c r="BG295" s="121">
        <f>IF(N295="nulová",J295,0)</f>
        <v>0</v>
      </c>
      <c r="BH295" s="17" t="s">
        <v>63</v>
      </c>
      <c r="BI295" s="121">
        <f>ROUND(I295*H295,2)</f>
        <v>0</v>
      </c>
      <c r="BJ295" s="17" t="s">
        <v>108</v>
      </c>
      <c r="BK295" s="120" t="s">
        <v>1244</v>
      </c>
    </row>
    <row r="296" spans="2:63" s="1" customFormat="1" x14ac:dyDescent="0.2">
      <c r="B296" s="28"/>
      <c r="D296" s="122" t="s">
        <v>110</v>
      </c>
      <c r="F296" s="412" t="s">
        <v>243</v>
      </c>
      <c r="L296" s="28"/>
      <c r="M296" s="124"/>
      <c r="T296" s="48"/>
      <c r="W296"/>
      <c r="X296"/>
      <c r="Y296"/>
      <c r="AR296" s="17" t="s">
        <v>110</v>
      </c>
      <c r="AS296" s="17" t="s">
        <v>65</v>
      </c>
    </row>
    <row r="297" spans="2:63" s="12" customFormat="1" x14ac:dyDescent="0.2">
      <c r="B297" s="125"/>
      <c r="D297" s="126" t="s">
        <v>112</v>
      </c>
      <c r="E297" s="127" t="s">
        <v>1</v>
      </c>
      <c r="F297" s="128" t="s">
        <v>1245</v>
      </c>
      <c r="H297" s="127" t="s">
        <v>1</v>
      </c>
      <c r="L297" s="125"/>
      <c r="M297" s="129"/>
      <c r="T297" s="130"/>
      <c r="W297"/>
      <c r="X297"/>
      <c r="Y297"/>
      <c r="AR297" s="127" t="s">
        <v>112</v>
      </c>
      <c r="AS297" s="127" t="s">
        <v>65</v>
      </c>
      <c r="AT297" s="12" t="s">
        <v>63</v>
      </c>
      <c r="AU297" s="12" t="s">
        <v>30</v>
      </c>
      <c r="AV297" s="12" t="s">
        <v>55</v>
      </c>
      <c r="AW297" s="127" t="s">
        <v>101</v>
      </c>
    </row>
    <row r="298" spans="2:63" s="12" customFormat="1" ht="33.75" x14ac:dyDescent="0.2">
      <c r="B298" s="125"/>
      <c r="D298" s="126" t="s">
        <v>112</v>
      </c>
      <c r="E298" s="127" t="s">
        <v>1</v>
      </c>
      <c r="F298" s="128" t="s">
        <v>1246</v>
      </c>
      <c r="H298" s="127" t="s">
        <v>1</v>
      </c>
      <c r="L298" s="125"/>
      <c r="M298" s="129"/>
      <c r="T298" s="130"/>
      <c r="W298"/>
      <c r="X298"/>
      <c r="Y298"/>
      <c r="AR298" s="127" t="s">
        <v>112</v>
      </c>
      <c r="AS298" s="127" t="s">
        <v>65</v>
      </c>
      <c r="AT298" s="12" t="s">
        <v>63</v>
      </c>
      <c r="AU298" s="12" t="s">
        <v>30</v>
      </c>
      <c r="AV298" s="12" t="s">
        <v>55</v>
      </c>
      <c r="AW298" s="127" t="s">
        <v>101</v>
      </c>
    </row>
    <row r="299" spans="2:63" s="13" customFormat="1" x14ac:dyDescent="0.2">
      <c r="B299" s="131"/>
      <c r="D299" s="126" t="s">
        <v>112</v>
      </c>
      <c r="E299" s="132" t="s">
        <v>1</v>
      </c>
      <c r="F299" s="133" t="s">
        <v>1247</v>
      </c>
      <c r="H299" s="134">
        <v>29.032</v>
      </c>
      <c r="L299" s="131"/>
      <c r="M299" s="135"/>
      <c r="T299" s="136"/>
      <c r="W299"/>
      <c r="X299"/>
      <c r="Y299"/>
      <c r="AR299" s="132" t="s">
        <v>112</v>
      </c>
      <c r="AS299" s="132" t="s">
        <v>65</v>
      </c>
      <c r="AT299" s="13" t="s">
        <v>65</v>
      </c>
      <c r="AU299" s="13" t="s">
        <v>30</v>
      </c>
      <c r="AV299" s="13" t="s">
        <v>55</v>
      </c>
      <c r="AW299" s="132" t="s">
        <v>101</v>
      </c>
    </row>
    <row r="300" spans="2:63" s="15" customFormat="1" x14ac:dyDescent="0.2">
      <c r="B300" s="159"/>
      <c r="D300" s="126" t="s">
        <v>112</v>
      </c>
      <c r="E300" s="160" t="s">
        <v>1</v>
      </c>
      <c r="F300" s="161" t="s">
        <v>1121</v>
      </c>
      <c r="H300" s="162">
        <v>29.032</v>
      </c>
      <c r="L300" s="159"/>
      <c r="M300" s="163"/>
      <c r="T300" s="164"/>
      <c r="W300"/>
      <c r="X300"/>
      <c r="Y300"/>
      <c r="AR300" s="160" t="s">
        <v>112</v>
      </c>
      <c r="AS300" s="160" t="s">
        <v>65</v>
      </c>
      <c r="AT300" s="15" t="s">
        <v>119</v>
      </c>
      <c r="AU300" s="15" t="s">
        <v>30</v>
      </c>
      <c r="AV300" s="15" t="s">
        <v>55</v>
      </c>
      <c r="AW300" s="160" t="s">
        <v>101</v>
      </c>
    </row>
    <row r="301" spans="2:63" s="12" customFormat="1" x14ac:dyDescent="0.2">
      <c r="B301" s="125"/>
      <c r="D301" s="126" t="s">
        <v>112</v>
      </c>
      <c r="E301" s="127" t="s">
        <v>1</v>
      </c>
      <c r="F301" s="128" t="s">
        <v>1248</v>
      </c>
      <c r="H301" s="127" t="s">
        <v>1</v>
      </c>
      <c r="L301" s="125"/>
      <c r="M301" s="129"/>
      <c r="T301" s="130"/>
      <c r="W301"/>
      <c r="X301"/>
      <c r="Y301"/>
      <c r="AR301" s="127" t="s">
        <v>112</v>
      </c>
      <c r="AS301" s="127" t="s">
        <v>65</v>
      </c>
      <c r="AT301" s="12" t="s">
        <v>63</v>
      </c>
      <c r="AU301" s="12" t="s">
        <v>30</v>
      </c>
      <c r="AV301" s="12" t="s">
        <v>55</v>
      </c>
      <c r="AW301" s="127" t="s">
        <v>101</v>
      </c>
    </row>
    <row r="302" spans="2:63" s="12" customFormat="1" ht="22.5" x14ac:dyDescent="0.2">
      <c r="B302" s="125"/>
      <c r="D302" s="126" t="s">
        <v>112</v>
      </c>
      <c r="E302" s="127" t="s">
        <v>1</v>
      </c>
      <c r="F302" s="128" t="s">
        <v>1249</v>
      </c>
      <c r="H302" s="127" t="s">
        <v>1</v>
      </c>
      <c r="L302" s="125"/>
      <c r="M302" s="129"/>
      <c r="T302" s="130"/>
      <c r="W302"/>
      <c r="X302"/>
      <c r="Y302"/>
      <c r="AR302" s="127" t="s">
        <v>112</v>
      </c>
      <c r="AS302" s="127" t="s">
        <v>65</v>
      </c>
      <c r="AT302" s="12" t="s">
        <v>63</v>
      </c>
      <c r="AU302" s="12" t="s">
        <v>30</v>
      </c>
      <c r="AV302" s="12" t="s">
        <v>55</v>
      </c>
      <c r="AW302" s="127" t="s">
        <v>101</v>
      </c>
    </row>
    <row r="303" spans="2:63" s="13" customFormat="1" x14ac:dyDescent="0.2">
      <c r="B303" s="131"/>
      <c r="D303" s="126" t="s">
        <v>112</v>
      </c>
      <c r="E303" s="132" t="s">
        <v>1</v>
      </c>
      <c r="F303" s="133" t="s">
        <v>1250</v>
      </c>
      <c r="H303" s="134">
        <v>66.3</v>
      </c>
      <c r="L303" s="131"/>
      <c r="M303" s="135"/>
      <c r="T303" s="136"/>
      <c r="W303"/>
      <c r="X303"/>
      <c r="Y303"/>
      <c r="AR303" s="132" t="s">
        <v>112</v>
      </c>
      <c r="AS303" s="132" t="s">
        <v>65</v>
      </c>
      <c r="AT303" s="13" t="s">
        <v>65</v>
      </c>
      <c r="AU303" s="13" t="s">
        <v>30</v>
      </c>
      <c r="AV303" s="13" t="s">
        <v>55</v>
      </c>
      <c r="AW303" s="132" t="s">
        <v>101</v>
      </c>
    </row>
    <row r="304" spans="2:63" s="13" customFormat="1" x14ac:dyDescent="0.2">
      <c r="B304" s="131"/>
      <c r="D304" s="126" t="s">
        <v>112</v>
      </c>
      <c r="E304" s="132" t="s">
        <v>1</v>
      </c>
      <c r="F304" s="133" t="s">
        <v>1251</v>
      </c>
      <c r="H304" s="134">
        <v>132.875</v>
      </c>
      <c r="L304" s="131"/>
      <c r="M304" s="135"/>
      <c r="T304" s="136"/>
      <c r="W304"/>
      <c r="X304"/>
      <c r="Y304"/>
      <c r="AR304" s="132" t="s">
        <v>112</v>
      </c>
      <c r="AS304" s="132" t="s">
        <v>65</v>
      </c>
      <c r="AT304" s="13" t="s">
        <v>65</v>
      </c>
      <c r="AU304" s="13" t="s">
        <v>30</v>
      </c>
      <c r="AV304" s="13" t="s">
        <v>55</v>
      </c>
      <c r="AW304" s="132" t="s">
        <v>101</v>
      </c>
    </row>
    <row r="305" spans="2:49" s="13" customFormat="1" x14ac:dyDescent="0.2">
      <c r="B305" s="131"/>
      <c r="D305" s="126" t="s">
        <v>112</v>
      </c>
      <c r="E305" s="132" t="s">
        <v>1</v>
      </c>
      <c r="F305" s="133" t="s">
        <v>1252</v>
      </c>
      <c r="H305" s="134">
        <v>26.74</v>
      </c>
      <c r="L305" s="131"/>
      <c r="M305" s="135"/>
      <c r="T305" s="136"/>
      <c r="W305"/>
      <c r="X305"/>
      <c r="Y305"/>
      <c r="AR305" s="132" t="s">
        <v>112</v>
      </c>
      <c r="AS305" s="132" t="s">
        <v>65</v>
      </c>
      <c r="AT305" s="13" t="s">
        <v>65</v>
      </c>
      <c r="AU305" s="13" t="s">
        <v>30</v>
      </c>
      <c r="AV305" s="13" t="s">
        <v>55</v>
      </c>
      <c r="AW305" s="132" t="s">
        <v>101</v>
      </c>
    </row>
    <row r="306" spans="2:49" s="13" customFormat="1" x14ac:dyDescent="0.2">
      <c r="B306" s="131"/>
      <c r="D306" s="126" t="s">
        <v>112</v>
      </c>
      <c r="E306" s="132" t="s">
        <v>1</v>
      </c>
      <c r="F306" s="133" t="s">
        <v>1253</v>
      </c>
      <c r="H306" s="134">
        <v>44.655000000000001</v>
      </c>
      <c r="L306" s="131"/>
      <c r="M306" s="135"/>
      <c r="T306" s="136"/>
      <c r="W306"/>
      <c r="X306"/>
      <c r="Y306"/>
      <c r="AR306" s="132" t="s">
        <v>112</v>
      </c>
      <c r="AS306" s="132" t="s">
        <v>65</v>
      </c>
      <c r="AT306" s="13" t="s">
        <v>65</v>
      </c>
      <c r="AU306" s="13" t="s">
        <v>30</v>
      </c>
      <c r="AV306" s="13" t="s">
        <v>55</v>
      </c>
      <c r="AW306" s="132" t="s">
        <v>101</v>
      </c>
    </row>
    <row r="307" spans="2:49" s="13" customFormat="1" x14ac:dyDescent="0.2">
      <c r="B307" s="131"/>
      <c r="D307" s="126" t="s">
        <v>112</v>
      </c>
      <c r="E307" s="132" t="s">
        <v>1</v>
      </c>
      <c r="F307" s="133" t="s">
        <v>1254</v>
      </c>
      <c r="H307" s="134">
        <v>92.4</v>
      </c>
      <c r="L307" s="131"/>
      <c r="M307" s="135"/>
      <c r="T307" s="136"/>
      <c r="W307"/>
      <c r="X307"/>
      <c r="Y307"/>
      <c r="AR307" s="132" t="s">
        <v>112</v>
      </c>
      <c r="AS307" s="132" t="s">
        <v>65</v>
      </c>
      <c r="AT307" s="13" t="s">
        <v>65</v>
      </c>
      <c r="AU307" s="13" t="s">
        <v>30</v>
      </c>
      <c r="AV307" s="13" t="s">
        <v>55</v>
      </c>
      <c r="AW307" s="132" t="s">
        <v>101</v>
      </c>
    </row>
    <row r="308" spans="2:49" s="13" customFormat="1" x14ac:dyDescent="0.2">
      <c r="B308" s="131"/>
      <c r="D308" s="126" t="s">
        <v>112</v>
      </c>
      <c r="E308" s="132" t="s">
        <v>1</v>
      </c>
      <c r="F308" s="133" t="s">
        <v>1255</v>
      </c>
      <c r="H308" s="134">
        <v>84.24</v>
      </c>
      <c r="L308" s="131"/>
      <c r="M308" s="135"/>
      <c r="T308" s="136"/>
      <c r="W308"/>
      <c r="X308"/>
      <c r="Y308"/>
      <c r="AR308" s="132" t="s">
        <v>112</v>
      </c>
      <c r="AS308" s="132" t="s">
        <v>65</v>
      </c>
      <c r="AT308" s="13" t="s">
        <v>65</v>
      </c>
      <c r="AU308" s="13" t="s">
        <v>30</v>
      </c>
      <c r="AV308" s="13" t="s">
        <v>55</v>
      </c>
      <c r="AW308" s="132" t="s">
        <v>101</v>
      </c>
    </row>
    <row r="309" spans="2:49" s="13" customFormat="1" x14ac:dyDescent="0.2">
      <c r="B309" s="131"/>
      <c r="D309" s="126" t="s">
        <v>112</v>
      </c>
      <c r="E309" s="132" t="s">
        <v>1</v>
      </c>
      <c r="F309" s="133" t="s">
        <v>1256</v>
      </c>
      <c r="H309" s="134">
        <v>83.986000000000004</v>
      </c>
      <c r="L309" s="131"/>
      <c r="M309" s="135"/>
      <c r="T309" s="136"/>
      <c r="W309"/>
      <c r="X309"/>
      <c r="Y309"/>
      <c r="AR309" s="132" t="s">
        <v>112</v>
      </c>
      <c r="AS309" s="132" t="s">
        <v>65</v>
      </c>
      <c r="AT309" s="13" t="s">
        <v>65</v>
      </c>
      <c r="AU309" s="13" t="s">
        <v>30</v>
      </c>
      <c r="AV309" s="13" t="s">
        <v>55</v>
      </c>
      <c r="AW309" s="132" t="s">
        <v>101</v>
      </c>
    </row>
    <row r="310" spans="2:49" s="13" customFormat="1" x14ac:dyDescent="0.2">
      <c r="B310" s="131"/>
      <c r="D310" s="126" t="s">
        <v>112</v>
      </c>
      <c r="E310" s="132" t="s">
        <v>1</v>
      </c>
      <c r="F310" s="133" t="s">
        <v>1257</v>
      </c>
      <c r="H310" s="134">
        <v>34.938000000000002</v>
      </c>
      <c r="L310" s="131"/>
      <c r="M310" s="135"/>
      <c r="T310" s="136"/>
      <c r="W310"/>
      <c r="X310"/>
      <c r="Y310"/>
      <c r="AR310" s="132" t="s">
        <v>112</v>
      </c>
      <c r="AS310" s="132" t="s">
        <v>65</v>
      </c>
      <c r="AT310" s="13" t="s">
        <v>65</v>
      </c>
      <c r="AU310" s="13" t="s">
        <v>30</v>
      </c>
      <c r="AV310" s="13" t="s">
        <v>55</v>
      </c>
      <c r="AW310" s="132" t="s">
        <v>101</v>
      </c>
    </row>
    <row r="311" spans="2:49" s="13" customFormat="1" x14ac:dyDescent="0.2">
      <c r="B311" s="131"/>
      <c r="D311" s="126" t="s">
        <v>112</v>
      </c>
      <c r="E311" s="132" t="s">
        <v>1</v>
      </c>
      <c r="F311" s="133" t="s">
        <v>1258</v>
      </c>
      <c r="H311" s="134">
        <v>167.87200000000001</v>
      </c>
      <c r="L311" s="131"/>
      <c r="M311" s="135"/>
      <c r="T311" s="136"/>
      <c r="W311"/>
      <c r="X311"/>
      <c r="Y311"/>
      <c r="AR311" s="132" t="s">
        <v>112</v>
      </c>
      <c r="AS311" s="132" t="s">
        <v>65</v>
      </c>
      <c r="AT311" s="13" t="s">
        <v>65</v>
      </c>
      <c r="AU311" s="13" t="s">
        <v>30</v>
      </c>
      <c r="AV311" s="13" t="s">
        <v>55</v>
      </c>
      <c r="AW311" s="132" t="s">
        <v>101</v>
      </c>
    </row>
    <row r="312" spans="2:49" s="15" customFormat="1" x14ac:dyDescent="0.2">
      <c r="B312" s="159"/>
      <c r="D312" s="126" t="s">
        <v>112</v>
      </c>
      <c r="E312" s="160" t="s">
        <v>1</v>
      </c>
      <c r="F312" s="161" t="s">
        <v>1121</v>
      </c>
      <c r="H312" s="162">
        <v>734.00599999999997</v>
      </c>
      <c r="L312" s="159"/>
      <c r="M312" s="163"/>
      <c r="T312" s="164"/>
      <c r="W312"/>
      <c r="X312"/>
      <c r="Y312"/>
      <c r="AR312" s="160" t="s">
        <v>112</v>
      </c>
      <c r="AS312" s="160" t="s">
        <v>65</v>
      </c>
      <c r="AT312" s="15" t="s">
        <v>119</v>
      </c>
      <c r="AU312" s="15" t="s">
        <v>30</v>
      </c>
      <c r="AV312" s="15" t="s">
        <v>55</v>
      </c>
      <c r="AW312" s="160" t="s">
        <v>101</v>
      </c>
    </row>
    <row r="313" spans="2:49" s="12" customFormat="1" x14ac:dyDescent="0.2">
      <c r="B313" s="125"/>
      <c r="D313" s="126" t="s">
        <v>112</v>
      </c>
      <c r="E313" s="127" t="s">
        <v>1</v>
      </c>
      <c r="F313" s="128" t="s">
        <v>1110</v>
      </c>
      <c r="H313" s="127" t="s">
        <v>1</v>
      </c>
      <c r="L313" s="125"/>
      <c r="M313" s="129"/>
      <c r="T313" s="130"/>
      <c r="W313"/>
      <c r="X313"/>
      <c r="Y313"/>
      <c r="AR313" s="127" t="s">
        <v>112</v>
      </c>
      <c r="AS313" s="127" t="s">
        <v>65</v>
      </c>
      <c r="AT313" s="12" t="s">
        <v>63</v>
      </c>
      <c r="AU313" s="12" t="s">
        <v>30</v>
      </c>
      <c r="AV313" s="12" t="s">
        <v>55</v>
      </c>
      <c r="AW313" s="127" t="s">
        <v>101</v>
      </c>
    </row>
    <row r="314" spans="2:49" s="12" customFormat="1" x14ac:dyDescent="0.2">
      <c r="B314" s="125"/>
      <c r="D314" s="126" t="s">
        <v>112</v>
      </c>
      <c r="E314" s="127" t="s">
        <v>1</v>
      </c>
      <c r="F314" s="128" t="s">
        <v>1111</v>
      </c>
      <c r="H314" s="127" t="s">
        <v>1</v>
      </c>
      <c r="L314" s="125"/>
      <c r="M314" s="129"/>
      <c r="T314" s="130"/>
      <c r="W314"/>
      <c r="X314"/>
      <c r="Y314"/>
      <c r="AR314" s="127" t="s">
        <v>112</v>
      </c>
      <c r="AS314" s="127" t="s">
        <v>65</v>
      </c>
      <c r="AT314" s="12" t="s">
        <v>63</v>
      </c>
      <c r="AU314" s="12" t="s">
        <v>30</v>
      </c>
      <c r="AV314" s="12" t="s">
        <v>55</v>
      </c>
      <c r="AW314" s="127" t="s">
        <v>101</v>
      </c>
    </row>
    <row r="315" spans="2:49" s="13" customFormat="1" x14ac:dyDescent="0.2">
      <c r="B315" s="131"/>
      <c r="D315" s="126" t="s">
        <v>112</v>
      </c>
      <c r="E315" s="132" t="s">
        <v>1</v>
      </c>
      <c r="F315" s="133" t="s">
        <v>1112</v>
      </c>
      <c r="H315" s="134">
        <v>13.26</v>
      </c>
      <c r="L315" s="131"/>
      <c r="M315" s="135"/>
      <c r="T315" s="136"/>
      <c r="W315"/>
      <c r="X315"/>
      <c r="Y315"/>
      <c r="AR315" s="132" t="s">
        <v>112</v>
      </c>
      <c r="AS315" s="132" t="s">
        <v>65</v>
      </c>
      <c r="AT315" s="13" t="s">
        <v>65</v>
      </c>
      <c r="AU315" s="13" t="s">
        <v>30</v>
      </c>
      <c r="AV315" s="13" t="s">
        <v>55</v>
      </c>
      <c r="AW315" s="132" t="s">
        <v>101</v>
      </c>
    </row>
    <row r="316" spans="2:49" s="13" customFormat="1" x14ac:dyDescent="0.2">
      <c r="B316" s="131"/>
      <c r="D316" s="126" t="s">
        <v>112</v>
      </c>
      <c r="E316" s="132" t="s">
        <v>1</v>
      </c>
      <c r="F316" s="133" t="s">
        <v>1113</v>
      </c>
      <c r="H316" s="134">
        <v>53.15</v>
      </c>
      <c r="L316" s="131"/>
      <c r="M316" s="135"/>
      <c r="T316" s="136"/>
      <c r="W316"/>
      <c r="X316"/>
      <c r="Y316"/>
      <c r="AR316" s="132" t="s">
        <v>112</v>
      </c>
      <c r="AS316" s="132" t="s">
        <v>65</v>
      </c>
      <c r="AT316" s="13" t="s">
        <v>65</v>
      </c>
      <c r="AU316" s="13" t="s">
        <v>30</v>
      </c>
      <c r="AV316" s="13" t="s">
        <v>55</v>
      </c>
      <c r="AW316" s="132" t="s">
        <v>101</v>
      </c>
    </row>
    <row r="317" spans="2:49" s="13" customFormat="1" x14ac:dyDescent="0.2">
      <c r="B317" s="131"/>
      <c r="D317" s="126" t="s">
        <v>112</v>
      </c>
      <c r="E317" s="132" t="s">
        <v>1</v>
      </c>
      <c r="F317" s="133" t="s">
        <v>1114</v>
      </c>
      <c r="H317" s="134">
        <v>5.3479999999999999</v>
      </c>
      <c r="L317" s="131"/>
      <c r="M317" s="135"/>
      <c r="T317" s="136"/>
      <c r="W317"/>
      <c r="X317"/>
      <c r="Y317"/>
      <c r="AR317" s="132" t="s">
        <v>112</v>
      </c>
      <c r="AS317" s="132" t="s">
        <v>65</v>
      </c>
      <c r="AT317" s="13" t="s">
        <v>65</v>
      </c>
      <c r="AU317" s="13" t="s">
        <v>30</v>
      </c>
      <c r="AV317" s="13" t="s">
        <v>55</v>
      </c>
      <c r="AW317" s="132" t="s">
        <v>101</v>
      </c>
    </row>
    <row r="318" spans="2:49" s="13" customFormat="1" x14ac:dyDescent="0.2">
      <c r="B318" s="131"/>
      <c r="D318" s="126" t="s">
        <v>112</v>
      </c>
      <c r="E318" s="132" t="s">
        <v>1</v>
      </c>
      <c r="F318" s="133" t="s">
        <v>1115</v>
      </c>
      <c r="H318" s="134">
        <v>16.238</v>
      </c>
      <c r="L318" s="131"/>
      <c r="M318" s="135"/>
      <c r="T318" s="136"/>
      <c r="W318"/>
      <c r="X318"/>
      <c r="Y318"/>
      <c r="AR318" s="132" t="s">
        <v>112</v>
      </c>
      <c r="AS318" s="132" t="s">
        <v>65</v>
      </c>
      <c r="AT318" s="13" t="s">
        <v>65</v>
      </c>
      <c r="AU318" s="13" t="s">
        <v>30</v>
      </c>
      <c r="AV318" s="13" t="s">
        <v>55</v>
      </c>
      <c r="AW318" s="132" t="s">
        <v>101</v>
      </c>
    </row>
    <row r="319" spans="2:49" s="13" customFormat="1" x14ac:dyDescent="0.2">
      <c r="B319" s="131"/>
      <c r="D319" s="126" t="s">
        <v>112</v>
      </c>
      <c r="E319" s="132" t="s">
        <v>1</v>
      </c>
      <c r="F319" s="133" t="s">
        <v>1116</v>
      </c>
      <c r="H319" s="134">
        <v>26.4</v>
      </c>
      <c r="L319" s="131"/>
      <c r="M319" s="135"/>
      <c r="T319" s="136"/>
      <c r="W319"/>
      <c r="X319"/>
      <c r="Y319"/>
      <c r="AR319" s="132" t="s">
        <v>112</v>
      </c>
      <c r="AS319" s="132" t="s">
        <v>65</v>
      </c>
      <c r="AT319" s="13" t="s">
        <v>65</v>
      </c>
      <c r="AU319" s="13" t="s">
        <v>30</v>
      </c>
      <c r="AV319" s="13" t="s">
        <v>55</v>
      </c>
      <c r="AW319" s="132" t="s">
        <v>101</v>
      </c>
    </row>
    <row r="320" spans="2:49" s="13" customFormat="1" x14ac:dyDescent="0.2">
      <c r="B320" s="131"/>
      <c r="D320" s="126" t="s">
        <v>112</v>
      </c>
      <c r="E320" s="132" t="s">
        <v>1</v>
      </c>
      <c r="F320" s="133" t="s">
        <v>1117</v>
      </c>
      <c r="H320" s="134">
        <v>33.695999999999998</v>
      </c>
      <c r="L320" s="131"/>
      <c r="M320" s="135"/>
      <c r="T320" s="136"/>
      <c r="W320"/>
      <c r="X320"/>
      <c r="Y320"/>
      <c r="AR320" s="132" t="s">
        <v>112</v>
      </c>
      <c r="AS320" s="132" t="s">
        <v>65</v>
      </c>
      <c r="AT320" s="13" t="s">
        <v>65</v>
      </c>
      <c r="AU320" s="13" t="s">
        <v>30</v>
      </c>
      <c r="AV320" s="13" t="s">
        <v>55</v>
      </c>
      <c r="AW320" s="132" t="s">
        <v>101</v>
      </c>
    </row>
    <row r="321" spans="2:63" s="13" customFormat="1" x14ac:dyDescent="0.2">
      <c r="B321" s="131"/>
      <c r="D321" s="126" t="s">
        <v>112</v>
      </c>
      <c r="E321" s="132" t="s">
        <v>1</v>
      </c>
      <c r="F321" s="133" t="s">
        <v>1118</v>
      </c>
      <c r="H321" s="134">
        <v>30.54</v>
      </c>
      <c r="L321" s="131"/>
      <c r="M321" s="135"/>
      <c r="T321" s="136"/>
      <c r="W321"/>
      <c r="X321"/>
      <c r="Y321"/>
      <c r="AR321" s="132" t="s">
        <v>112</v>
      </c>
      <c r="AS321" s="132" t="s">
        <v>65</v>
      </c>
      <c r="AT321" s="13" t="s">
        <v>65</v>
      </c>
      <c r="AU321" s="13" t="s">
        <v>30</v>
      </c>
      <c r="AV321" s="13" t="s">
        <v>55</v>
      </c>
      <c r="AW321" s="132" t="s">
        <v>101</v>
      </c>
    </row>
    <row r="322" spans="2:63" s="13" customFormat="1" x14ac:dyDescent="0.2">
      <c r="B322" s="131"/>
      <c r="D322" s="126" t="s">
        <v>112</v>
      </c>
      <c r="E322" s="132" t="s">
        <v>1</v>
      </c>
      <c r="F322" s="133" t="s">
        <v>1119</v>
      </c>
      <c r="H322" s="134">
        <v>8.734</v>
      </c>
      <c r="L322" s="131"/>
      <c r="M322" s="135"/>
      <c r="T322" s="136"/>
      <c r="W322"/>
      <c r="X322"/>
      <c r="Y322"/>
      <c r="AR322" s="132" t="s">
        <v>112</v>
      </c>
      <c r="AS322" s="132" t="s">
        <v>65</v>
      </c>
      <c r="AT322" s="13" t="s">
        <v>65</v>
      </c>
      <c r="AU322" s="13" t="s">
        <v>30</v>
      </c>
      <c r="AV322" s="13" t="s">
        <v>55</v>
      </c>
      <c r="AW322" s="132" t="s">
        <v>101</v>
      </c>
    </row>
    <row r="323" spans="2:63" s="13" customFormat="1" x14ac:dyDescent="0.2">
      <c r="B323" s="131"/>
      <c r="D323" s="126" t="s">
        <v>112</v>
      </c>
      <c r="E323" s="132" t="s">
        <v>1</v>
      </c>
      <c r="F323" s="133" t="s">
        <v>1120</v>
      </c>
      <c r="H323" s="134">
        <v>41.968000000000004</v>
      </c>
      <c r="L323" s="131"/>
      <c r="M323" s="135"/>
      <c r="T323" s="136"/>
      <c r="W323"/>
      <c r="X323"/>
      <c r="Y323"/>
      <c r="AR323" s="132" t="s">
        <v>112</v>
      </c>
      <c r="AS323" s="132" t="s">
        <v>65</v>
      </c>
      <c r="AT323" s="13" t="s">
        <v>65</v>
      </c>
      <c r="AU323" s="13" t="s">
        <v>30</v>
      </c>
      <c r="AV323" s="13" t="s">
        <v>55</v>
      </c>
      <c r="AW323" s="132" t="s">
        <v>101</v>
      </c>
    </row>
    <row r="324" spans="2:63" s="15" customFormat="1" x14ac:dyDescent="0.2">
      <c r="B324" s="159"/>
      <c r="D324" s="126" t="s">
        <v>112</v>
      </c>
      <c r="E324" s="160" t="s">
        <v>1</v>
      </c>
      <c r="F324" s="161" t="s">
        <v>1121</v>
      </c>
      <c r="H324" s="162">
        <v>229.334</v>
      </c>
      <c r="L324" s="159"/>
      <c r="M324" s="163"/>
      <c r="T324" s="164"/>
      <c r="W324"/>
      <c r="X324"/>
      <c r="Y324"/>
      <c r="AR324" s="160" t="s">
        <v>112</v>
      </c>
      <c r="AS324" s="160" t="s">
        <v>65</v>
      </c>
      <c r="AT324" s="15" t="s">
        <v>119</v>
      </c>
      <c r="AU324" s="15" t="s">
        <v>30</v>
      </c>
      <c r="AV324" s="15" t="s">
        <v>55</v>
      </c>
      <c r="AW324" s="160" t="s">
        <v>101</v>
      </c>
    </row>
    <row r="325" spans="2:63" s="14" customFormat="1" x14ac:dyDescent="0.2">
      <c r="B325" s="137"/>
      <c r="D325" s="126" t="s">
        <v>112</v>
      </c>
      <c r="E325" s="138" t="s">
        <v>1</v>
      </c>
      <c r="F325" s="139" t="s">
        <v>127</v>
      </c>
      <c r="H325" s="140">
        <v>992.37199999999996</v>
      </c>
      <c r="L325" s="137"/>
      <c r="M325" s="141"/>
      <c r="T325" s="142"/>
      <c r="W325"/>
      <c r="X325"/>
      <c r="Y325"/>
      <c r="AR325" s="138" t="s">
        <v>112</v>
      </c>
      <c r="AS325" s="138" t="s">
        <v>65</v>
      </c>
      <c r="AT325" s="14" t="s">
        <v>108</v>
      </c>
      <c r="AU325" s="14" t="s">
        <v>30</v>
      </c>
      <c r="AV325" s="14" t="s">
        <v>63</v>
      </c>
      <c r="AW325" s="138" t="s">
        <v>101</v>
      </c>
    </row>
    <row r="326" spans="2:63" s="14" customFormat="1" x14ac:dyDescent="0.2">
      <c r="B326" s="137"/>
      <c r="D326" s="126"/>
      <c r="E326" s="138"/>
      <c r="F326" s="139" t="s">
        <v>1842</v>
      </c>
      <c r="H326" s="140">
        <f>H325*0.18</f>
        <v>178.62696</v>
      </c>
      <c r="L326" s="137"/>
      <c r="M326" s="141"/>
      <c r="T326" s="142"/>
      <c r="W326"/>
      <c r="X326"/>
      <c r="Y326"/>
      <c r="AR326" s="138"/>
      <c r="AS326" s="138"/>
      <c r="AW326" s="138"/>
    </row>
    <row r="327" spans="2:63" s="1" customFormat="1" ht="16.5" customHeight="1" x14ac:dyDescent="0.2">
      <c r="B327" s="109"/>
      <c r="C327" s="143" t="s">
        <v>317</v>
      </c>
      <c r="D327" s="143" t="s">
        <v>252</v>
      </c>
      <c r="E327" s="144" t="s">
        <v>253</v>
      </c>
      <c r="F327" s="145" t="s">
        <v>254</v>
      </c>
      <c r="G327" s="146" t="s">
        <v>231</v>
      </c>
      <c r="H327" s="147">
        <f>52.258*0.18</f>
        <v>9.4064399999999999</v>
      </c>
      <c r="I327" s="148">
        <v>0</v>
      </c>
      <c r="J327" s="148">
        <f>ROUND(I327*H327,2)</f>
        <v>0</v>
      </c>
      <c r="K327" s="145" t="s">
        <v>107</v>
      </c>
      <c r="L327" s="149"/>
      <c r="M327" s="150" t="s">
        <v>1</v>
      </c>
      <c r="N327" s="151" t="s">
        <v>39</v>
      </c>
      <c r="O327" s="118">
        <v>0</v>
      </c>
      <c r="P327" s="118">
        <f>O327*H327</f>
        <v>0</v>
      </c>
      <c r="Q327" s="118">
        <v>0</v>
      </c>
      <c r="R327" s="118">
        <f>Q327*H327</f>
        <v>0</v>
      </c>
      <c r="S327" s="118">
        <v>0</v>
      </c>
      <c r="T327" s="119">
        <f>S327*H327</f>
        <v>0</v>
      </c>
      <c r="W327"/>
      <c r="X327"/>
      <c r="Y327"/>
      <c r="AP327" s="120" t="s">
        <v>171</v>
      </c>
      <c r="AR327" s="120" t="s">
        <v>252</v>
      </c>
      <c r="AS327" s="120" t="s">
        <v>65</v>
      </c>
      <c r="AW327" s="17" t="s">
        <v>101</v>
      </c>
      <c r="BC327" s="121">
        <f>IF(N327="základní",J327,0)</f>
        <v>0</v>
      </c>
      <c r="BD327" s="121">
        <f>IF(N327="snížená",J327,0)</f>
        <v>0</v>
      </c>
      <c r="BE327" s="121">
        <f>IF(N327="zákl. přenesená",J327,0)</f>
        <v>0</v>
      </c>
      <c r="BF327" s="121">
        <f>IF(N327="sníž. přenesená",J327,0)</f>
        <v>0</v>
      </c>
      <c r="BG327" s="121">
        <f>IF(N327="nulová",J327,0)</f>
        <v>0</v>
      </c>
      <c r="BH327" s="17" t="s">
        <v>63</v>
      </c>
      <c r="BI327" s="121">
        <f>ROUND(I327*H327,2)</f>
        <v>0</v>
      </c>
      <c r="BJ327" s="17" t="s">
        <v>108</v>
      </c>
      <c r="BK327" s="120" t="s">
        <v>1259</v>
      </c>
    </row>
    <row r="328" spans="2:63" s="12" customFormat="1" x14ac:dyDescent="0.2">
      <c r="B328" s="125"/>
      <c r="D328" s="126" t="s">
        <v>112</v>
      </c>
      <c r="E328" s="127" t="s">
        <v>1</v>
      </c>
      <c r="F328" s="128" t="s">
        <v>1245</v>
      </c>
      <c r="H328" s="127" t="s">
        <v>1</v>
      </c>
      <c r="L328" s="125"/>
      <c r="M328" s="129"/>
      <c r="T328" s="130"/>
      <c r="W328"/>
      <c r="X328"/>
      <c r="Y328"/>
      <c r="AR328" s="127" t="s">
        <v>112</v>
      </c>
      <c r="AS328" s="127" t="s">
        <v>65</v>
      </c>
      <c r="AT328" s="12" t="s">
        <v>63</v>
      </c>
      <c r="AU328" s="12" t="s">
        <v>30</v>
      </c>
      <c r="AV328" s="12" t="s">
        <v>55</v>
      </c>
      <c r="AW328" s="127" t="s">
        <v>101</v>
      </c>
    </row>
    <row r="329" spans="2:63" s="12" customFormat="1" ht="33.75" x14ac:dyDescent="0.2">
      <c r="B329" s="125"/>
      <c r="D329" s="126" t="s">
        <v>112</v>
      </c>
      <c r="E329" s="127" t="s">
        <v>1</v>
      </c>
      <c r="F329" s="128" t="s">
        <v>1246</v>
      </c>
      <c r="H329" s="127" t="s">
        <v>1</v>
      </c>
      <c r="L329" s="125"/>
      <c r="M329" s="129"/>
      <c r="T329" s="130"/>
      <c r="W329"/>
      <c r="X329"/>
      <c r="Y329"/>
      <c r="AR329" s="127" t="s">
        <v>112</v>
      </c>
      <c r="AS329" s="127" t="s">
        <v>65</v>
      </c>
      <c r="AT329" s="12" t="s">
        <v>63</v>
      </c>
      <c r="AU329" s="12" t="s">
        <v>30</v>
      </c>
      <c r="AV329" s="12" t="s">
        <v>55</v>
      </c>
      <c r="AW329" s="127" t="s">
        <v>101</v>
      </c>
    </row>
    <row r="330" spans="2:63" s="13" customFormat="1" x14ac:dyDescent="0.2">
      <c r="B330" s="131"/>
      <c r="D330" s="126" t="s">
        <v>112</v>
      </c>
      <c r="E330" s="132" t="s">
        <v>1</v>
      </c>
      <c r="F330" s="133" t="s">
        <v>1247</v>
      </c>
      <c r="H330" s="134">
        <v>29.032</v>
      </c>
      <c r="L330" s="131"/>
      <c r="M330" s="135"/>
      <c r="T330" s="136"/>
      <c r="W330"/>
      <c r="X330"/>
      <c r="Y330"/>
      <c r="AR330" s="132" t="s">
        <v>112</v>
      </c>
      <c r="AS330" s="132" t="s">
        <v>65</v>
      </c>
      <c r="AT330" s="13" t="s">
        <v>65</v>
      </c>
      <c r="AU330" s="13" t="s">
        <v>30</v>
      </c>
      <c r="AV330" s="13" t="s">
        <v>63</v>
      </c>
      <c r="AW330" s="132" t="s">
        <v>101</v>
      </c>
    </row>
    <row r="331" spans="2:63" s="13" customFormat="1" x14ac:dyDescent="0.2">
      <c r="B331" s="131"/>
      <c r="D331" s="126" t="s">
        <v>112</v>
      </c>
      <c r="F331" s="133" t="s">
        <v>1260</v>
      </c>
      <c r="H331" s="134">
        <v>52.258000000000003</v>
      </c>
      <c r="L331" s="131"/>
      <c r="M331" s="135"/>
      <c r="T331" s="136"/>
      <c r="W331"/>
      <c r="X331"/>
      <c r="Y331"/>
      <c r="AR331" s="132" t="s">
        <v>112</v>
      </c>
      <c r="AS331" s="132" t="s">
        <v>65</v>
      </c>
      <c r="AT331" s="13" t="s">
        <v>65</v>
      </c>
      <c r="AU331" s="13" t="s">
        <v>2</v>
      </c>
      <c r="AV331" s="13" t="s">
        <v>63</v>
      </c>
      <c r="AW331" s="132" t="s">
        <v>101</v>
      </c>
    </row>
    <row r="332" spans="2:63" s="13" customFormat="1" x14ac:dyDescent="0.2">
      <c r="B332" s="131"/>
      <c r="D332" s="126"/>
      <c r="F332" s="139" t="s">
        <v>1842</v>
      </c>
      <c r="G332" s="14"/>
      <c r="H332" s="140">
        <f>H331*0.18</f>
        <v>9.4064399999999999</v>
      </c>
      <c r="L332" s="131"/>
      <c r="M332" s="135"/>
      <c r="T332" s="136"/>
      <c r="W332"/>
      <c r="X332"/>
      <c r="Y332"/>
      <c r="AR332" s="132"/>
      <c r="AS332" s="132"/>
      <c r="AW332" s="132"/>
    </row>
    <row r="333" spans="2:63" s="1" customFormat="1" ht="16.5" customHeight="1" x14ac:dyDescent="0.2">
      <c r="B333" s="109"/>
      <c r="C333" s="143" t="s">
        <v>321</v>
      </c>
      <c r="D333" s="143" t="s">
        <v>252</v>
      </c>
      <c r="E333" s="144" t="s">
        <v>1261</v>
      </c>
      <c r="F333" s="145" t="s">
        <v>1262</v>
      </c>
      <c r="G333" s="146" t="s">
        <v>231</v>
      </c>
      <c r="H333" s="147">
        <f>1321.211*0.18</f>
        <v>237.81798000000001</v>
      </c>
      <c r="I333" s="148">
        <v>0</v>
      </c>
      <c r="J333" s="148">
        <f>ROUND(I333*H333,2)</f>
        <v>0</v>
      </c>
      <c r="K333" s="145" t="s">
        <v>107</v>
      </c>
      <c r="L333" s="149"/>
      <c r="M333" s="150" t="s">
        <v>1</v>
      </c>
      <c r="N333" s="151" t="s">
        <v>39</v>
      </c>
      <c r="O333" s="118">
        <v>0</v>
      </c>
      <c r="P333" s="118">
        <f>O333*H333</f>
        <v>0</v>
      </c>
      <c r="Q333" s="118">
        <v>0</v>
      </c>
      <c r="R333" s="118">
        <f>Q333*H333</f>
        <v>0</v>
      </c>
      <c r="S333" s="118">
        <v>0</v>
      </c>
      <c r="T333" s="119">
        <f>S333*H333</f>
        <v>0</v>
      </c>
      <c r="W333"/>
      <c r="X333"/>
      <c r="Y333"/>
      <c r="AP333" s="120" t="s">
        <v>171</v>
      </c>
      <c r="AR333" s="120" t="s">
        <v>252</v>
      </c>
      <c r="AS333" s="120" t="s">
        <v>65</v>
      </c>
      <c r="AW333" s="17" t="s">
        <v>101</v>
      </c>
      <c r="BC333" s="121">
        <f>IF(N333="základní",J333,0)</f>
        <v>0</v>
      </c>
      <c r="BD333" s="121">
        <f>IF(N333="snížená",J333,0)</f>
        <v>0</v>
      </c>
      <c r="BE333" s="121">
        <f>IF(N333="zákl. přenesená",J333,0)</f>
        <v>0</v>
      </c>
      <c r="BF333" s="121">
        <f>IF(N333="sníž. přenesená",J333,0)</f>
        <v>0</v>
      </c>
      <c r="BG333" s="121">
        <f>IF(N333="nulová",J333,0)</f>
        <v>0</v>
      </c>
      <c r="BH333" s="17" t="s">
        <v>63</v>
      </c>
      <c r="BI333" s="121">
        <f>ROUND(I333*H333,2)</f>
        <v>0</v>
      </c>
      <c r="BJ333" s="17" t="s">
        <v>108</v>
      </c>
      <c r="BK333" s="120" t="s">
        <v>1263</v>
      </c>
    </row>
    <row r="334" spans="2:63" s="12" customFormat="1" x14ac:dyDescent="0.2">
      <c r="B334" s="125"/>
      <c r="D334" s="126" t="s">
        <v>112</v>
      </c>
      <c r="E334" s="127" t="s">
        <v>1</v>
      </c>
      <c r="F334" s="128" t="s">
        <v>1248</v>
      </c>
      <c r="H334" s="127" t="s">
        <v>1</v>
      </c>
      <c r="L334" s="125"/>
      <c r="M334" s="129"/>
      <c r="T334" s="130"/>
      <c r="W334"/>
      <c r="X334"/>
      <c r="Y334"/>
      <c r="AR334" s="127" t="s">
        <v>112</v>
      </c>
      <c r="AS334" s="127" t="s">
        <v>65</v>
      </c>
      <c r="AT334" s="12" t="s">
        <v>63</v>
      </c>
      <c r="AU334" s="12" t="s">
        <v>30</v>
      </c>
      <c r="AV334" s="12" t="s">
        <v>55</v>
      </c>
      <c r="AW334" s="127" t="s">
        <v>101</v>
      </c>
    </row>
    <row r="335" spans="2:63" s="12" customFormat="1" ht="22.5" x14ac:dyDescent="0.2">
      <c r="B335" s="125"/>
      <c r="D335" s="126" t="s">
        <v>112</v>
      </c>
      <c r="E335" s="127" t="s">
        <v>1</v>
      </c>
      <c r="F335" s="128" t="s">
        <v>1249</v>
      </c>
      <c r="H335" s="127" t="s">
        <v>1</v>
      </c>
      <c r="L335" s="125"/>
      <c r="M335" s="129"/>
      <c r="T335" s="130"/>
      <c r="W335"/>
      <c r="X335"/>
      <c r="Y335"/>
      <c r="AR335" s="127" t="s">
        <v>112</v>
      </c>
      <c r="AS335" s="127" t="s">
        <v>65</v>
      </c>
      <c r="AT335" s="12" t="s">
        <v>63</v>
      </c>
      <c r="AU335" s="12" t="s">
        <v>30</v>
      </c>
      <c r="AV335" s="12" t="s">
        <v>55</v>
      </c>
      <c r="AW335" s="127" t="s">
        <v>101</v>
      </c>
    </row>
    <row r="336" spans="2:63" s="13" customFormat="1" x14ac:dyDescent="0.2">
      <c r="B336" s="131"/>
      <c r="D336" s="126" t="s">
        <v>112</v>
      </c>
      <c r="E336" s="132" t="s">
        <v>1</v>
      </c>
      <c r="F336" s="133" t="s">
        <v>1250</v>
      </c>
      <c r="H336" s="134">
        <v>66.3</v>
      </c>
      <c r="L336" s="131"/>
      <c r="M336" s="135"/>
      <c r="T336" s="136"/>
      <c r="W336"/>
      <c r="X336"/>
      <c r="Y336"/>
      <c r="AR336" s="132" t="s">
        <v>112</v>
      </c>
      <c r="AS336" s="132" t="s">
        <v>65</v>
      </c>
      <c r="AT336" s="13" t="s">
        <v>65</v>
      </c>
      <c r="AU336" s="13" t="s">
        <v>30</v>
      </c>
      <c r="AV336" s="13" t="s">
        <v>55</v>
      </c>
      <c r="AW336" s="132" t="s">
        <v>101</v>
      </c>
    </row>
    <row r="337" spans="2:63" s="13" customFormat="1" x14ac:dyDescent="0.2">
      <c r="B337" s="131"/>
      <c r="D337" s="126" t="s">
        <v>112</v>
      </c>
      <c r="E337" s="132" t="s">
        <v>1</v>
      </c>
      <c r="F337" s="133" t="s">
        <v>1251</v>
      </c>
      <c r="H337" s="134">
        <v>132.875</v>
      </c>
      <c r="L337" s="131"/>
      <c r="M337" s="135"/>
      <c r="T337" s="136"/>
      <c r="W337"/>
      <c r="X337"/>
      <c r="Y337"/>
      <c r="AR337" s="132" t="s">
        <v>112</v>
      </c>
      <c r="AS337" s="132" t="s">
        <v>65</v>
      </c>
      <c r="AT337" s="13" t="s">
        <v>65</v>
      </c>
      <c r="AU337" s="13" t="s">
        <v>30</v>
      </c>
      <c r="AV337" s="13" t="s">
        <v>55</v>
      </c>
      <c r="AW337" s="132" t="s">
        <v>101</v>
      </c>
    </row>
    <row r="338" spans="2:63" s="13" customFormat="1" x14ac:dyDescent="0.2">
      <c r="B338" s="131"/>
      <c r="D338" s="126" t="s">
        <v>112</v>
      </c>
      <c r="E338" s="132" t="s">
        <v>1</v>
      </c>
      <c r="F338" s="133" t="s">
        <v>1252</v>
      </c>
      <c r="H338" s="134">
        <v>26.74</v>
      </c>
      <c r="L338" s="131"/>
      <c r="M338" s="135"/>
      <c r="T338" s="136"/>
      <c r="W338"/>
      <c r="X338"/>
      <c r="Y338"/>
      <c r="AR338" s="132" t="s">
        <v>112</v>
      </c>
      <c r="AS338" s="132" t="s">
        <v>65</v>
      </c>
      <c r="AT338" s="13" t="s">
        <v>65</v>
      </c>
      <c r="AU338" s="13" t="s">
        <v>30</v>
      </c>
      <c r="AV338" s="13" t="s">
        <v>55</v>
      </c>
      <c r="AW338" s="132" t="s">
        <v>101</v>
      </c>
    </row>
    <row r="339" spans="2:63" s="13" customFormat="1" x14ac:dyDescent="0.2">
      <c r="B339" s="131"/>
      <c r="D339" s="126" t="s">
        <v>112</v>
      </c>
      <c r="E339" s="132" t="s">
        <v>1</v>
      </c>
      <c r="F339" s="133" t="s">
        <v>1253</v>
      </c>
      <c r="H339" s="134">
        <v>44.655000000000001</v>
      </c>
      <c r="L339" s="131"/>
      <c r="M339" s="135"/>
      <c r="T339" s="136"/>
      <c r="W339"/>
      <c r="X339"/>
      <c r="Y339"/>
      <c r="AR339" s="132" t="s">
        <v>112</v>
      </c>
      <c r="AS339" s="132" t="s">
        <v>65</v>
      </c>
      <c r="AT339" s="13" t="s">
        <v>65</v>
      </c>
      <c r="AU339" s="13" t="s">
        <v>30</v>
      </c>
      <c r="AV339" s="13" t="s">
        <v>55</v>
      </c>
      <c r="AW339" s="132" t="s">
        <v>101</v>
      </c>
    </row>
    <row r="340" spans="2:63" s="13" customFormat="1" x14ac:dyDescent="0.2">
      <c r="B340" s="131"/>
      <c r="D340" s="126" t="s">
        <v>112</v>
      </c>
      <c r="E340" s="132" t="s">
        <v>1</v>
      </c>
      <c r="F340" s="133" t="s">
        <v>1254</v>
      </c>
      <c r="H340" s="134">
        <v>92.4</v>
      </c>
      <c r="L340" s="131"/>
      <c r="M340" s="135"/>
      <c r="T340" s="136"/>
      <c r="W340"/>
      <c r="X340"/>
      <c r="Y340"/>
      <c r="AR340" s="132" t="s">
        <v>112</v>
      </c>
      <c r="AS340" s="132" t="s">
        <v>65</v>
      </c>
      <c r="AT340" s="13" t="s">
        <v>65</v>
      </c>
      <c r="AU340" s="13" t="s">
        <v>30</v>
      </c>
      <c r="AV340" s="13" t="s">
        <v>55</v>
      </c>
      <c r="AW340" s="132" t="s">
        <v>101</v>
      </c>
    </row>
    <row r="341" spans="2:63" s="13" customFormat="1" x14ac:dyDescent="0.2">
      <c r="B341" s="131"/>
      <c r="D341" s="126" t="s">
        <v>112</v>
      </c>
      <c r="E341" s="132" t="s">
        <v>1</v>
      </c>
      <c r="F341" s="133" t="s">
        <v>1255</v>
      </c>
      <c r="H341" s="134">
        <v>84.24</v>
      </c>
      <c r="L341" s="131"/>
      <c r="M341" s="135"/>
      <c r="T341" s="136"/>
      <c r="W341"/>
      <c r="X341"/>
      <c r="Y341"/>
      <c r="AR341" s="132" t="s">
        <v>112</v>
      </c>
      <c r="AS341" s="132" t="s">
        <v>65</v>
      </c>
      <c r="AT341" s="13" t="s">
        <v>65</v>
      </c>
      <c r="AU341" s="13" t="s">
        <v>30</v>
      </c>
      <c r="AV341" s="13" t="s">
        <v>55</v>
      </c>
      <c r="AW341" s="132" t="s">
        <v>101</v>
      </c>
    </row>
    <row r="342" spans="2:63" s="13" customFormat="1" x14ac:dyDescent="0.2">
      <c r="B342" s="131"/>
      <c r="D342" s="126" t="s">
        <v>112</v>
      </c>
      <c r="E342" s="132" t="s">
        <v>1</v>
      </c>
      <c r="F342" s="133" t="s">
        <v>1256</v>
      </c>
      <c r="H342" s="134">
        <v>83.986000000000004</v>
      </c>
      <c r="L342" s="131"/>
      <c r="M342" s="135"/>
      <c r="T342" s="136"/>
      <c r="W342"/>
      <c r="X342"/>
      <c r="Y342"/>
      <c r="AR342" s="132" t="s">
        <v>112</v>
      </c>
      <c r="AS342" s="132" t="s">
        <v>65</v>
      </c>
      <c r="AT342" s="13" t="s">
        <v>65</v>
      </c>
      <c r="AU342" s="13" t="s">
        <v>30</v>
      </c>
      <c r="AV342" s="13" t="s">
        <v>55</v>
      </c>
      <c r="AW342" s="132" t="s">
        <v>101</v>
      </c>
    </row>
    <row r="343" spans="2:63" s="13" customFormat="1" x14ac:dyDescent="0.2">
      <c r="B343" s="131"/>
      <c r="D343" s="126" t="s">
        <v>112</v>
      </c>
      <c r="E343" s="132" t="s">
        <v>1</v>
      </c>
      <c r="F343" s="133" t="s">
        <v>1257</v>
      </c>
      <c r="H343" s="134">
        <v>34.938000000000002</v>
      </c>
      <c r="L343" s="131"/>
      <c r="M343" s="135"/>
      <c r="T343" s="136"/>
      <c r="W343"/>
      <c r="X343"/>
      <c r="Y343"/>
      <c r="AR343" s="132" t="s">
        <v>112</v>
      </c>
      <c r="AS343" s="132" t="s">
        <v>65</v>
      </c>
      <c r="AT343" s="13" t="s">
        <v>65</v>
      </c>
      <c r="AU343" s="13" t="s">
        <v>30</v>
      </c>
      <c r="AV343" s="13" t="s">
        <v>55</v>
      </c>
      <c r="AW343" s="132" t="s">
        <v>101</v>
      </c>
    </row>
    <row r="344" spans="2:63" s="13" customFormat="1" x14ac:dyDescent="0.2">
      <c r="B344" s="131"/>
      <c r="D344" s="126" t="s">
        <v>112</v>
      </c>
      <c r="E344" s="132" t="s">
        <v>1</v>
      </c>
      <c r="F344" s="133" t="s">
        <v>1258</v>
      </c>
      <c r="H344" s="134">
        <v>167.87200000000001</v>
      </c>
      <c r="L344" s="131"/>
      <c r="M344" s="135"/>
      <c r="T344" s="136"/>
      <c r="W344"/>
      <c r="X344"/>
      <c r="Y344"/>
      <c r="AR344" s="132" t="s">
        <v>112</v>
      </c>
      <c r="AS344" s="132" t="s">
        <v>65</v>
      </c>
      <c r="AT344" s="13" t="s">
        <v>65</v>
      </c>
      <c r="AU344" s="13" t="s">
        <v>30</v>
      </c>
      <c r="AV344" s="13" t="s">
        <v>55</v>
      </c>
      <c r="AW344" s="132" t="s">
        <v>101</v>
      </c>
    </row>
    <row r="345" spans="2:63" s="14" customFormat="1" x14ac:dyDescent="0.2">
      <c r="B345" s="137"/>
      <c r="D345" s="126" t="s">
        <v>112</v>
      </c>
      <c r="E345" s="138" t="s">
        <v>1</v>
      </c>
      <c r="F345" s="139" t="s">
        <v>127</v>
      </c>
      <c r="H345" s="140">
        <v>734.00599999999997</v>
      </c>
      <c r="L345" s="137"/>
      <c r="M345" s="141"/>
      <c r="T345" s="142"/>
      <c r="W345"/>
      <c r="X345"/>
      <c r="Y345"/>
      <c r="AR345" s="138" t="s">
        <v>112</v>
      </c>
      <c r="AS345" s="138" t="s">
        <v>65</v>
      </c>
      <c r="AT345" s="14" t="s">
        <v>108</v>
      </c>
      <c r="AU345" s="14" t="s">
        <v>30</v>
      </c>
      <c r="AV345" s="14" t="s">
        <v>63</v>
      </c>
      <c r="AW345" s="138" t="s">
        <v>101</v>
      </c>
    </row>
    <row r="346" spans="2:63" s="13" customFormat="1" x14ac:dyDescent="0.2">
      <c r="B346" s="131"/>
      <c r="D346" s="126" t="s">
        <v>112</v>
      </c>
      <c r="F346" s="133" t="s">
        <v>1264</v>
      </c>
      <c r="H346" s="134">
        <v>1321.211</v>
      </c>
      <c r="L346" s="131"/>
      <c r="M346" s="135"/>
      <c r="T346" s="136"/>
      <c r="W346"/>
      <c r="X346"/>
      <c r="Y346"/>
      <c r="AR346" s="132" t="s">
        <v>112</v>
      </c>
      <c r="AS346" s="132" t="s">
        <v>65</v>
      </c>
      <c r="AT346" s="13" t="s">
        <v>65</v>
      </c>
      <c r="AU346" s="13" t="s">
        <v>2</v>
      </c>
      <c r="AV346" s="13" t="s">
        <v>63</v>
      </c>
      <c r="AW346" s="132" t="s">
        <v>101</v>
      </c>
    </row>
    <row r="347" spans="2:63" s="13" customFormat="1" x14ac:dyDescent="0.2">
      <c r="B347" s="131"/>
      <c r="D347" s="126"/>
      <c r="F347" s="139" t="s">
        <v>1842</v>
      </c>
      <c r="H347" s="140">
        <f>H346*0.18</f>
        <v>237.81798000000001</v>
      </c>
      <c r="L347" s="131"/>
      <c r="M347" s="135"/>
      <c r="T347" s="136"/>
      <c r="W347"/>
      <c r="X347"/>
      <c r="Y347"/>
      <c r="AR347" s="132"/>
      <c r="AS347" s="132"/>
      <c r="AW347" s="132"/>
    </row>
    <row r="348" spans="2:63" s="1" customFormat="1" ht="66.75" customHeight="1" x14ac:dyDescent="0.2">
      <c r="B348" s="109"/>
      <c r="C348" s="110" t="s">
        <v>325</v>
      </c>
      <c r="D348" s="110" t="s">
        <v>103</v>
      </c>
      <c r="E348" s="111" t="s">
        <v>257</v>
      </c>
      <c r="F348" s="112" t="s">
        <v>258</v>
      </c>
      <c r="G348" s="113" t="s">
        <v>130</v>
      </c>
      <c r="H348" s="114">
        <f>12.387*0.18</f>
        <v>2.22966</v>
      </c>
      <c r="I348" s="115">
        <v>0</v>
      </c>
      <c r="J348" s="115">
        <f>ROUND(I348*H348,2)</f>
        <v>0</v>
      </c>
      <c r="K348" s="112" t="s">
        <v>107</v>
      </c>
      <c r="L348" s="28"/>
      <c r="M348" s="116" t="s">
        <v>1</v>
      </c>
      <c r="N348" s="117" t="s">
        <v>39</v>
      </c>
      <c r="O348" s="118">
        <v>0.435</v>
      </c>
      <c r="P348" s="118">
        <f>O348*H348</f>
        <v>0.96990209999999999</v>
      </c>
      <c r="Q348" s="118">
        <v>0</v>
      </c>
      <c r="R348" s="118">
        <f>Q348*H348</f>
        <v>0</v>
      </c>
      <c r="S348" s="118">
        <v>0</v>
      </c>
      <c r="T348" s="119">
        <f>S348*H348</f>
        <v>0</v>
      </c>
      <c r="W348"/>
      <c r="X348"/>
      <c r="Y348"/>
      <c r="AP348" s="120" t="s">
        <v>108</v>
      </c>
      <c r="AR348" s="120" t="s">
        <v>103</v>
      </c>
      <c r="AS348" s="120" t="s">
        <v>65</v>
      </c>
      <c r="AW348" s="17" t="s">
        <v>101</v>
      </c>
      <c r="BC348" s="121">
        <f>IF(N348="základní",J348,0)</f>
        <v>0</v>
      </c>
      <c r="BD348" s="121">
        <f>IF(N348="snížená",J348,0)</f>
        <v>0</v>
      </c>
      <c r="BE348" s="121">
        <f>IF(N348="zákl. přenesená",J348,0)</f>
        <v>0</v>
      </c>
      <c r="BF348" s="121">
        <f>IF(N348="sníž. přenesená",J348,0)</f>
        <v>0</v>
      </c>
      <c r="BG348" s="121">
        <f>IF(N348="nulová",J348,0)</f>
        <v>0</v>
      </c>
      <c r="BH348" s="17" t="s">
        <v>63</v>
      </c>
      <c r="BI348" s="121">
        <f>ROUND(I348*H348,2)</f>
        <v>0</v>
      </c>
      <c r="BJ348" s="17" t="s">
        <v>108</v>
      </c>
      <c r="BK348" s="120" t="s">
        <v>1265</v>
      </c>
    </row>
    <row r="349" spans="2:63" s="1" customFormat="1" x14ac:dyDescent="0.2">
      <c r="B349" s="28"/>
      <c r="D349" s="122" t="s">
        <v>110</v>
      </c>
      <c r="F349" s="412" t="s">
        <v>260</v>
      </c>
      <c r="L349" s="28"/>
      <c r="M349" s="124"/>
      <c r="T349" s="48"/>
      <c r="W349"/>
      <c r="X349"/>
      <c r="Y349"/>
      <c r="AR349" s="17" t="s">
        <v>110</v>
      </c>
      <c r="AS349" s="17" t="s">
        <v>65</v>
      </c>
    </row>
    <row r="350" spans="2:63" s="12" customFormat="1" ht="22.5" x14ac:dyDescent="0.2">
      <c r="B350" s="125"/>
      <c r="D350" s="126" t="s">
        <v>112</v>
      </c>
      <c r="E350" s="127" t="s">
        <v>1</v>
      </c>
      <c r="F350" s="128" t="s">
        <v>265</v>
      </c>
      <c r="H350" s="127" t="s">
        <v>1</v>
      </c>
      <c r="L350" s="125"/>
      <c r="M350" s="129"/>
      <c r="T350" s="130"/>
      <c r="W350"/>
      <c r="X350"/>
      <c r="Y350"/>
      <c r="AR350" s="127" t="s">
        <v>112</v>
      </c>
      <c r="AS350" s="127" t="s">
        <v>65</v>
      </c>
      <c r="AT350" s="12" t="s">
        <v>63</v>
      </c>
      <c r="AU350" s="12" t="s">
        <v>30</v>
      </c>
      <c r="AV350" s="12" t="s">
        <v>55</v>
      </c>
      <c r="AW350" s="127" t="s">
        <v>101</v>
      </c>
    </row>
    <row r="351" spans="2:63" s="13" customFormat="1" x14ac:dyDescent="0.2">
      <c r="B351" s="131"/>
      <c r="D351" s="126" t="s">
        <v>112</v>
      </c>
      <c r="E351" s="132" t="s">
        <v>1</v>
      </c>
      <c r="F351" s="133" t="s">
        <v>1266</v>
      </c>
      <c r="H351" s="134">
        <v>12.387</v>
      </c>
      <c r="L351" s="131"/>
      <c r="M351" s="135"/>
      <c r="T351" s="136"/>
      <c r="W351"/>
      <c r="X351"/>
      <c r="Y351"/>
      <c r="AR351" s="132" t="s">
        <v>112</v>
      </c>
      <c r="AS351" s="132" t="s">
        <v>65</v>
      </c>
      <c r="AT351" s="13" t="s">
        <v>65</v>
      </c>
      <c r="AU351" s="13" t="s">
        <v>30</v>
      </c>
      <c r="AV351" s="13" t="s">
        <v>63</v>
      </c>
      <c r="AW351" s="132" t="s">
        <v>101</v>
      </c>
    </row>
    <row r="352" spans="2:63" s="13" customFormat="1" x14ac:dyDescent="0.2">
      <c r="B352" s="131"/>
      <c r="D352" s="126"/>
      <c r="E352" s="132"/>
      <c r="F352" s="133" t="s">
        <v>1842</v>
      </c>
      <c r="H352" s="134">
        <f>H351*0.18</f>
        <v>2.22966</v>
      </c>
      <c r="L352" s="131"/>
      <c r="M352" s="135"/>
      <c r="T352" s="136"/>
      <c r="W352"/>
      <c r="X352"/>
      <c r="Y352"/>
      <c r="AR352" s="132"/>
      <c r="AS352" s="132"/>
      <c r="AW352" s="132"/>
    </row>
    <row r="353" spans="2:63" s="1" customFormat="1" ht="16.5" customHeight="1" x14ac:dyDescent="0.2">
      <c r="B353" s="109"/>
      <c r="C353" s="143" t="s">
        <v>329</v>
      </c>
      <c r="D353" s="143" t="s">
        <v>252</v>
      </c>
      <c r="E353" s="144" t="s">
        <v>262</v>
      </c>
      <c r="F353" s="145" t="s">
        <v>263</v>
      </c>
      <c r="G353" s="146" t="s">
        <v>231</v>
      </c>
      <c r="H353" s="147">
        <f>22.302*0.18</f>
        <v>4.0143599999999999</v>
      </c>
      <c r="I353" s="148">
        <v>0</v>
      </c>
      <c r="J353" s="148">
        <f>ROUND(I353*H353,2)</f>
        <v>0</v>
      </c>
      <c r="K353" s="145" t="s">
        <v>107</v>
      </c>
      <c r="L353" s="149"/>
      <c r="M353" s="150" t="s">
        <v>1</v>
      </c>
      <c r="N353" s="151" t="s">
        <v>39</v>
      </c>
      <c r="O353" s="118">
        <v>0</v>
      </c>
      <c r="P353" s="118">
        <f>O353*H353</f>
        <v>0</v>
      </c>
      <c r="Q353" s="118">
        <v>0</v>
      </c>
      <c r="R353" s="118">
        <f>Q353*H353</f>
        <v>0</v>
      </c>
      <c r="S353" s="118">
        <v>0</v>
      </c>
      <c r="T353" s="119">
        <f>S353*H353</f>
        <v>0</v>
      </c>
      <c r="W353"/>
      <c r="X353"/>
      <c r="Y353"/>
      <c r="AP353" s="120" t="s">
        <v>171</v>
      </c>
      <c r="AR353" s="120" t="s">
        <v>252</v>
      </c>
      <c r="AS353" s="120" t="s">
        <v>65</v>
      </c>
      <c r="AW353" s="17" t="s">
        <v>101</v>
      </c>
      <c r="BC353" s="121">
        <f>IF(N353="základní",J353,0)</f>
        <v>0</v>
      </c>
      <c r="BD353" s="121">
        <f>IF(N353="snížená",J353,0)</f>
        <v>0</v>
      </c>
      <c r="BE353" s="121">
        <f>IF(N353="zákl. přenesená",J353,0)</f>
        <v>0</v>
      </c>
      <c r="BF353" s="121">
        <f>IF(N353="sníž. přenesená",J353,0)</f>
        <v>0</v>
      </c>
      <c r="BG353" s="121">
        <f>IF(N353="nulová",J353,0)</f>
        <v>0</v>
      </c>
      <c r="BH353" s="17" t="s">
        <v>63</v>
      </c>
      <c r="BI353" s="121">
        <f>ROUND(I353*H353,2)</f>
        <v>0</v>
      </c>
      <c r="BJ353" s="17" t="s">
        <v>108</v>
      </c>
      <c r="BK353" s="120" t="s">
        <v>1267</v>
      </c>
    </row>
    <row r="354" spans="2:63" s="13" customFormat="1" x14ac:dyDescent="0.2">
      <c r="B354" s="131"/>
      <c r="D354" s="126" t="s">
        <v>112</v>
      </c>
      <c r="F354" s="133" t="s">
        <v>1268</v>
      </c>
      <c r="H354" s="134">
        <v>22.302</v>
      </c>
      <c r="L354" s="131"/>
      <c r="M354" s="135"/>
      <c r="T354" s="136"/>
      <c r="W354"/>
      <c r="X354"/>
      <c r="Y354"/>
      <c r="AR354" s="132" t="s">
        <v>112</v>
      </c>
      <c r="AS354" s="132" t="s">
        <v>65</v>
      </c>
      <c r="AT354" s="13" t="s">
        <v>65</v>
      </c>
      <c r="AU354" s="13" t="s">
        <v>2</v>
      </c>
      <c r="AV354" s="13" t="s">
        <v>63</v>
      </c>
      <c r="AW354" s="132" t="s">
        <v>101</v>
      </c>
    </row>
    <row r="355" spans="2:63" s="13" customFormat="1" x14ac:dyDescent="0.2">
      <c r="B355" s="131"/>
      <c r="D355" s="126"/>
      <c r="F355" s="133" t="s">
        <v>1842</v>
      </c>
      <c r="H355" s="134">
        <f>H354*0.18</f>
        <v>4.0143599999999999</v>
      </c>
      <c r="L355" s="131"/>
      <c r="M355" s="135"/>
      <c r="T355" s="136"/>
      <c r="W355"/>
      <c r="X355"/>
      <c r="Y355"/>
      <c r="AR355" s="132"/>
      <c r="AS355" s="132"/>
      <c r="AW355" s="132"/>
    </row>
    <row r="356" spans="2:63" s="1" customFormat="1" ht="37.9" customHeight="1" x14ac:dyDescent="0.2">
      <c r="B356" s="109"/>
      <c r="C356" s="110" t="s">
        <v>334</v>
      </c>
      <c r="D356" s="110" t="s">
        <v>103</v>
      </c>
      <c r="E356" s="111" t="s">
        <v>1269</v>
      </c>
      <c r="F356" s="112" t="s">
        <v>1270</v>
      </c>
      <c r="G356" s="113" t="s">
        <v>174</v>
      </c>
      <c r="H356" s="114">
        <f>1146.674*0.18</f>
        <v>206.40132</v>
      </c>
      <c r="I356" s="115">
        <v>0</v>
      </c>
      <c r="J356" s="115">
        <f>ROUND(I356*H356,2)</f>
        <v>0</v>
      </c>
      <c r="K356" s="112" t="s">
        <v>107</v>
      </c>
      <c r="L356" s="28"/>
      <c r="M356" s="116" t="s">
        <v>1</v>
      </c>
      <c r="N356" s="117" t="s">
        <v>39</v>
      </c>
      <c r="O356" s="118">
        <v>1.7999999999999999E-2</v>
      </c>
      <c r="P356" s="118">
        <f>O356*H356</f>
        <v>3.7152237599999998</v>
      </c>
      <c r="Q356" s="118">
        <v>0</v>
      </c>
      <c r="R356" s="118">
        <f>Q356*H356</f>
        <v>0</v>
      </c>
      <c r="S356" s="118">
        <v>0</v>
      </c>
      <c r="T356" s="119">
        <f>S356*H356</f>
        <v>0</v>
      </c>
      <c r="W356"/>
      <c r="X356"/>
      <c r="Y356"/>
      <c r="AP356" s="120" t="s">
        <v>108</v>
      </c>
      <c r="AR356" s="120" t="s">
        <v>103</v>
      </c>
      <c r="AS356" s="120" t="s">
        <v>65</v>
      </c>
      <c r="AW356" s="17" t="s">
        <v>101</v>
      </c>
      <c r="BC356" s="121">
        <f>IF(N356="základní",J356,0)</f>
        <v>0</v>
      </c>
      <c r="BD356" s="121">
        <f>IF(N356="snížená",J356,0)</f>
        <v>0</v>
      </c>
      <c r="BE356" s="121">
        <f>IF(N356="zákl. přenesená",J356,0)</f>
        <v>0</v>
      </c>
      <c r="BF356" s="121">
        <f>IF(N356="sníž. přenesená",J356,0)</f>
        <v>0</v>
      </c>
      <c r="BG356" s="121">
        <f>IF(N356="nulová",J356,0)</f>
        <v>0</v>
      </c>
      <c r="BH356" s="17" t="s">
        <v>63</v>
      </c>
      <c r="BI356" s="121">
        <f>ROUND(I356*H356,2)</f>
        <v>0</v>
      </c>
      <c r="BJ356" s="17" t="s">
        <v>108</v>
      </c>
      <c r="BK356" s="120" t="s">
        <v>1271</v>
      </c>
    </row>
    <row r="357" spans="2:63" s="1" customFormat="1" x14ac:dyDescent="0.2">
      <c r="B357" s="28"/>
      <c r="D357" s="122" t="s">
        <v>110</v>
      </c>
      <c r="F357" s="412" t="s">
        <v>1272</v>
      </c>
      <c r="L357" s="28"/>
      <c r="M357" s="124"/>
      <c r="T357" s="48"/>
      <c r="W357"/>
      <c r="X357"/>
      <c r="Y357"/>
      <c r="AR357" s="17" t="s">
        <v>110</v>
      </c>
      <c r="AS357" s="17" t="s">
        <v>65</v>
      </c>
    </row>
    <row r="358" spans="2:63" s="12" customFormat="1" x14ac:dyDescent="0.2">
      <c r="B358" s="125"/>
      <c r="D358" s="126" t="s">
        <v>112</v>
      </c>
      <c r="E358" s="127" t="s">
        <v>1</v>
      </c>
      <c r="F358" s="128" t="s">
        <v>1122</v>
      </c>
      <c r="H358" s="127" t="s">
        <v>1</v>
      </c>
      <c r="L358" s="125"/>
      <c r="M358" s="129"/>
      <c r="T358" s="130"/>
      <c r="W358"/>
      <c r="X358"/>
      <c r="Y358"/>
      <c r="AR358" s="127" t="s">
        <v>112</v>
      </c>
      <c r="AS358" s="127" t="s">
        <v>65</v>
      </c>
      <c r="AT358" s="12" t="s">
        <v>63</v>
      </c>
      <c r="AU358" s="12" t="s">
        <v>30</v>
      </c>
      <c r="AV358" s="12" t="s">
        <v>55</v>
      </c>
      <c r="AW358" s="127" t="s">
        <v>101</v>
      </c>
    </row>
    <row r="359" spans="2:63" s="12" customFormat="1" x14ac:dyDescent="0.2">
      <c r="B359" s="125"/>
      <c r="D359" s="126" t="s">
        <v>112</v>
      </c>
      <c r="E359" s="127" t="s">
        <v>1</v>
      </c>
      <c r="F359" s="128" t="s">
        <v>1273</v>
      </c>
      <c r="H359" s="127" t="s">
        <v>1</v>
      </c>
      <c r="L359" s="125"/>
      <c r="M359" s="129"/>
      <c r="T359" s="130"/>
      <c r="W359"/>
      <c r="X359"/>
      <c r="Y359"/>
      <c r="AR359" s="127" t="s">
        <v>112</v>
      </c>
      <c r="AS359" s="127" t="s">
        <v>65</v>
      </c>
      <c r="AT359" s="12" t="s">
        <v>63</v>
      </c>
      <c r="AU359" s="12" t="s">
        <v>30</v>
      </c>
      <c r="AV359" s="12" t="s">
        <v>55</v>
      </c>
      <c r="AW359" s="127" t="s">
        <v>101</v>
      </c>
    </row>
    <row r="360" spans="2:63" s="13" customFormat="1" x14ac:dyDescent="0.2">
      <c r="B360" s="131"/>
      <c r="D360" s="126" t="s">
        <v>112</v>
      </c>
      <c r="E360" s="132" t="s">
        <v>1</v>
      </c>
      <c r="F360" s="133" t="s">
        <v>1274</v>
      </c>
      <c r="H360" s="134">
        <v>66.3</v>
      </c>
      <c r="L360" s="131"/>
      <c r="M360" s="135"/>
      <c r="T360" s="136"/>
      <c r="W360"/>
      <c r="X360"/>
      <c r="Y360"/>
      <c r="AR360" s="132" t="s">
        <v>112</v>
      </c>
      <c r="AS360" s="132" t="s">
        <v>65</v>
      </c>
      <c r="AT360" s="13" t="s">
        <v>65</v>
      </c>
      <c r="AU360" s="13" t="s">
        <v>30</v>
      </c>
      <c r="AV360" s="13" t="s">
        <v>55</v>
      </c>
      <c r="AW360" s="132" t="s">
        <v>101</v>
      </c>
    </row>
    <row r="361" spans="2:63" s="13" customFormat="1" x14ac:dyDescent="0.2">
      <c r="B361" s="131"/>
      <c r="D361" s="126" t="s">
        <v>112</v>
      </c>
      <c r="E361" s="132" t="s">
        <v>1</v>
      </c>
      <c r="F361" s="133" t="s">
        <v>1275</v>
      </c>
      <c r="H361" s="134">
        <v>265.75</v>
      </c>
      <c r="L361" s="131"/>
      <c r="M361" s="135"/>
      <c r="T361" s="136"/>
      <c r="W361"/>
      <c r="X361"/>
      <c r="Y361"/>
      <c r="AR361" s="132" t="s">
        <v>112</v>
      </c>
      <c r="AS361" s="132" t="s">
        <v>65</v>
      </c>
      <c r="AT361" s="13" t="s">
        <v>65</v>
      </c>
      <c r="AU361" s="13" t="s">
        <v>30</v>
      </c>
      <c r="AV361" s="13" t="s">
        <v>55</v>
      </c>
      <c r="AW361" s="132" t="s">
        <v>101</v>
      </c>
    </row>
    <row r="362" spans="2:63" s="13" customFormat="1" x14ac:dyDescent="0.2">
      <c r="B362" s="131"/>
      <c r="D362" s="126" t="s">
        <v>112</v>
      </c>
      <c r="E362" s="132" t="s">
        <v>1</v>
      </c>
      <c r="F362" s="133" t="s">
        <v>1276</v>
      </c>
      <c r="H362" s="134">
        <v>26.74</v>
      </c>
      <c r="L362" s="131"/>
      <c r="M362" s="135"/>
      <c r="T362" s="136"/>
      <c r="W362"/>
      <c r="X362"/>
      <c r="Y362"/>
      <c r="AR362" s="132" t="s">
        <v>112</v>
      </c>
      <c r="AS362" s="132" t="s">
        <v>65</v>
      </c>
      <c r="AT362" s="13" t="s">
        <v>65</v>
      </c>
      <c r="AU362" s="13" t="s">
        <v>30</v>
      </c>
      <c r="AV362" s="13" t="s">
        <v>55</v>
      </c>
      <c r="AW362" s="132" t="s">
        <v>101</v>
      </c>
    </row>
    <row r="363" spans="2:63" s="13" customFormat="1" x14ac:dyDescent="0.2">
      <c r="B363" s="131"/>
      <c r="D363" s="126" t="s">
        <v>112</v>
      </c>
      <c r="E363" s="132" t="s">
        <v>1</v>
      </c>
      <c r="F363" s="133" t="s">
        <v>1277</v>
      </c>
      <c r="H363" s="134">
        <v>81.19</v>
      </c>
      <c r="L363" s="131"/>
      <c r="M363" s="135"/>
      <c r="T363" s="136"/>
      <c r="W363"/>
      <c r="X363"/>
      <c r="Y363"/>
      <c r="AR363" s="132" t="s">
        <v>112</v>
      </c>
      <c r="AS363" s="132" t="s">
        <v>65</v>
      </c>
      <c r="AT363" s="13" t="s">
        <v>65</v>
      </c>
      <c r="AU363" s="13" t="s">
        <v>30</v>
      </c>
      <c r="AV363" s="13" t="s">
        <v>55</v>
      </c>
      <c r="AW363" s="132" t="s">
        <v>101</v>
      </c>
    </row>
    <row r="364" spans="2:63" s="13" customFormat="1" x14ac:dyDescent="0.2">
      <c r="B364" s="131"/>
      <c r="D364" s="126" t="s">
        <v>112</v>
      </c>
      <c r="E364" s="132" t="s">
        <v>1</v>
      </c>
      <c r="F364" s="133" t="s">
        <v>1278</v>
      </c>
      <c r="H364" s="134">
        <v>132</v>
      </c>
      <c r="L364" s="131"/>
      <c r="M364" s="135"/>
      <c r="T364" s="136"/>
      <c r="W364"/>
      <c r="X364"/>
      <c r="Y364"/>
      <c r="AR364" s="132" t="s">
        <v>112</v>
      </c>
      <c r="AS364" s="132" t="s">
        <v>65</v>
      </c>
      <c r="AT364" s="13" t="s">
        <v>65</v>
      </c>
      <c r="AU364" s="13" t="s">
        <v>30</v>
      </c>
      <c r="AV364" s="13" t="s">
        <v>55</v>
      </c>
      <c r="AW364" s="132" t="s">
        <v>101</v>
      </c>
    </row>
    <row r="365" spans="2:63" s="13" customFormat="1" x14ac:dyDescent="0.2">
      <c r="B365" s="131"/>
      <c r="D365" s="126" t="s">
        <v>112</v>
      </c>
      <c r="E365" s="132" t="s">
        <v>1</v>
      </c>
      <c r="F365" s="133" t="s">
        <v>1279</v>
      </c>
      <c r="H365" s="134">
        <v>168.48</v>
      </c>
      <c r="L365" s="131"/>
      <c r="M365" s="135"/>
      <c r="T365" s="136"/>
      <c r="W365"/>
      <c r="X365"/>
      <c r="Y365"/>
      <c r="AR365" s="132" t="s">
        <v>112</v>
      </c>
      <c r="AS365" s="132" t="s">
        <v>65</v>
      </c>
      <c r="AT365" s="13" t="s">
        <v>65</v>
      </c>
      <c r="AU365" s="13" t="s">
        <v>30</v>
      </c>
      <c r="AV365" s="13" t="s">
        <v>55</v>
      </c>
      <c r="AW365" s="132" t="s">
        <v>101</v>
      </c>
    </row>
    <row r="366" spans="2:63" s="13" customFormat="1" x14ac:dyDescent="0.2">
      <c r="B366" s="131"/>
      <c r="D366" s="126" t="s">
        <v>112</v>
      </c>
      <c r="E366" s="132" t="s">
        <v>1</v>
      </c>
      <c r="F366" s="133" t="s">
        <v>1280</v>
      </c>
      <c r="H366" s="134">
        <v>152.702</v>
      </c>
      <c r="L366" s="131"/>
      <c r="M366" s="135"/>
      <c r="T366" s="136"/>
      <c r="W366"/>
      <c r="X366"/>
      <c r="Y366"/>
      <c r="AR366" s="132" t="s">
        <v>112</v>
      </c>
      <c r="AS366" s="132" t="s">
        <v>65</v>
      </c>
      <c r="AT366" s="13" t="s">
        <v>65</v>
      </c>
      <c r="AU366" s="13" t="s">
        <v>30</v>
      </c>
      <c r="AV366" s="13" t="s">
        <v>55</v>
      </c>
      <c r="AW366" s="132" t="s">
        <v>101</v>
      </c>
    </row>
    <row r="367" spans="2:63" s="13" customFormat="1" x14ac:dyDescent="0.2">
      <c r="B367" s="131"/>
      <c r="D367" s="126" t="s">
        <v>112</v>
      </c>
      <c r="E367" s="132" t="s">
        <v>1</v>
      </c>
      <c r="F367" s="133" t="s">
        <v>1281</v>
      </c>
      <c r="H367" s="134">
        <v>43.671999999999997</v>
      </c>
      <c r="L367" s="131"/>
      <c r="M367" s="135"/>
      <c r="T367" s="136"/>
      <c r="W367"/>
      <c r="X367"/>
      <c r="Y367"/>
      <c r="AR367" s="132" t="s">
        <v>112</v>
      </c>
      <c r="AS367" s="132" t="s">
        <v>65</v>
      </c>
      <c r="AT367" s="13" t="s">
        <v>65</v>
      </c>
      <c r="AU367" s="13" t="s">
        <v>30</v>
      </c>
      <c r="AV367" s="13" t="s">
        <v>55</v>
      </c>
      <c r="AW367" s="132" t="s">
        <v>101</v>
      </c>
    </row>
    <row r="368" spans="2:63" s="13" customFormat="1" x14ac:dyDescent="0.2">
      <c r="B368" s="131"/>
      <c r="D368" s="126" t="s">
        <v>112</v>
      </c>
      <c r="E368" s="132" t="s">
        <v>1</v>
      </c>
      <c r="F368" s="133" t="s">
        <v>1282</v>
      </c>
      <c r="H368" s="134">
        <v>209.84</v>
      </c>
      <c r="L368" s="131"/>
      <c r="M368" s="135"/>
      <c r="T368" s="136"/>
      <c r="W368"/>
      <c r="X368"/>
      <c r="Y368"/>
      <c r="AR368" s="132" t="s">
        <v>112</v>
      </c>
      <c r="AS368" s="132" t="s">
        <v>65</v>
      </c>
      <c r="AT368" s="13" t="s">
        <v>65</v>
      </c>
      <c r="AU368" s="13" t="s">
        <v>30</v>
      </c>
      <c r="AV368" s="13" t="s">
        <v>55</v>
      </c>
      <c r="AW368" s="132" t="s">
        <v>101</v>
      </c>
    </row>
    <row r="369" spans="2:63" s="14" customFormat="1" x14ac:dyDescent="0.2">
      <c r="B369" s="137"/>
      <c r="D369" s="126" t="s">
        <v>112</v>
      </c>
      <c r="E369" s="138" t="s">
        <v>1</v>
      </c>
      <c r="F369" s="139" t="s">
        <v>127</v>
      </c>
      <c r="H369" s="140">
        <v>1146.674</v>
      </c>
      <c r="L369" s="137"/>
      <c r="M369" s="141"/>
      <c r="T369" s="142"/>
      <c r="W369"/>
      <c r="X369"/>
      <c r="Y369"/>
      <c r="AR369" s="138" t="s">
        <v>112</v>
      </c>
      <c r="AS369" s="138" t="s">
        <v>65</v>
      </c>
      <c r="AT369" s="14" t="s">
        <v>108</v>
      </c>
      <c r="AU369" s="14" t="s">
        <v>30</v>
      </c>
      <c r="AV369" s="14" t="s">
        <v>63</v>
      </c>
      <c r="AW369" s="138" t="s">
        <v>101</v>
      </c>
    </row>
    <row r="370" spans="2:63" s="14" customFormat="1" x14ac:dyDescent="0.2">
      <c r="B370" s="137"/>
      <c r="D370" s="126"/>
      <c r="E370" s="138"/>
      <c r="F370" s="139" t="s">
        <v>1842</v>
      </c>
      <c r="H370" s="140">
        <f>H369*0.18</f>
        <v>206.40132</v>
      </c>
      <c r="L370" s="137"/>
      <c r="M370" s="141"/>
      <c r="T370" s="142"/>
      <c r="W370"/>
      <c r="X370"/>
      <c r="Y370"/>
      <c r="AR370" s="138"/>
      <c r="AS370" s="138"/>
      <c r="AW370" s="138"/>
    </row>
    <row r="371" spans="2:63" s="11" customFormat="1" ht="22.9" customHeight="1" x14ac:dyDescent="0.2">
      <c r="B371" s="98"/>
      <c r="D371" s="99" t="s">
        <v>54</v>
      </c>
      <c r="E371" s="107" t="s">
        <v>119</v>
      </c>
      <c r="F371" s="107" t="s">
        <v>740</v>
      </c>
      <c r="J371" s="108">
        <f>BI371</f>
        <v>0</v>
      </c>
      <c r="L371" s="98"/>
      <c r="M371" s="102"/>
      <c r="P371" s="103">
        <f>SUM(P372:P373)</f>
        <v>0.35802</v>
      </c>
      <c r="R371" s="103">
        <f>SUM(R372:R373)</f>
        <v>0</v>
      </c>
      <c r="T371" s="104">
        <f>SUM(T372:T373)</f>
        <v>0</v>
      </c>
      <c r="W371"/>
      <c r="X371"/>
      <c r="Y371"/>
      <c r="AP371" s="99" t="s">
        <v>63</v>
      </c>
      <c r="AR371" s="105" t="s">
        <v>54</v>
      </c>
      <c r="AS371" s="105" t="s">
        <v>63</v>
      </c>
      <c r="AW371" s="99" t="s">
        <v>101</v>
      </c>
      <c r="BI371" s="106">
        <f>SUM(BI372:BI373)</f>
        <v>0</v>
      </c>
    </row>
    <row r="372" spans="2:63" s="1" customFormat="1" ht="24.2" customHeight="1" x14ac:dyDescent="0.2">
      <c r="B372" s="109"/>
      <c r="C372" s="110" t="s">
        <v>338</v>
      </c>
      <c r="D372" s="110" t="s">
        <v>103</v>
      </c>
      <c r="E372" s="111" t="s">
        <v>741</v>
      </c>
      <c r="F372" s="112" t="s">
        <v>742</v>
      </c>
      <c r="G372" s="113" t="s">
        <v>106</v>
      </c>
      <c r="H372" s="114">
        <f>23.4*0.18</f>
        <v>4.2119999999999997</v>
      </c>
      <c r="I372" s="115">
        <v>0</v>
      </c>
      <c r="J372" s="115">
        <f>ROUND(I372*H372,2)</f>
        <v>0</v>
      </c>
      <c r="K372" s="112" t="s">
        <v>107</v>
      </c>
      <c r="L372" s="28"/>
      <c r="M372" s="116" t="s">
        <v>1</v>
      </c>
      <c r="N372" s="117" t="s">
        <v>39</v>
      </c>
      <c r="O372" s="118">
        <v>8.5000000000000006E-2</v>
      </c>
      <c r="P372" s="118">
        <f>O372*H372</f>
        <v>0.35802</v>
      </c>
      <c r="Q372" s="118">
        <v>0</v>
      </c>
      <c r="R372" s="118">
        <f>Q372*H372</f>
        <v>0</v>
      </c>
      <c r="S372" s="118">
        <v>0</v>
      </c>
      <c r="T372" s="119">
        <f>S372*H372</f>
        <v>0</v>
      </c>
      <c r="W372"/>
      <c r="X372"/>
      <c r="Y372"/>
      <c r="AP372" s="120" t="s">
        <v>108</v>
      </c>
      <c r="AR372" s="120" t="s">
        <v>103</v>
      </c>
      <c r="AS372" s="120" t="s">
        <v>65</v>
      </c>
      <c r="AW372" s="17" t="s">
        <v>101</v>
      </c>
      <c r="BC372" s="121">
        <f>IF(N372="základní",J372,0)</f>
        <v>0</v>
      </c>
      <c r="BD372" s="121">
        <f>IF(N372="snížená",J372,0)</f>
        <v>0</v>
      </c>
      <c r="BE372" s="121">
        <f>IF(N372="zákl. přenesená",J372,0)</f>
        <v>0</v>
      </c>
      <c r="BF372" s="121">
        <f>IF(N372="sníž. přenesená",J372,0)</f>
        <v>0</v>
      </c>
      <c r="BG372" s="121">
        <f>IF(N372="nulová",J372,0)</f>
        <v>0</v>
      </c>
      <c r="BH372" s="17" t="s">
        <v>63</v>
      </c>
      <c r="BI372" s="121">
        <f>ROUND(I372*H372,2)</f>
        <v>0</v>
      </c>
      <c r="BJ372" s="17" t="s">
        <v>108</v>
      </c>
      <c r="BK372" s="120" t="s">
        <v>1283</v>
      </c>
    </row>
    <row r="373" spans="2:63" s="1" customFormat="1" x14ac:dyDescent="0.2">
      <c r="B373" s="28"/>
      <c r="D373" s="122" t="s">
        <v>110</v>
      </c>
      <c r="F373" s="412" t="s">
        <v>744</v>
      </c>
      <c r="L373" s="28"/>
      <c r="M373" s="124"/>
      <c r="T373" s="48"/>
      <c r="W373"/>
      <c r="X373"/>
      <c r="Y373"/>
      <c r="AR373" s="17" t="s">
        <v>110</v>
      </c>
      <c r="AS373" s="17" t="s">
        <v>65</v>
      </c>
    </row>
    <row r="374" spans="2:63" s="11" customFormat="1" ht="22.9" customHeight="1" x14ac:dyDescent="0.2">
      <c r="B374" s="98"/>
      <c r="D374" s="99" t="s">
        <v>54</v>
      </c>
      <c r="E374" s="107" t="s">
        <v>108</v>
      </c>
      <c r="F374" s="107" t="s">
        <v>274</v>
      </c>
      <c r="J374" s="108">
        <f>BI374</f>
        <v>0</v>
      </c>
      <c r="L374" s="98"/>
      <c r="M374" s="102"/>
      <c r="P374" s="103">
        <f>SUM(P375:P395)</f>
        <v>2.8820744999999999</v>
      </c>
      <c r="R374" s="103">
        <f>SUM(R375:R395)</f>
        <v>2.094093E-2</v>
      </c>
      <c r="T374" s="104">
        <f>SUM(T375:T395)</f>
        <v>0</v>
      </c>
      <c r="W374"/>
      <c r="X374"/>
      <c r="Y374"/>
      <c r="AP374" s="99" t="s">
        <v>63</v>
      </c>
      <c r="AR374" s="105" t="s">
        <v>54</v>
      </c>
      <c r="AS374" s="105" t="s">
        <v>63</v>
      </c>
      <c r="AW374" s="99" t="s">
        <v>101</v>
      </c>
      <c r="BI374" s="106">
        <f>SUM(BI375:BI395)</f>
        <v>0</v>
      </c>
    </row>
    <row r="375" spans="2:63" s="1" customFormat="1" ht="24.2" customHeight="1" x14ac:dyDescent="0.2">
      <c r="B375" s="109"/>
      <c r="C375" s="110" t="s">
        <v>342</v>
      </c>
      <c r="D375" s="110" t="s">
        <v>103</v>
      </c>
      <c r="E375" s="111" t="s">
        <v>745</v>
      </c>
      <c r="F375" s="112" t="s">
        <v>746</v>
      </c>
      <c r="G375" s="113" t="s">
        <v>130</v>
      </c>
      <c r="H375" s="114">
        <f>1.6*0.18</f>
        <v>0.28799999999999998</v>
      </c>
      <c r="I375" s="115">
        <v>0</v>
      </c>
      <c r="J375" s="115">
        <f>ROUND(I375*H375,2)</f>
        <v>0</v>
      </c>
      <c r="K375" s="112" t="s">
        <v>107</v>
      </c>
      <c r="L375" s="28"/>
      <c r="M375" s="116" t="s">
        <v>1</v>
      </c>
      <c r="N375" s="117" t="s">
        <v>39</v>
      </c>
      <c r="O375" s="118">
        <v>1.3029999999999999</v>
      </c>
      <c r="P375" s="118">
        <f>O375*H375</f>
        <v>0.37526399999999993</v>
      </c>
      <c r="Q375" s="118">
        <v>0</v>
      </c>
      <c r="R375" s="118">
        <f>Q375*H375</f>
        <v>0</v>
      </c>
      <c r="S375" s="118">
        <v>0</v>
      </c>
      <c r="T375" s="119">
        <f>S375*H375</f>
        <v>0</v>
      </c>
      <c r="W375"/>
      <c r="X375"/>
      <c r="Y375"/>
      <c r="AP375" s="120" t="s">
        <v>108</v>
      </c>
      <c r="AR375" s="120" t="s">
        <v>103</v>
      </c>
      <c r="AS375" s="120" t="s">
        <v>65</v>
      </c>
      <c r="AW375" s="17" t="s">
        <v>101</v>
      </c>
      <c r="BC375" s="121">
        <f>IF(N375="základní",J375,0)</f>
        <v>0</v>
      </c>
      <c r="BD375" s="121">
        <f>IF(N375="snížená",J375,0)</f>
        <v>0</v>
      </c>
      <c r="BE375" s="121">
        <f>IF(N375="zákl. přenesená",J375,0)</f>
        <v>0</v>
      </c>
      <c r="BF375" s="121">
        <f>IF(N375="sníž. přenesená",J375,0)</f>
        <v>0</v>
      </c>
      <c r="BG375" s="121">
        <f>IF(N375="nulová",J375,0)</f>
        <v>0</v>
      </c>
      <c r="BH375" s="17" t="s">
        <v>63</v>
      </c>
      <c r="BI375" s="121">
        <f>ROUND(I375*H375,2)</f>
        <v>0</v>
      </c>
      <c r="BJ375" s="17" t="s">
        <v>108</v>
      </c>
      <c r="BK375" s="120" t="s">
        <v>1284</v>
      </c>
    </row>
    <row r="376" spans="2:63" s="1" customFormat="1" x14ac:dyDescent="0.2">
      <c r="B376" s="28"/>
      <c r="D376" s="122" t="s">
        <v>110</v>
      </c>
      <c r="F376" s="412" t="s">
        <v>748</v>
      </c>
      <c r="L376" s="28"/>
      <c r="M376" s="124"/>
      <c r="T376" s="48"/>
      <c r="W376"/>
      <c r="X376"/>
      <c r="Y376"/>
      <c r="AR376" s="17" t="s">
        <v>110</v>
      </c>
      <c r="AS376" s="17" t="s">
        <v>65</v>
      </c>
    </row>
    <row r="377" spans="2:63" s="12" customFormat="1" x14ac:dyDescent="0.2">
      <c r="B377" s="125"/>
      <c r="D377" s="126" t="s">
        <v>112</v>
      </c>
      <c r="E377" s="127" t="s">
        <v>1</v>
      </c>
      <c r="F377" s="128" t="s">
        <v>749</v>
      </c>
      <c r="H377" s="127" t="s">
        <v>1</v>
      </c>
      <c r="L377" s="125"/>
      <c r="M377" s="129"/>
      <c r="T377" s="130"/>
      <c r="W377"/>
      <c r="X377"/>
      <c r="Y377"/>
      <c r="AR377" s="127" t="s">
        <v>112</v>
      </c>
      <c r="AS377" s="127" t="s">
        <v>65</v>
      </c>
      <c r="AT377" s="12" t="s">
        <v>63</v>
      </c>
      <c r="AU377" s="12" t="s">
        <v>30</v>
      </c>
      <c r="AV377" s="12" t="s">
        <v>55</v>
      </c>
      <c r="AW377" s="127" t="s">
        <v>101</v>
      </c>
    </row>
    <row r="378" spans="2:63" s="12" customFormat="1" x14ac:dyDescent="0.2">
      <c r="B378" s="125"/>
      <c r="D378" s="126" t="s">
        <v>112</v>
      </c>
      <c r="E378" s="127" t="s">
        <v>1</v>
      </c>
      <c r="F378" s="128" t="s">
        <v>750</v>
      </c>
      <c r="H378" s="127" t="s">
        <v>1</v>
      </c>
      <c r="L378" s="125"/>
      <c r="M378" s="129"/>
      <c r="T378" s="130"/>
      <c r="W378"/>
      <c r="X378"/>
      <c r="Y378"/>
      <c r="AR378" s="127" t="s">
        <v>112</v>
      </c>
      <c r="AS378" s="127" t="s">
        <v>65</v>
      </c>
      <c r="AT378" s="12" t="s">
        <v>63</v>
      </c>
      <c r="AU378" s="12" t="s">
        <v>30</v>
      </c>
      <c r="AV378" s="12" t="s">
        <v>55</v>
      </c>
      <c r="AW378" s="127" t="s">
        <v>101</v>
      </c>
    </row>
    <row r="379" spans="2:63" s="13" customFormat="1" x14ac:dyDescent="0.2">
      <c r="B379" s="131"/>
      <c r="D379" s="126" t="s">
        <v>112</v>
      </c>
      <c r="E379" s="132" t="s">
        <v>1</v>
      </c>
      <c r="F379" s="133" t="s">
        <v>1868</v>
      </c>
      <c r="H379" s="134">
        <f>1.6*0.18</f>
        <v>0.28799999999999998</v>
      </c>
      <c r="L379" s="131"/>
      <c r="M379" s="135"/>
      <c r="T379" s="136"/>
      <c r="W379"/>
      <c r="X379"/>
      <c r="Y379"/>
      <c r="AR379" s="132" t="s">
        <v>112</v>
      </c>
      <c r="AS379" s="132" t="s">
        <v>65</v>
      </c>
      <c r="AT379" s="13" t="s">
        <v>65</v>
      </c>
      <c r="AU379" s="13" t="s">
        <v>30</v>
      </c>
      <c r="AV379" s="13" t="s">
        <v>63</v>
      </c>
      <c r="AW379" s="132" t="s">
        <v>101</v>
      </c>
    </row>
    <row r="380" spans="2:63" s="1" customFormat="1" ht="33" customHeight="1" x14ac:dyDescent="0.2">
      <c r="B380" s="109"/>
      <c r="C380" s="110" t="s">
        <v>346</v>
      </c>
      <c r="D380" s="110" t="s">
        <v>103</v>
      </c>
      <c r="E380" s="111" t="s">
        <v>276</v>
      </c>
      <c r="F380" s="112" t="s">
        <v>277</v>
      </c>
      <c r="G380" s="113" t="s">
        <v>130</v>
      </c>
      <c r="H380" s="114">
        <f>2.34*0.18</f>
        <v>0.42119999999999996</v>
      </c>
      <c r="I380" s="115">
        <v>0</v>
      </c>
      <c r="J380" s="115">
        <f>ROUND(I380*H380,2)</f>
        <v>0</v>
      </c>
      <c r="K380" s="112" t="s">
        <v>107</v>
      </c>
      <c r="L380" s="28"/>
      <c r="M380" s="116" t="s">
        <v>1</v>
      </c>
      <c r="N380" s="117" t="s">
        <v>39</v>
      </c>
      <c r="O380" s="118">
        <v>1.6950000000000001</v>
      </c>
      <c r="P380" s="118">
        <f>O380*H380</f>
        <v>0.71393399999999996</v>
      </c>
      <c r="Q380" s="118">
        <v>0</v>
      </c>
      <c r="R380" s="118">
        <f>Q380*H380</f>
        <v>0</v>
      </c>
      <c r="S380" s="118">
        <v>0</v>
      </c>
      <c r="T380" s="119">
        <f>S380*H380</f>
        <v>0</v>
      </c>
      <c r="W380"/>
      <c r="X380"/>
      <c r="Y380"/>
      <c r="AP380" s="120" t="s">
        <v>108</v>
      </c>
      <c r="AR380" s="120" t="s">
        <v>103</v>
      </c>
      <c r="AS380" s="120" t="s">
        <v>65</v>
      </c>
      <c r="AW380" s="17" t="s">
        <v>101</v>
      </c>
      <c r="BC380" s="121">
        <f>IF(N380="základní",J380,0)</f>
        <v>0</v>
      </c>
      <c r="BD380" s="121">
        <f>IF(N380="snížená",J380,0)</f>
        <v>0</v>
      </c>
      <c r="BE380" s="121">
        <f>IF(N380="zákl. přenesená",J380,0)</f>
        <v>0</v>
      </c>
      <c r="BF380" s="121">
        <f>IF(N380="sníž. přenesená",J380,0)</f>
        <v>0</v>
      </c>
      <c r="BG380" s="121">
        <f>IF(N380="nulová",J380,0)</f>
        <v>0</v>
      </c>
      <c r="BH380" s="17" t="s">
        <v>63</v>
      </c>
      <c r="BI380" s="121">
        <f>ROUND(I380*H380,2)</f>
        <v>0</v>
      </c>
      <c r="BJ380" s="17" t="s">
        <v>108</v>
      </c>
      <c r="BK380" s="120" t="s">
        <v>1285</v>
      </c>
    </row>
    <row r="381" spans="2:63" s="1" customFormat="1" x14ac:dyDescent="0.2">
      <c r="B381" s="28"/>
      <c r="D381" s="122" t="s">
        <v>110</v>
      </c>
      <c r="F381" s="412" t="s">
        <v>279</v>
      </c>
      <c r="L381" s="28"/>
      <c r="M381" s="124"/>
      <c r="T381" s="48"/>
      <c r="W381"/>
      <c r="X381"/>
      <c r="Y381"/>
      <c r="AR381" s="17" t="s">
        <v>110</v>
      </c>
      <c r="AS381" s="17" t="s">
        <v>65</v>
      </c>
    </row>
    <row r="382" spans="2:63" s="12" customFormat="1" x14ac:dyDescent="0.2">
      <c r="B382" s="125"/>
      <c r="D382" s="126" t="s">
        <v>112</v>
      </c>
      <c r="E382" s="127" t="s">
        <v>1</v>
      </c>
      <c r="F382" s="128" t="s">
        <v>280</v>
      </c>
      <c r="H382" s="127" t="s">
        <v>1</v>
      </c>
      <c r="L382" s="125"/>
      <c r="M382" s="129"/>
      <c r="T382" s="130"/>
      <c r="W382"/>
      <c r="X382"/>
      <c r="Y382"/>
      <c r="AR382" s="127" t="s">
        <v>112</v>
      </c>
      <c r="AS382" s="127" t="s">
        <v>65</v>
      </c>
      <c r="AT382" s="12" t="s">
        <v>63</v>
      </c>
      <c r="AU382" s="12" t="s">
        <v>30</v>
      </c>
      <c r="AV382" s="12" t="s">
        <v>55</v>
      </c>
      <c r="AW382" s="127" t="s">
        <v>101</v>
      </c>
    </row>
    <row r="383" spans="2:63" s="13" customFormat="1" x14ac:dyDescent="0.2">
      <c r="B383" s="131"/>
      <c r="D383" s="126" t="s">
        <v>112</v>
      </c>
      <c r="E383" s="132" t="s">
        <v>1</v>
      </c>
      <c r="F383" s="133" t="s">
        <v>1869</v>
      </c>
      <c r="H383" s="134">
        <f>2.34*0.18</f>
        <v>0.42119999999999996</v>
      </c>
      <c r="L383" s="131"/>
      <c r="M383" s="135"/>
      <c r="T383" s="136"/>
      <c r="W383"/>
      <c r="X383"/>
      <c r="Y383"/>
      <c r="AR383" s="132" t="s">
        <v>112</v>
      </c>
      <c r="AS383" s="132" t="s">
        <v>65</v>
      </c>
      <c r="AT383" s="13" t="s">
        <v>65</v>
      </c>
      <c r="AU383" s="13" t="s">
        <v>30</v>
      </c>
      <c r="AV383" s="13" t="s">
        <v>63</v>
      </c>
      <c r="AW383" s="132" t="s">
        <v>101</v>
      </c>
    </row>
    <row r="384" spans="2:63" s="1" customFormat="1" ht="49.15" customHeight="1" x14ac:dyDescent="0.2">
      <c r="B384" s="109"/>
      <c r="C384" s="110" t="s">
        <v>351</v>
      </c>
      <c r="D384" s="110" t="s">
        <v>103</v>
      </c>
      <c r="E384" s="111" t="s">
        <v>768</v>
      </c>
      <c r="F384" s="112" t="s">
        <v>769</v>
      </c>
      <c r="G384" s="113" t="s">
        <v>130</v>
      </c>
      <c r="H384" s="114">
        <f>0.675*0.18</f>
        <v>0.1215</v>
      </c>
      <c r="I384" s="115">
        <v>0</v>
      </c>
      <c r="J384" s="115">
        <f>ROUND(I384*H384,2)</f>
        <v>0</v>
      </c>
      <c r="K384" s="112" t="s">
        <v>107</v>
      </c>
      <c r="L384" s="28"/>
      <c r="M384" s="116" t="s">
        <v>1</v>
      </c>
      <c r="N384" s="117" t="s">
        <v>39</v>
      </c>
      <c r="O384" s="118">
        <v>1.4650000000000001</v>
      </c>
      <c r="P384" s="118">
        <f>O384*H384</f>
        <v>0.1779975</v>
      </c>
      <c r="Q384" s="118">
        <v>0</v>
      </c>
      <c r="R384" s="118">
        <f>Q384*H384</f>
        <v>0</v>
      </c>
      <c r="S384" s="118">
        <v>0</v>
      </c>
      <c r="T384" s="119">
        <f>S384*H384</f>
        <v>0</v>
      </c>
      <c r="W384"/>
      <c r="X384"/>
      <c r="Y384"/>
      <c r="AP384" s="120" t="s">
        <v>108</v>
      </c>
      <c r="AR384" s="120" t="s">
        <v>103</v>
      </c>
      <c r="AS384" s="120" t="s">
        <v>65</v>
      </c>
      <c r="AW384" s="17" t="s">
        <v>101</v>
      </c>
      <c r="BC384" s="121">
        <f>IF(N384="základní",J384,0)</f>
        <v>0</v>
      </c>
      <c r="BD384" s="121">
        <f>IF(N384="snížená",J384,0)</f>
        <v>0</v>
      </c>
      <c r="BE384" s="121">
        <f>IF(N384="zákl. přenesená",J384,0)</f>
        <v>0</v>
      </c>
      <c r="BF384" s="121">
        <f>IF(N384="sníž. přenesená",J384,0)</f>
        <v>0</v>
      </c>
      <c r="BG384" s="121">
        <f>IF(N384="nulová",J384,0)</f>
        <v>0</v>
      </c>
      <c r="BH384" s="17" t="s">
        <v>63</v>
      </c>
      <c r="BI384" s="121">
        <f>ROUND(I384*H384,2)</f>
        <v>0</v>
      </c>
      <c r="BJ384" s="17" t="s">
        <v>108</v>
      </c>
      <c r="BK384" s="120" t="s">
        <v>1287</v>
      </c>
    </row>
    <row r="385" spans="2:63" s="1" customFormat="1" x14ac:dyDescent="0.2">
      <c r="B385" s="28"/>
      <c r="D385" s="122" t="s">
        <v>110</v>
      </c>
      <c r="F385" s="412" t="s">
        <v>771</v>
      </c>
      <c r="L385" s="28"/>
      <c r="M385" s="124"/>
      <c r="T385" s="48"/>
      <c r="W385"/>
      <c r="X385"/>
      <c r="Y385"/>
      <c r="AR385" s="17" t="s">
        <v>110</v>
      </c>
      <c r="AS385" s="17" t="s">
        <v>65</v>
      </c>
    </row>
    <row r="386" spans="2:63" s="12" customFormat="1" x14ac:dyDescent="0.2">
      <c r="B386" s="125"/>
      <c r="D386" s="126" t="s">
        <v>112</v>
      </c>
      <c r="E386" s="127" t="s">
        <v>1</v>
      </c>
      <c r="F386" s="128" t="s">
        <v>772</v>
      </c>
      <c r="H386" s="127" t="s">
        <v>1</v>
      </c>
      <c r="L386" s="125"/>
      <c r="M386" s="129"/>
      <c r="T386" s="130"/>
      <c r="W386"/>
      <c r="X386"/>
      <c r="Y386"/>
      <c r="AR386" s="127" t="s">
        <v>112</v>
      </c>
      <c r="AS386" s="127" t="s">
        <v>65</v>
      </c>
      <c r="AT386" s="12" t="s">
        <v>63</v>
      </c>
      <c r="AU386" s="12" t="s">
        <v>30</v>
      </c>
      <c r="AV386" s="12" t="s">
        <v>55</v>
      </c>
      <c r="AW386" s="127" t="s">
        <v>101</v>
      </c>
    </row>
    <row r="387" spans="2:63" s="13" customFormat="1" x14ac:dyDescent="0.2">
      <c r="B387" s="131"/>
      <c r="D387" s="126" t="s">
        <v>112</v>
      </c>
      <c r="E387" s="132" t="s">
        <v>1</v>
      </c>
      <c r="F387" s="133" t="s">
        <v>1870</v>
      </c>
      <c r="H387" s="134">
        <f>0.675*0.18</f>
        <v>0.1215</v>
      </c>
      <c r="L387" s="131"/>
      <c r="M387" s="135"/>
      <c r="T387" s="136"/>
      <c r="W387"/>
      <c r="X387"/>
      <c r="Y387"/>
      <c r="AR387" s="132" t="s">
        <v>112</v>
      </c>
      <c r="AS387" s="132" t="s">
        <v>65</v>
      </c>
      <c r="AT387" s="13" t="s">
        <v>65</v>
      </c>
      <c r="AU387" s="13" t="s">
        <v>30</v>
      </c>
      <c r="AV387" s="13" t="s">
        <v>63</v>
      </c>
      <c r="AW387" s="132" t="s">
        <v>101</v>
      </c>
    </row>
    <row r="388" spans="2:63" s="1" customFormat="1" ht="37.9" customHeight="1" x14ac:dyDescent="0.2">
      <c r="B388" s="109"/>
      <c r="C388" s="110" t="s">
        <v>355</v>
      </c>
      <c r="D388" s="110" t="s">
        <v>103</v>
      </c>
      <c r="E388" s="111" t="s">
        <v>775</v>
      </c>
      <c r="F388" s="112" t="s">
        <v>776</v>
      </c>
      <c r="G388" s="113" t="s">
        <v>174</v>
      </c>
      <c r="H388" s="114">
        <v>1.8</v>
      </c>
      <c r="I388" s="115">
        <v>0</v>
      </c>
      <c r="J388" s="115">
        <f>ROUND(I388*H388,2)</f>
        <v>0</v>
      </c>
      <c r="K388" s="112" t="s">
        <v>107</v>
      </c>
      <c r="L388" s="28"/>
      <c r="M388" s="116" t="s">
        <v>1</v>
      </c>
      <c r="N388" s="117" t="s">
        <v>39</v>
      </c>
      <c r="O388" s="118">
        <v>0.82099999999999995</v>
      </c>
      <c r="P388" s="118">
        <f>O388*H388</f>
        <v>1.4778</v>
      </c>
      <c r="Q388" s="118">
        <v>6.3200000000000001E-3</v>
      </c>
      <c r="R388" s="118">
        <f>Q388*H388</f>
        <v>1.1376000000000001E-2</v>
      </c>
      <c r="S388" s="118">
        <v>0</v>
      </c>
      <c r="T388" s="119">
        <f>S388*H388</f>
        <v>0</v>
      </c>
      <c r="W388"/>
      <c r="X388"/>
      <c r="Y388"/>
      <c r="AP388" s="120" t="s">
        <v>108</v>
      </c>
      <c r="AR388" s="120" t="s">
        <v>103</v>
      </c>
      <c r="AS388" s="120" t="s">
        <v>65</v>
      </c>
      <c r="AW388" s="17" t="s">
        <v>101</v>
      </c>
      <c r="BC388" s="121">
        <f>IF(N388="základní",J388,0)</f>
        <v>0</v>
      </c>
      <c r="BD388" s="121">
        <f>IF(N388="snížená",J388,0)</f>
        <v>0</v>
      </c>
      <c r="BE388" s="121">
        <f>IF(N388="zákl. přenesená",J388,0)</f>
        <v>0</v>
      </c>
      <c r="BF388" s="121">
        <f>IF(N388="sníž. přenesená",J388,0)</f>
        <v>0</v>
      </c>
      <c r="BG388" s="121">
        <f>IF(N388="nulová",J388,0)</f>
        <v>0</v>
      </c>
      <c r="BH388" s="17" t="s">
        <v>63</v>
      </c>
      <c r="BI388" s="121">
        <f>ROUND(I388*H388,2)</f>
        <v>0</v>
      </c>
      <c r="BJ388" s="17" t="s">
        <v>108</v>
      </c>
      <c r="BK388" s="120" t="s">
        <v>1289</v>
      </c>
    </row>
    <row r="389" spans="2:63" s="1" customFormat="1" x14ac:dyDescent="0.2">
      <c r="B389" s="28"/>
      <c r="D389" s="122" t="s">
        <v>110</v>
      </c>
      <c r="F389" s="412" t="s">
        <v>778</v>
      </c>
      <c r="L389" s="28"/>
      <c r="M389" s="124"/>
      <c r="T389" s="48"/>
      <c r="W389"/>
      <c r="X389"/>
      <c r="Y389"/>
      <c r="AR389" s="17" t="s">
        <v>110</v>
      </c>
      <c r="AS389" s="17" t="s">
        <v>65</v>
      </c>
    </row>
    <row r="390" spans="2:63" s="12" customFormat="1" x14ac:dyDescent="0.2">
      <c r="B390" s="125"/>
      <c r="D390" s="126" t="s">
        <v>112</v>
      </c>
      <c r="E390" s="127" t="s">
        <v>1</v>
      </c>
      <c r="F390" s="128" t="s">
        <v>779</v>
      </c>
      <c r="H390" s="127" t="s">
        <v>1</v>
      </c>
      <c r="L390" s="125"/>
      <c r="M390" s="129"/>
      <c r="T390" s="130"/>
      <c r="W390"/>
      <c r="X390"/>
      <c r="Y390"/>
      <c r="AR390" s="127" t="s">
        <v>112</v>
      </c>
      <c r="AS390" s="127" t="s">
        <v>65</v>
      </c>
      <c r="AT390" s="12" t="s">
        <v>63</v>
      </c>
      <c r="AU390" s="12" t="s">
        <v>30</v>
      </c>
      <c r="AV390" s="12" t="s">
        <v>55</v>
      </c>
      <c r="AW390" s="127" t="s">
        <v>101</v>
      </c>
    </row>
    <row r="391" spans="2:63" s="13" customFormat="1" x14ac:dyDescent="0.2">
      <c r="B391" s="131"/>
      <c r="D391" s="126" t="s">
        <v>112</v>
      </c>
      <c r="E391" s="132" t="s">
        <v>1</v>
      </c>
      <c r="F391" s="133" t="s">
        <v>1871</v>
      </c>
      <c r="H391" s="134">
        <v>1.8</v>
      </c>
      <c r="L391" s="131"/>
      <c r="M391" s="135"/>
      <c r="T391" s="136"/>
      <c r="W391"/>
      <c r="X391"/>
      <c r="Y391"/>
      <c r="AR391" s="132" t="s">
        <v>112</v>
      </c>
      <c r="AS391" s="132" t="s">
        <v>65</v>
      </c>
      <c r="AT391" s="13" t="s">
        <v>65</v>
      </c>
      <c r="AU391" s="13" t="s">
        <v>30</v>
      </c>
      <c r="AV391" s="13" t="s">
        <v>63</v>
      </c>
      <c r="AW391" s="132" t="s">
        <v>101</v>
      </c>
    </row>
    <row r="392" spans="2:63" s="1" customFormat="1" ht="24.2" customHeight="1" x14ac:dyDescent="0.2">
      <c r="B392" s="109"/>
      <c r="C392" s="110" t="s">
        <v>359</v>
      </c>
      <c r="D392" s="110" t="s">
        <v>103</v>
      </c>
      <c r="E392" s="111" t="s">
        <v>786</v>
      </c>
      <c r="F392" s="112" t="s">
        <v>787</v>
      </c>
      <c r="G392" s="113" t="s">
        <v>231</v>
      </c>
      <c r="H392" s="114">
        <v>8.9999999999999993E-3</v>
      </c>
      <c r="I392" s="115">
        <v>0</v>
      </c>
      <c r="J392" s="115">
        <f>ROUND(I392*H392,2)</f>
        <v>0</v>
      </c>
      <c r="K392" s="112" t="s">
        <v>107</v>
      </c>
      <c r="L392" s="28"/>
      <c r="M392" s="116" t="s">
        <v>1</v>
      </c>
      <c r="N392" s="117" t="s">
        <v>39</v>
      </c>
      <c r="O392" s="118">
        <v>15.231</v>
      </c>
      <c r="P392" s="118">
        <f>O392*H392</f>
        <v>0.13707899999999998</v>
      </c>
      <c r="Q392" s="118">
        <v>1.06277</v>
      </c>
      <c r="R392" s="118">
        <f>Q392*H392</f>
        <v>9.5649299999999993E-3</v>
      </c>
      <c r="S392" s="118">
        <v>0</v>
      </c>
      <c r="T392" s="119">
        <f>S392*H392</f>
        <v>0</v>
      </c>
      <c r="W392"/>
      <c r="X392"/>
      <c r="Y392"/>
      <c r="AP392" s="120" t="s">
        <v>108</v>
      </c>
      <c r="AR392" s="120" t="s">
        <v>103</v>
      </c>
      <c r="AS392" s="120" t="s">
        <v>65</v>
      </c>
      <c r="AW392" s="17" t="s">
        <v>101</v>
      </c>
      <c r="BC392" s="121">
        <f>IF(N392="základní",J392,0)</f>
        <v>0</v>
      </c>
      <c r="BD392" s="121">
        <f>IF(N392="snížená",J392,0)</f>
        <v>0</v>
      </c>
      <c r="BE392" s="121">
        <f>IF(N392="zákl. přenesená",J392,0)</f>
        <v>0</v>
      </c>
      <c r="BF392" s="121">
        <f>IF(N392="sníž. přenesená",J392,0)</f>
        <v>0</v>
      </c>
      <c r="BG392" s="121">
        <f>IF(N392="nulová",J392,0)</f>
        <v>0</v>
      </c>
      <c r="BH392" s="17" t="s">
        <v>63</v>
      </c>
      <c r="BI392" s="121">
        <f>ROUND(I392*H392,2)</f>
        <v>0</v>
      </c>
      <c r="BJ392" s="17" t="s">
        <v>108</v>
      </c>
      <c r="BK392" s="120" t="s">
        <v>1290</v>
      </c>
    </row>
    <row r="393" spans="2:63" s="1" customFormat="1" x14ac:dyDescent="0.2">
      <c r="B393" s="28"/>
      <c r="D393" s="122" t="s">
        <v>110</v>
      </c>
      <c r="F393" s="412" t="s">
        <v>789</v>
      </c>
      <c r="L393" s="28"/>
      <c r="M393" s="124"/>
      <c r="T393" s="48"/>
      <c r="W393"/>
      <c r="X393"/>
      <c r="Y393"/>
      <c r="AR393" s="17" t="s">
        <v>110</v>
      </c>
      <c r="AS393" s="17" t="s">
        <v>65</v>
      </c>
    </row>
    <row r="394" spans="2:63" s="12" customFormat="1" x14ac:dyDescent="0.2">
      <c r="B394" s="125"/>
      <c r="D394" s="126" t="s">
        <v>112</v>
      </c>
      <c r="E394" s="127" t="s">
        <v>1</v>
      </c>
      <c r="F394" s="128" t="s">
        <v>790</v>
      </c>
      <c r="H394" s="127" t="s">
        <v>1</v>
      </c>
      <c r="L394" s="125"/>
      <c r="M394" s="129"/>
      <c r="T394" s="130"/>
      <c r="W394"/>
      <c r="X394"/>
      <c r="Y394"/>
      <c r="AR394" s="127" t="s">
        <v>112</v>
      </c>
      <c r="AS394" s="127" t="s">
        <v>65</v>
      </c>
      <c r="AT394" s="12" t="s">
        <v>63</v>
      </c>
      <c r="AU394" s="12" t="s">
        <v>30</v>
      </c>
      <c r="AV394" s="12" t="s">
        <v>55</v>
      </c>
      <c r="AW394" s="127" t="s">
        <v>101</v>
      </c>
    </row>
    <row r="395" spans="2:63" s="13" customFormat="1" x14ac:dyDescent="0.2">
      <c r="B395" s="131"/>
      <c r="D395" s="126" t="s">
        <v>112</v>
      </c>
      <c r="E395" s="132" t="s">
        <v>1</v>
      </c>
      <c r="F395" s="133" t="s">
        <v>1291</v>
      </c>
      <c r="H395" s="134">
        <v>8.9999999999999993E-3</v>
      </c>
      <c r="L395" s="131"/>
      <c r="M395" s="135"/>
      <c r="T395" s="136"/>
      <c r="W395"/>
      <c r="X395"/>
      <c r="Y395"/>
      <c r="AR395" s="132" t="s">
        <v>112</v>
      </c>
      <c r="AS395" s="132" t="s">
        <v>65</v>
      </c>
      <c r="AT395" s="13" t="s">
        <v>65</v>
      </c>
      <c r="AU395" s="13" t="s">
        <v>30</v>
      </c>
      <c r="AV395" s="13" t="s">
        <v>63</v>
      </c>
      <c r="AW395" s="132" t="s">
        <v>101</v>
      </c>
    </row>
    <row r="396" spans="2:63" s="11" customFormat="1" ht="22.9" customHeight="1" x14ac:dyDescent="0.2">
      <c r="B396" s="98"/>
      <c r="D396" s="99" t="s">
        <v>54</v>
      </c>
      <c r="E396" s="107" t="s">
        <v>171</v>
      </c>
      <c r="F396" s="107" t="s">
        <v>306</v>
      </c>
      <c r="J396" s="108">
        <f>BI396</f>
        <v>0</v>
      </c>
      <c r="L396" s="98"/>
      <c r="M396" s="102"/>
      <c r="P396" s="103">
        <f>SUM(P397:P434)</f>
        <v>12.604011999999999</v>
      </c>
      <c r="R396" s="103">
        <f>SUM(R397:R434)</f>
        <v>7.0842870851999997</v>
      </c>
      <c r="T396" s="104">
        <f>SUM(T397:T434)</f>
        <v>0</v>
      </c>
      <c r="W396"/>
      <c r="X396"/>
      <c r="Y396"/>
      <c r="AP396" s="99" t="s">
        <v>63</v>
      </c>
      <c r="AR396" s="105" t="s">
        <v>54</v>
      </c>
      <c r="AS396" s="105" t="s">
        <v>63</v>
      </c>
      <c r="AW396" s="99" t="s">
        <v>101</v>
      </c>
      <c r="BI396" s="106">
        <f>SUM(BI397:BI434)</f>
        <v>0</v>
      </c>
    </row>
    <row r="397" spans="2:63" s="1" customFormat="1" ht="33" customHeight="1" x14ac:dyDescent="0.2">
      <c r="B397" s="109"/>
      <c r="C397" s="110" t="s">
        <v>363</v>
      </c>
      <c r="D397" s="110" t="s">
        <v>103</v>
      </c>
      <c r="E397" s="111" t="s">
        <v>1292</v>
      </c>
      <c r="F397" s="112" t="s">
        <v>1293</v>
      </c>
      <c r="G397" s="113" t="s">
        <v>314</v>
      </c>
      <c r="H397" s="114">
        <v>1</v>
      </c>
      <c r="I397" s="115">
        <v>0</v>
      </c>
      <c r="J397" s="115">
        <f>ROUND(I397*H397,2)</f>
        <v>0</v>
      </c>
      <c r="K397" s="112" t="s">
        <v>107</v>
      </c>
      <c r="L397" s="28"/>
      <c r="M397" s="116" t="s">
        <v>1</v>
      </c>
      <c r="N397" s="117" t="s">
        <v>39</v>
      </c>
      <c r="O397" s="118">
        <v>1.228</v>
      </c>
      <c r="P397" s="118">
        <f>O397*H397</f>
        <v>1.228</v>
      </c>
      <c r="Q397" s="118">
        <v>8.7419999999999998E-2</v>
      </c>
      <c r="R397" s="118">
        <f>Q397*H397</f>
        <v>8.7419999999999998E-2</v>
      </c>
      <c r="S397" s="118">
        <v>0</v>
      </c>
      <c r="T397" s="119">
        <f>S397*H397</f>
        <v>0</v>
      </c>
      <c r="W397"/>
      <c r="X397"/>
      <c r="Y397"/>
      <c r="AP397" s="120" t="s">
        <v>108</v>
      </c>
      <c r="AR397" s="120" t="s">
        <v>103</v>
      </c>
      <c r="AS397" s="120" t="s">
        <v>65</v>
      </c>
      <c r="AW397" s="17" t="s">
        <v>101</v>
      </c>
      <c r="BC397" s="121">
        <f>IF(N397="základní",J397,0)</f>
        <v>0</v>
      </c>
      <c r="BD397" s="121">
        <f>IF(N397="snížená",J397,0)</f>
        <v>0</v>
      </c>
      <c r="BE397" s="121">
        <f>IF(N397="zákl. přenesená",J397,0)</f>
        <v>0</v>
      </c>
      <c r="BF397" s="121">
        <f>IF(N397="sníž. přenesená",J397,0)</f>
        <v>0</v>
      </c>
      <c r="BG397" s="121">
        <f>IF(N397="nulová",J397,0)</f>
        <v>0</v>
      </c>
      <c r="BH397" s="17" t="s">
        <v>63</v>
      </c>
      <c r="BI397" s="121">
        <f>ROUND(I397*H397,2)</f>
        <v>0</v>
      </c>
      <c r="BJ397" s="17" t="s">
        <v>108</v>
      </c>
      <c r="BK397" s="120" t="s">
        <v>1294</v>
      </c>
    </row>
    <row r="398" spans="2:63" s="1" customFormat="1" x14ac:dyDescent="0.2">
      <c r="B398" s="28"/>
      <c r="D398" s="122" t="s">
        <v>110</v>
      </c>
      <c r="F398" s="412" t="s">
        <v>1295</v>
      </c>
      <c r="L398" s="28"/>
      <c r="M398" s="124"/>
      <c r="T398" s="48"/>
      <c r="W398"/>
      <c r="X398"/>
      <c r="Y398"/>
      <c r="AR398" s="17" t="s">
        <v>110</v>
      </c>
      <c r="AS398" s="17" t="s">
        <v>65</v>
      </c>
    </row>
    <row r="399" spans="2:63" s="1" customFormat="1" ht="24.2" customHeight="1" x14ac:dyDescent="0.2">
      <c r="B399" s="109"/>
      <c r="C399" s="143" t="s">
        <v>368</v>
      </c>
      <c r="D399" s="143" t="s">
        <v>252</v>
      </c>
      <c r="E399" s="144" t="s">
        <v>1296</v>
      </c>
      <c r="F399" s="145" t="s">
        <v>1297</v>
      </c>
      <c r="G399" s="146" t="s">
        <v>314</v>
      </c>
      <c r="H399" s="147">
        <v>1</v>
      </c>
      <c r="I399" s="148">
        <v>0</v>
      </c>
      <c r="J399" s="148">
        <f>ROUND(I399*H399,2)</f>
        <v>0</v>
      </c>
      <c r="K399" s="145" t="s">
        <v>107</v>
      </c>
      <c r="L399" s="149"/>
      <c r="M399" s="150" t="s">
        <v>1</v>
      </c>
      <c r="N399" s="151" t="s">
        <v>39</v>
      </c>
      <c r="O399" s="118">
        <v>0</v>
      </c>
      <c r="P399" s="118">
        <f>O399*H399</f>
        <v>0</v>
      </c>
      <c r="Q399" s="118">
        <v>8.1000000000000003E-2</v>
      </c>
      <c r="R399" s="118">
        <f>Q399*H399</f>
        <v>8.1000000000000003E-2</v>
      </c>
      <c r="S399" s="118">
        <v>0</v>
      </c>
      <c r="T399" s="119">
        <f>S399*H399</f>
        <v>0</v>
      </c>
      <c r="W399"/>
      <c r="X399"/>
      <c r="Y399"/>
      <c r="AP399" s="120" t="s">
        <v>171</v>
      </c>
      <c r="AR399" s="120" t="s">
        <v>252</v>
      </c>
      <c r="AS399" s="120" t="s">
        <v>65</v>
      </c>
      <c r="AW399" s="17" t="s">
        <v>101</v>
      </c>
      <c r="BC399" s="121">
        <f>IF(N399="základní",J399,0)</f>
        <v>0</v>
      </c>
      <c r="BD399" s="121">
        <f>IF(N399="snížená",J399,0)</f>
        <v>0</v>
      </c>
      <c r="BE399" s="121">
        <f>IF(N399="zákl. přenesená",J399,0)</f>
        <v>0</v>
      </c>
      <c r="BF399" s="121">
        <f>IF(N399="sníž. přenesená",J399,0)</f>
        <v>0</v>
      </c>
      <c r="BG399" s="121">
        <f>IF(N399="nulová",J399,0)</f>
        <v>0</v>
      </c>
      <c r="BH399" s="17" t="s">
        <v>63</v>
      </c>
      <c r="BI399" s="121">
        <f>ROUND(I399*H399,2)</f>
        <v>0</v>
      </c>
      <c r="BJ399" s="17" t="s">
        <v>108</v>
      </c>
      <c r="BK399" s="120" t="s">
        <v>1298</v>
      </c>
    </row>
    <row r="400" spans="2:63" s="1" customFormat="1" ht="24.2" customHeight="1" x14ac:dyDescent="0.2">
      <c r="B400" s="109"/>
      <c r="C400" s="110" t="s">
        <v>372</v>
      </c>
      <c r="D400" s="110" t="s">
        <v>103</v>
      </c>
      <c r="E400" s="111" t="s">
        <v>792</v>
      </c>
      <c r="F400" s="112" t="s">
        <v>793</v>
      </c>
      <c r="G400" s="113" t="s">
        <v>314</v>
      </c>
      <c r="H400" s="114">
        <v>1</v>
      </c>
      <c r="I400" s="115">
        <v>0</v>
      </c>
      <c r="J400" s="115">
        <f>ROUND(I400*H400,2)</f>
        <v>0</v>
      </c>
      <c r="K400" s="112" t="s">
        <v>107</v>
      </c>
      <c r="L400" s="28"/>
      <c r="M400" s="116" t="s">
        <v>1</v>
      </c>
      <c r="N400" s="117" t="s">
        <v>39</v>
      </c>
      <c r="O400" s="118">
        <v>1.05</v>
      </c>
      <c r="P400" s="118">
        <f>O400*H400</f>
        <v>1.05</v>
      </c>
      <c r="Q400" s="118">
        <v>8.7419999999999998E-2</v>
      </c>
      <c r="R400" s="118">
        <f>Q400*H400</f>
        <v>8.7419999999999998E-2</v>
      </c>
      <c r="S400" s="118">
        <v>0</v>
      </c>
      <c r="T400" s="119">
        <f>S400*H400</f>
        <v>0</v>
      </c>
      <c r="W400"/>
      <c r="X400"/>
      <c r="Y400"/>
      <c r="AP400" s="120" t="s">
        <v>108</v>
      </c>
      <c r="AR400" s="120" t="s">
        <v>103</v>
      </c>
      <c r="AS400" s="120" t="s">
        <v>65</v>
      </c>
      <c r="AW400" s="17" t="s">
        <v>101</v>
      </c>
      <c r="BC400" s="121">
        <f>IF(N400="základní",J400,0)</f>
        <v>0</v>
      </c>
      <c r="BD400" s="121">
        <f>IF(N400="snížená",J400,0)</f>
        <v>0</v>
      </c>
      <c r="BE400" s="121">
        <f>IF(N400="zákl. přenesená",J400,0)</f>
        <v>0</v>
      </c>
      <c r="BF400" s="121">
        <f>IF(N400="sníž. přenesená",J400,0)</f>
        <v>0</v>
      </c>
      <c r="BG400" s="121">
        <f>IF(N400="nulová",J400,0)</f>
        <v>0</v>
      </c>
      <c r="BH400" s="17" t="s">
        <v>63</v>
      </c>
      <c r="BI400" s="121">
        <f>ROUND(I400*H400,2)</f>
        <v>0</v>
      </c>
      <c r="BJ400" s="17" t="s">
        <v>108</v>
      </c>
      <c r="BK400" s="120" t="s">
        <v>1299</v>
      </c>
    </row>
    <row r="401" spans="2:63" s="1" customFormat="1" x14ac:dyDescent="0.2">
      <c r="B401" s="28"/>
      <c r="D401" s="122" t="s">
        <v>110</v>
      </c>
      <c r="F401" s="412" t="s">
        <v>795</v>
      </c>
      <c r="L401" s="28"/>
      <c r="M401" s="124"/>
      <c r="T401" s="48"/>
      <c r="W401"/>
      <c r="X401"/>
      <c r="Y401"/>
      <c r="AR401" s="17" t="s">
        <v>110</v>
      </c>
      <c r="AS401" s="17" t="s">
        <v>65</v>
      </c>
    </row>
    <row r="402" spans="2:63" s="1" customFormat="1" ht="24.2" customHeight="1" x14ac:dyDescent="0.2">
      <c r="B402" s="109"/>
      <c r="C402" s="143" t="s">
        <v>376</v>
      </c>
      <c r="D402" s="143" t="s">
        <v>252</v>
      </c>
      <c r="E402" s="144" t="s">
        <v>796</v>
      </c>
      <c r="F402" s="145" t="s">
        <v>797</v>
      </c>
      <c r="G402" s="146" t="s">
        <v>314</v>
      </c>
      <c r="H402" s="147">
        <v>1</v>
      </c>
      <c r="I402" s="148">
        <v>0</v>
      </c>
      <c r="J402" s="148">
        <f>ROUND(I402*H402,2)</f>
        <v>0</v>
      </c>
      <c r="K402" s="145" t="s">
        <v>107</v>
      </c>
      <c r="L402" s="149"/>
      <c r="M402" s="150" t="s">
        <v>1</v>
      </c>
      <c r="N402" s="151" t="s">
        <v>39</v>
      </c>
      <c r="O402" s="118">
        <v>0</v>
      </c>
      <c r="P402" s="118">
        <f>O402*H402</f>
        <v>0</v>
      </c>
      <c r="Q402" s="118">
        <v>6.8000000000000005E-2</v>
      </c>
      <c r="R402" s="118">
        <f>Q402*H402</f>
        <v>6.8000000000000005E-2</v>
      </c>
      <c r="S402" s="118">
        <v>0</v>
      </c>
      <c r="T402" s="119">
        <f>S402*H402</f>
        <v>0</v>
      </c>
      <c r="W402"/>
      <c r="X402"/>
      <c r="Y402"/>
      <c r="AP402" s="120" t="s">
        <v>171</v>
      </c>
      <c r="AR402" s="120" t="s">
        <v>252</v>
      </c>
      <c r="AS402" s="120" t="s">
        <v>65</v>
      </c>
      <c r="AW402" s="17" t="s">
        <v>101</v>
      </c>
      <c r="BC402" s="121">
        <f>IF(N402="základní",J402,0)</f>
        <v>0</v>
      </c>
      <c r="BD402" s="121">
        <f>IF(N402="snížená",J402,0)</f>
        <v>0</v>
      </c>
      <c r="BE402" s="121">
        <f>IF(N402="zákl. přenesená",J402,0)</f>
        <v>0</v>
      </c>
      <c r="BF402" s="121">
        <f>IF(N402="sníž. přenesená",J402,0)</f>
        <v>0</v>
      </c>
      <c r="BG402" s="121">
        <f>IF(N402="nulová",J402,0)</f>
        <v>0</v>
      </c>
      <c r="BH402" s="17" t="s">
        <v>63</v>
      </c>
      <c r="BI402" s="121">
        <f>ROUND(I402*H402,2)</f>
        <v>0</v>
      </c>
      <c r="BJ402" s="17" t="s">
        <v>108</v>
      </c>
      <c r="BK402" s="120" t="s">
        <v>1300</v>
      </c>
    </row>
    <row r="403" spans="2:63" s="1" customFormat="1" ht="24.2" customHeight="1" x14ac:dyDescent="0.2">
      <c r="B403" s="109"/>
      <c r="C403" s="143" t="s">
        <v>380</v>
      </c>
      <c r="D403" s="143" t="s">
        <v>252</v>
      </c>
      <c r="E403" s="144" t="s">
        <v>799</v>
      </c>
      <c r="F403" s="145" t="s">
        <v>800</v>
      </c>
      <c r="G403" s="146" t="s">
        <v>314</v>
      </c>
      <c r="H403" s="147">
        <v>1</v>
      </c>
      <c r="I403" s="148">
        <v>0</v>
      </c>
      <c r="J403" s="148">
        <f>ROUND(I403*H403,2)</f>
        <v>0</v>
      </c>
      <c r="K403" s="145" t="s">
        <v>107</v>
      </c>
      <c r="L403" s="149"/>
      <c r="M403" s="150" t="s">
        <v>1</v>
      </c>
      <c r="N403" s="151" t="s">
        <v>39</v>
      </c>
      <c r="O403" s="118">
        <v>0</v>
      </c>
      <c r="P403" s="118">
        <f>O403*H403</f>
        <v>0</v>
      </c>
      <c r="Q403" s="118">
        <v>0.04</v>
      </c>
      <c r="R403" s="118">
        <f>Q403*H403</f>
        <v>0.04</v>
      </c>
      <c r="S403" s="118">
        <v>0</v>
      </c>
      <c r="T403" s="119">
        <f>S403*H403</f>
        <v>0</v>
      </c>
      <c r="W403"/>
      <c r="X403"/>
      <c r="Y403"/>
      <c r="AP403" s="120" t="s">
        <v>171</v>
      </c>
      <c r="AR403" s="120" t="s">
        <v>252</v>
      </c>
      <c r="AS403" s="120" t="s">
        <v>65</v>
      </c>
      <c r="AW403" s="17" t="s">
        <v>101</v>
      </c>
      <c r="BC403" s="121">
        <f>IF(N403="základní",J403,0)</f>
        <v>0</v>
      </c>
      <c r="BD403" s="121">
        <f>IF(N403="snížená",J403,0)</f>
        <v>0</v>
      </c>
      <c r="BE403" s="121">
        <f>IF(N403="zákl. přenesená",J403,0)</f>
        <v>0</v>
      </c>
      <c r="BF403" s="121">
        <f>IF(N403="sníž. přenesená",J403,0)</f>
        <v>0</v>
      </c>
      <c r="BG403" s="121">
        <f>IF(N403="nulová",J403,0)</f>
        <v>0</v>
      </c>
      <c r="BH403" s="17" t="s">
        <v>63</v>
      </c>
      <c r="BI403" s="121">
        <f>ROUND(I403*H403,2)</f>
        <v>0</v>
      </c>
      <c r="BJ403" s="17" t="s">
        <v>108</v>
      </c>
      <c r="BK403" s="120" t="s">
        <v>1301</v>
      </c>
    </row>
    <row r="404" spans="2:63" s="1" customFormat="1" ht="33" customHeight="1" x14ac:dyDescent="0.2">
      <c r="B404" s="109"/>
      <c r="C404" s="110" t="s">
        <v>385</v>
      </c>
      <c r="D404" s="110" t="s">
        <v>103</v>
      </c>
      <c r="E404" s="111" t="s">
        <v>1302</v>
      </c>
      <c r="F404" s="112" t="s">
        <v>1303</v>
      </c>
      <c r="G404" s="113" t="s">
        <v>106</v>
      </c>
      <c r="H404" s="114">
        <f>8.6*0.18</f>
        <v>1.5479999999999998</v>
      </c>
      <c r="I404" s="115">
        <v>0</v>
      </c>
      <c r="J404" s="115">
        <f>ROUND(I404*H404,2)</f>
        <v>0</v>
      </c>
      <c r="K404" s="112" t="s">
        <v>107</v>
      </c>
      <c r="L404" s="28"/>
      <c r="M404" s="116" t="s">
        <v>1</v>
      </c>
      <c r="N404" s="117" t="s">
        <v>39</v>
      </c>
      <c r="O404" s="118">
        <v>0.34</v>
      </c>
      <c r="P404" s="118">
        <f>O404*H404</f>
        <v>0.52632000000000001</v>
      </c>
      <c r="Q404" s="118">
        <v>1.0000000000000001E-5</v>
      </c>
      <c r="R404" s="118">
        <f>Q404*H404</f>
        <v>1.5480000000000001E-5</v>
      </c>
      <c r="S404" s="118">
        <v>0</v>
      </c>
      <c r="T404" s="119">
        <f>S404*H404</f>
        <v>0</v>
      </c>
      <c r="W404"/>
      <c r="X404"/>
      <c r="Y404"/>
      <c r="AP404" s="120" t="s">
        <v>108</v>
      </c>
      <c r="AR404" s="120" t="s">
        <v>103</v>
      </c>
      <c r="AS404" s="120" t="s">
        <v>65</v>
      </c>
      <c r="AW404" s="17" t="s">
        <v>101</v>
      </c>
      <c r="BC404" s="121">
        <f>IF(N404="základní",J404,0)</f>
        <v>0</v>
      </c>
      <c r="BD404" s="121">
        <f>IF(N404="snížená",J404,0)</f>
        <v>0</v>
      </c>
      <c r="BE404" s="121">
        <f>IF(N404="zákl. přenesená",J404,0)</f>
        <v>0</v>
      </c>
      <c r="BF404" s="121">
        <f>IF(N404="sníž. přenesená",J404,0)</f>
        <v>0</v>
      </c>
      <c r="BG404" s="121">
        <f>IF(N404="nulová",J404,0)</f>
        <v>0</v>
      </c>
      <c r="BH404" s="17" t="s">
        <v>63</v>
      </c>
      <c r="BI404" s="121">
        <f>ROUND(I404*H404,2)</f>
        <v>0</v>
      </c>
      <c r="BJ404" s="17" t="s">
        <v>108</v>
      </c>
      <c r="BK404" s="120" t="s">
        <v>1304</v>
      </c>
    </row>
    <row r="405" spans="2:63" s="1" customFormat="1" x14ac:dyDescent="0.2">
      <c r="B405" s="28"/>
      <c r="D405" s="122" t="s">
        <v>110</v>
      </c>
      <c r="F405" s="412" t="s">
        <v>1305</v>
      </c>
      <c r="L405" s="28"/>
      <c r="M405" s="124"/>
      <c r="T405" s="48"/>
      <c r="W405"/>
      <c r="X405"/>
      <c r="Y405"/>
      <c r="AR405" s="17" t="s">
        <v>110</v>
      </c>
      <c r="AS405" s="17" t="s">
        <v>65</v>
      </c>
    </row>
    <row r="406" spans="2:63" s="1" customFormat="1" ht="24.2" customHeight="1" x14ac:dyDescent="0.2">
      <c r="B406" s="109"/>
      <c r="C406" s="143" t="s">
        <v>390</v>
      </c>
      <c r="D406" s="143" t="s">
        <v>252</v>
      </c>
      <c r="E406" s="144" t="s">
        <v>1306</v>
      </c>
      <c r="F406" s="145" t="s">
        <v>1307</v>
      </c>
      <c r="G406" s="146" t="s">
        <v>106</v>
      </c>
      <c r="H406" s="147">
        <f>8.729*0.18</f>
        <v>1.5712199999999998</v>
      </c>
      <c r="I406" s="148">
        <v>0</v>
      </c>
      <c r="J406" s="148">
        <f>ROUND(I406*H406,2)</f>
        <v>0</v>
      </c>
      <c r="K406" s="145" t="s">
        <v>107</v>
      </c>
      <c r="L406" s="149"/>
      <c r="M406" s="150" t="s">
        <v>1</v>
      </c>
      <c r="N406" s="151" t="s">
        <v>39</v>
      </c>
      <c r="O406" s="118">
        <v>0</v>
      </c>
      <c r="P406" s="118">
        <f>O406*H406</f>
        <v>0</v>
      </c>
      <c r="Q406" s="118">
        <v>2.7000000000000001E-3</v>
      </c>
      <c r="R406" s="118">
        <f>Q406*H406</f>
        <v>4.2422939999999998E-3</v>
      </c>
      <c r="S406" s="118">
        <v>0</v>
      </c>
      <c r="T406" s="119">
        <f>S406*H406</f>
        <v>0</v>
      </c>
      <c r="W406"/>
      <c r="X406"/>
      <c r="Y406"/>
      <c r="AP406" s="120" t="s">
        <v>171</v>
      </c>
      <c r="AR406" s="120" t="s">
        <v>252</v>
      </c>
      <c r="AS406" s="120" t="s">
        <v>65</v>
      </c>
      <c r="AW406" s="17" t="s">
        <v>101</v>
      </c>
      <c r="BC406" s="121">
        <f>IF(N406="základní",J406,0)</f>
        <v>0</v>
      </c>
      <c r="BD406" s="121">
        <f>IF(N406="snížená",J406,0)</f>
        <v>0</v>
      </c>
      <c r="BE406" s="121">
        <f>IF(N406="zákl. přenesená",J406,0)</f>
        <v>0</v>
      </c>
      <c r="BF406" s="121">
        <f>IF(N406="sníž. přenesená",J406,0)</f>
        <v>0</v>
      </c>
      <c r="BG406" s="121">
        <f>IF(N406="nulová",J406,0)</f>
        <v>0</v>
      </c>
      <c r="BH406" s="17" t="s">
        <v>63</v>
      </c>
      <c r="BI406" s="121">
        <f>ROUND(I406*H406,2)</f>
        <v>0</v>
      </c>
      <c r="BJ406" s="17" t="s">
        <v>108</v>
      </c>
      <c r="BK406" s="120" t="s">
        <v>1308</v>
      </c>
    </row>
    <row r="407" spans="2:63" s="13" customFormat="1" x14ac:dyDescent="0.2">
      <c r="B407" s="131"/>
      <c r="D407" s="126" t="s">
        <v>112</v>
      </c>
      <c r="F407" s="133" t="s">
        <v>1872</v>
      </c>
      <c r="H407" s="134">
        <f>8.729*0.18</f>
        <v>1.5712199999999998</v>
      </c>
      <c r="L407" s="131"/>
      <c r="M407" s="135"/>
      <c r="T407" s="136"/>
      <c r="W407"/>
      <c r="X407"/>
      <c r="Y407"/>
      <c r="AR407" s="132" t="s">
        <v>112</v>
      </c>
      <c r="AS407" s="132" t="s">
        <v>65</v>
      </c>
      <c r="AT407" s="13" t="s">
        <v>65</v>
      </c>
      <c r="AU407" s="13" t="s">
        <v>2</v>
      </c>
      <c r="AV407" s="13" t="s">
        <v>63</v>
      </c>
      <c r="AW407" s="132" t="s">
        <v>101</v>
      </c>
    </row>
    <row r="408" spans="2:63" s="1" customFormat="1" ht="33" customHeight="1" x14ac:dyDescent="0.2">
      <c r="B408" s="109"/>
      <c r="C408" s="110" t="s">
        <v>395</v>
      </c>
      <c r="D408" s="110" t="s">
        <v>103</v>
      </c>
      <c r="E408" s="111" t="s">
        <v>1310</v>
      </c>
      <c r="F408" s="112" t="s">
        <v>1311</v>
      </c>
      <c r="G408" s="113" t="s">
        <v>106</v>
      </c>
      <c r="H408" s="114">
        <f>23.4*0.18</f>
        <v>4.2119999999999997</v>
      </c>
      <c r="I408" s="115">
        <v>0</v>
      </c>
      <c r="J408" s="115">
        <f>ROUND(I408*H408,2)</f>
        <v>0</v>
      </c>
      <c r="K408" s="112" t="s">
        <v>107</v>
      </c>
      <c r="L408" s="28"/>
      <c r="M408" s="116" t="s">
        <v>1</v>
      </c>
      <c r="N408" s="117" t="s">
        <v>39</v>
      </c>
      <c r="O408" s="118">
        <v>0.501</v>
      </c>
      <c r="P408" s="118">
        <f>O408*H408</f>
        <v>2.1102119999999998</v>
      </c>
      <c r="Q408" s="118">
        <v>2.0000000000000002E-5</v>
      </c>
      <c r="R408" s="118">
        <f>Q408*H408</f>
        <v>8.4240000000000007E-5</v>
      </c>
      <c r="S408" s="118">
        <v>0</v>
      </c>
      <c r="T408" s="119">
        <f>S408*H408</f>
        <v>0</v>
      </c>
      <c r="W408"/>
      <c r="X408"/>
      <c r="Y408"/>
      <c r="AP408" s="120" t="s">
        <v>108</v>
      </c>
      <c r="AR408" s="120" t="s">
        <v>103</v>
      </c>
      <c r="AS408" s="120" t="s">
        <v>65</v>
      </c>
      <c r="AW408" s="17" t="s">
        <v>101</v>
      </c>
      <c r="BC408" s="121">
        <f>IF(N408="základní",J408,0)</f>
        <v>0</v>
      </c>
      <c r="BD408" s="121">
        <f>IF(N408="snížená",J408,0)</f>
        <v>0</v>
      </c>
      <c r="BE408" s="121">
        <f>IF(N408="zákl. přenesená",J408,0)</f>
        <v>0</v>
      </c>
      <c r="BF408" s="121">
        <f>IF(N408="sníž. přenesená",J408,0)</f>
        <v>0</v>
      </c>
      <c r="BG408" s="121">
        <f>IF(N408="nulová",J408,0)</f>
        <v>0</v>
      </c>
      <c r="BH408" s="17" t="s">
        <v>63</v>
      </c>
      <c r="BI408" s="121">
        <f>ROUND(I408*H408,2)</f>
        <v>0</v>
      </c>
      <c r="BJ408" s="17" t="s">
        <v>108</v>
      </c>
      <c r="BK408" s="120" t="s">
        <v>1312</v>
      </c>
    </row>
    <row r="409" spans="2:63" s="1" customFormat="1" x14ac:dyDescent="0.2">
      <c r="B409" s="28"/>
      <c r="D409" s="122" t="s">
        <v>110</v>
      </c>
      <c r="F409" s="412" t="s">
        <v>1313</v>
      </c>
      <c r="L409" s="28"/>
      <c r="M409" s="124"/>
      <c r="T409" s="48"/>
      <c r="W409"/>
      <c r="X409"/>
      <c r="Y409"/>
      <c r="AR409" s="17" t="s">
        <v>110</v>
      </c>
      <c r="AS409" s="17" t="s">
        <v>65</v>
      </c>
    </row>
    <row r="410" spans="2:63" s="1" customFormat="1" ht="24.2" customHeight="1" x14ac:dyDescent="0.2">
      <c r="B410" s="109"/>
      <c r="C410" s="143" t="s">
        <v>400</v>
      </c>
      <c r="D410" s="143" t="s">
        <v>252</v>
      </c>
      <c r="E410" s="144" t="s">
        <v>1314</v>
      </c>
      <c r="F410" s="145" t="s">
        <v>1315</v>
      </c>
      <c r="G410" s="146" t="s">
        <v>106</v>
      </c>
      <c r="H410" s="147">
        <f>23.751*0.18</f>
        <v>4.2751799999999998</v>
      </c>
      <c r="I410" s="148">
        <v>0</v>
      </c>
      <c r="J410" s="148">
        <f>ROUND(I410*H410,2)</f>
        <v>0</v>
      </c>
      <c r="K410" s="145" t="s">
        <v>107</v>
      </c>
      <c r="L410" s="149"/>
      <c r="M410" s="150" t="s">
        <v>1</v>
      </c>
      <c r="N410" s="151" t="s">
        <v>39</v>
      </c>
      <c r="O410" s="118">
        <v>0</v>
      </c>
      <c r="P410" s="118">
        <f>O410*H410</f>
        <v>0</v>
      </c>
      <c r="Q410" s="118">
        <v>4.8399999999999997E-3</v>
      </c>
      <c r="R410" s="118">
        <f>Q410*H410</f>
        <v>2.0691871199999996E-2</v>
      </c>
      <c r="S410" s="118">
        <v>0</v>
      </c>
      <c r="T410" s="119">
        <f>S410*H410</f>
        <v>0</v>
      </c>
      <c r="W410"/>
      <c r="X410"/>
      <c r="Y410"/>
      <c r="AP410" s="120" t="s">
        <v>171</v>
      </c>
      <c r="AR410" s="120" t="s">
        <v>252</v>
      </c>
      <c r="AS410" s="120" t="s">
        <v>65</v>
      </c>
      <c r="AW410" s="17" t="s">
        <v>101</v>
      </c>
      <c r="BC410" s="121">
        <f>IF(N410="základní",J410,0)</f>
        <v>0</v>
      </c>
      <c r="BD410" s="121">
        <f>IF(N410="snížená",J410,0)</f>
        <v>0</v>
      </c>
      <c r="BE410" s="121">
        <f>IF(N410="zákl. přenesená",J410,0)</f>
        <v>0</v>
      </c>
      <c r="BF410" s="121">
        <f>IF(N410="sníž. přenesená",J410,0)</f>
        <v>0</v>
      </c>
      <c r="BG410" s="121">
        <f>IF(N410="nulová",J410,0)</f>
        <v>0</v>
      </c>
      <c r="BH410" s="17" t="s">
        <v>63</v>
      </c>
      <c r="BI410" s="121">
        <f>ROUND(I410*H410,2)</f>
        <v>0</v>
      </c>
      <c r="BJ410" s="17" t="s">
        <v>108</v>
      </c>
      <c r="BK410" s="120" t="s">
        <v>1316</v>
      </c>
    </row>
    <row r="411" spans="2:63" s="13" customFormat="1" x14ac:dyDescent="0.2">
      <c r="B411" s="131"/>
      <c r="D411" s="126" t="s">
        <v>112</v>
      </c>
      <c r="F411" s="133" t="s">
        <v>1873</v>
      </c>
      <c r="H411" s="134">
        <f>23.751*0.18</f>
        <v>4.2751799999999998</v>
      </c>
      <c r="L411" s="131"/>
      <c r="M411" s="135"/>
      <c r="T411" s="136"/>
      <c r="W411"/>
      <c r="X411"/>
      <c r="Y411"/>
      <c r="AR411" s="132" t="s">
        <v>112</v>
      </c>
      <c r="AS411" s="132" t="s">
        <v>65</v>
      </c>
      <c r="AT411" s="13" t="s">
        <v>65</v>
      </c>
      <c r="AU411" s="13" t="s">
        <v>2</v>
      </c>
      <c r="AV411" s="13" t="s">
        <v>63</v>
      </c>
      <c r="AW411" s="132" t="s">
        <v>101</v>
      </c>
    </row>
    <row r="412" spans="2:63" s="1" customFormat="1" ht="37.9" customHeight="1" x14ac:dyDescent="0.2">
      <c r="B412" s="109"/>
      <c r="C412" s="110" t="s">
        <v>404</v>
      </c>
      <c r="D412" s="110" t="s">
        <v>103</v>
      </c>
      <c r="E412" s="111" t="s">
        <v>1317</v>
      </c>
      <c r="F412" s="112" t="s">
        <v>1318</v>
      </c>
      <c r="G412" s="113" t="s">
        <v>314</v>
      </c>
      <c r="H412" s="114">
        <v>1</v>
      </c>
      <c r="I412" s="115">
        <v>0</v>
      </c>
      <c r="J412" s="115">
        <f>ROUND(I412*H412,2)</f>
        <v>0</v>
      </c>
      <c r="K412" s="112" t="s">
        <v>107</v>
      </c>
      <c r="L412" s="28"/>
      <c r="M412" s="116" t="s">
        <v>1</v>
      </c>
      <c r="N412" s="117" t="s">
        <v>39</v>
      </c>
      <c r="O412" s="118">
        <v>0.76200000000000001</v>
      </c>
      <c r="P412" s="118">
        <f>O412*H412</f>
        <v>0.76200000000000001</v>
      </c>
      <c r="Q412" s="118">
        <v>1E-4</v>
      </c>
      <c r="R412" s="118">
        <f>Q412*H412</f>
        <v>1E-4</v>
      </c>
      <c r="S412" s="118">
        <v>0</v>
      </c>
      <c r="T412" s="119">
        <f>S412*H412</f>
        <v>0</v>
      </c>
      <c r="W412"/>
      <c r="X412"/>
      <c r="Y412"/>
      <c r="AP412" s="120" t="s">
        <v>108</v>
      </c>
      <c r="AR412" s="120" t="s">
        <v>103</v>
      </c>
      <c r="AS412" s="120" t="s">
        <v>65</v>
      </c>
      <c r="AW412" s="17" t="s">
        <v>101</v>
      </c>
      <c r="BC412" s="121">
        <f>IF(N412="základní",J412,0)</f>
        <v>0</v>
      </c>
      <c r="BD412" s="121">
        <f>IF(N412="snížená",J412,0)</f>
        <v>0</v>
      </c>
      <c r="BE412" s="121">
        <f>IF(N412="zákl. přenesená",J412,0)</f>
        <v>0</v>
      </c>
      <c r="BF412" s="121">
        <f>IF(N412="sníž. přenesená",J412,0)</f>
        <v>0</v>
      </c>
      <c r="BG412" s="121">
        <f>IF(N412="nulová",J412,0)</f>
        <v>0</v>
      </c>
      <c r="BH412" s="17" t="s">
        <v>63</v>
      </c>
      <c r="BI412" s="121">
        <f>ROUND(I412*H412,2)</f>
        <v>0</v>
      </c>
      <c r="BJ412" s="17" t="s">
        <v>108</v>
      </c>
      <c r="BK412" s="120" t="s">
        <v>1319</v>
      </c>
    </row>
    <row r="413" spans="2:63" s="1" customFormat="1" x14ac:dyDescent="0.2">
      <c r="B413" s="28"/>
      <c r="D413" s="122" t="s">
        <v>110</v>
      </c>
      <c r="F413" s="412" t="s">
        <v>1320</v>
      </c>
      <c r="L413" s="28"/>
      <c r="M413" s="124"/>
      <c r="T413" s="48"/>
      <c r="W413"/>
      <c r="X413"/>
      <c r="Y413"/>
      <c r="AR413" s="17" t="s">
        <v>110</v>
      </c>
      <c r="AS413" s="17" t="s">
        <v>65</v>
      </c>
    </row>
    <row r="414" spans="2:63" s="1" customFormat="1" ht="16.5" customHeight="1" x14ac:dyDescent="0.2">
      <c r="B414" s="109"/>
      <c r="C414" s="143" t="s">
        <v>409</v>
      </c>
      <c r="D414" s="143" t="s">
        <v>252</v>
      </c>
      <c r="E414" s="144" t="s">
        <v>1321</v>
      </c>
      <c r="F414" s="145" t="s">
        <v>1322</v>
      </c>
      <c r="G414" s="146" t="s">
        <v>314</v>
      </c>
      <c r="H414" s="147">
        <v>1</v>
      </c>
      <c r="I414" s="148">
        <v>0</v>
      </c>
      <c r="J414" s="148">
        <f>ROUND(I414*H414,2)</f>
        <v>0</v>
      </c>
      <c r="K414" s="145" t="s">
        <v>107</v>
      </c>
      <c r="L414" s="149"/>
      <c r="M414" s="150" t="s">
        <v>1</v>
      </c>
      <c r="N414" s="151" t="s">
        <v>39</v>
      </c>
      <c r="O414" s="118">
        <v>0</v>
      </c>
      <c r="P414" s="118">
        <f>O414*H414</f>
        <v>0</v>
      </c>
      <c r="Q414" s="118">
        <v>1.6000000000000001E-3</v>
      </c>
      <c r="R414" s="118">
        <f>Q414*H414</f>
        <v>1.6000000000000001E-3</v>
      </c>
      <c r="S414" s="118">
        <v>0</v>
      </c>
      <c r="T414" s="119">
        <f>S414*H414</f>
        <v>0</v>
      </c>
      <c r="W414"/>
      <c r="X414"/>
      <c r="Y414"/>
      <c r="AP414" s="120" t="s">
        <v>171</v>
      </c>
      <c r="AR414" s="120" t="s">
        <v>252</v>
      </c>
      <c r="AS414" s="120" t="s">
        <v>65</v>
      </c>
      <c r="AW414" s="17" t="s">
        <v>101</v>
      </c>
      <c r="BC414" s="121">
        <f>IF(N414="základní",J414,0)</f>
        <v>0</v>
      </c>
      <c r="BD414" s="121">
        <f>IF(N414="snížená",J414,0)</f>
        <v>0</v>
      </c>
      <c r="BE414" s="121">
        <f>IF(N414="zákl. přenesená",J414,0)</f>
        <v>0</v>
      </c>
      <c r="BF414" s="121">
        <f>IF(N414="sníž. přenesená",J414,0)</f>
        <v>0</v>
      </c>
      <c r="BG414" s="121">
        <f>IF(N414="nulová",J414,0)</f>
        <v>0</v>
      </c>
      <c r="BH414" s="17" t="s">
        <v>63</v>
      </c>
      <c r="BI414" s="121">
        <f>ROUND(I414*H414,2)</f>
        <v>0</v>
      </c>
      <c r="BJ414" s="17" t="s">
        <v>108</v>
      </c>
      <c r="BK414" s="120" t="s">
        <v>1323</v>
      </c>
    </row>
    <row r="415" spans="2:63" s="1" customFormat="1" ht="24.2" customHeight="1" x14ac:dyDescent="0.2">
      <c r="B415" s="109"/>
      <c r="C415" s="110" t="s">
        <v>414</v>
      </c>
      <c r="D415" s="110" t="s">
        <v>103</v>
      </c>
      <c r="E415" s="111" t="s">
        <v>1324</v>
      </c>
      <c r="F415" s="112" t="s">
        <v>1325</v>
      </c>
      <c r="G415" s="113" t="s">
        <v>1326</v>
      </c>
      <c r="H415" s="114">
        <v>1</v>
      </c>
      <c r="I415" s="115">
        <v>0</v>
      </c>
      <c r="J415" s="115">
        <f>ROUND(I415*H415,2)</f>
        <v>0</v>
      </c>
      <c r="K415" s="112" t="s">
        <v>107</v>
      </c>
      <c r="L415" s="28"/>
      <c r="M415" s="116" t="s">
        <v>1</v>
      </c>
      <c r="N415" s="117" t="s">
        <v>39</v>
      </c>
      <c r="O415" s="118">
        <v>0.84399999999999997</v>
      </c>
      <c r="P415" s="118">
        <f>O415*H415</f>
        <v>0.84399999999999997</v>
      </c>
      <c r="Q415" s="118">
        <v>3.1E-4</v>
      </c>
      <c r="R415" s="118">
        <f>Q415*H415</f>
        <v>3.1E-4</v>
      </c>
      <c r="S415" s="118">
        <v>0</v>
      </c>
      <c r="T415" s="119">
        <f>S415*H415</f>
        <v>0</v>
      </c>
      <c r="W415"/>
      <c r="X415"/>
      <c r="Y415"/>
      <c r="AP415" s="120" t="s">
        <v>108</v>
      </c>
      <c r="AR415" s="120" t="s">
        <v>103</v>
      </c>
      <c r="AS415" s="120" t="s">
        <v>65</v>
      </c>
      <c r="AW415" s="17" t="s">
        <v>101</v>
      </c>
      <c r="BC415" s="121">
        <f>IF(N415="základní",J415,0)</f>
        <v>0</v>
      </c>
      <c r="BD415" s="121">
        <f>IF(N415="snížená",J415,0)</f>
        <v>0</v>
      </c>
      <c r="BE415" s="121">
        <f>IF(N415="zákl. přenesená",J415,0)</f>
        <v>0</v>
      </c>
      <c r="BF415" s="121">
        <f>IF(N415="sníž. přenesená",J415,0)</f>
        <v>0</v>
      </c>
      <c r="BG415" s="121">
        <f>IF(N415="nulová",J415,0)</f>
        <v>0</v>
      </c>
      <c r="BH415" s="17" t="s">
        <v>63</v>
      </c>
      <c r="BI415" s="121">
        <f>ROUND(I415*H415,2)</f>
        <v>0</v>
      </c>
      <c r="BJ415" s="17" t="s">
        <v>108</v>
      </c>
      <c r="BK415" s="120" t="s">
        <v>1327</v>
      </c>
    </row>
    <row r="416" spans="2:63" s="1" customFormat="1" x14ac:dyDescent="0.2">
      <c r="B416" s="28"/>
      <c r="D416" s="122" t="s">
        <v>110</v>
      </c>
      <c r="F416" s="412" t="s">
        <v>1328</v>
      </c>
      <c r="L416" s="28"/>
      <c r="M416" s="124"/>
      <c r="T416" s="48"/>
      <c r="W416"/>
      <c r="X416"/>
      <c r="Y416"/>
      <c r="AR416" s="17" t="s">
        <v>110</v>
      </c>
      <c r="AS416" s="17" t="s">
        <v>65</v>
      </c>
    </row>
    <row r="417" spans="2:63" s="1" customFormat="1" ht="24.2" customHeight="1" x14ac:dyDescent="0.2">
      <c r="B417" s="109"/>
      <c r="C417" s="110" t="s">
        <v>420</v>
      </c>
      <c r="D417" s="110" t="s">
        <v>103</v>
      </c>
      <c r="E417" s="111" t="s">
        <v>981</v>
      </c>
      <c r="F417" s="112" t="s">
        <v>982</v>
      </c>
      <c r="G417" s="113" t="s">
        <v>314</v>
      </c>
      <c r="H417" s="114">
        <v>1</v>
      </c>
      <c r="I417" s="115">
        <v>0</v>
      </c>
      <c r="J417" s="115">
        <f>ROUND(I417*H417,2)</f>
        <v>0</v>
      </c>
      <c r="K417" s="112" t="s">
        <v>107</v>
      </c>
      <c r="L417" s="28"/>
      <c r="M417" s="116" t="s">
        <v>1</v>
      </c>
      <c r="N417" s="117" t="s">
        <v>39</v>
      </c>
      <c r="O417" s="118">
        <v>1.5620000000000001</v>
      </c>
      <c r="P417" s="118">
        <f>O417*H417</f>
        <v>1.5620000000000001</v>
      </c>
      <c r="Q417" s="118">
        <v>1.0189999999999999E-2</v>
      </c>
      <c r="R417" s="118">
        <f>Q417*H417</f>
        <v>1.0189999999999999E-2</v>
      </c>
      <c r="S417" s="118">
        <v>0</v>
      </c>
      <c r="T417" s="119">
        <f>S417*H417</f>
        <v>0</v>
      </c>
      <c r="W417"/>
      <c r="X417"/>
      <c r="Y417"/>
      <c r="AP417" s="120" t="s">
        <v>108</v>
      </c>
      <c r="AR417" s="120" t="s">
        <v>103</v>
      </c>
      <c r="AS417" s="120" t="s">
        <v>65</v>
      </c>
      <c r="AW417" s="17" t="s">
        <v>101</v>
      </c>
      <c r="BC417" s="121">
        <f>IF(N417="základní",J417,0)</f>
        <v>0</v>
      </c>
      <c r="BD417" s="121">
        <f>IF(N417="snížená",J417,0)</f>
        <v>0</v>
      </c>
      <c r="BE417" s="121">
        <f>IF(N417="zákl. přenesená",J417,0)</f>
        <v>0</v>
      </c>
      <c r="BF417" s="121">
        <f>IF(N417="sníž. přenesená",J417,0)</f>
        <v>0</v>
      </c>
      <c r="BG417" s="121">
        <f>IF(N417="nulová",J417,0)</f>
        <v>0</v>
      </c>
      <c r="BH417" s="17" t="s">
        <v>63</v>
      </c>
      <c r="BI417" s="121">
        <f>ROUND(I417*H417,2)</f>
        <v>0</v>
      </c>
      <c r="BJ417" s="17" t="s">
        <v>108</v>
      </c>
      <c r="BK417" s="120" t="s">
        <v>1329</v>
      </c>
    </row>
    <row r="418" spans="2:63" s="1" customFormat="1" x14ac:dyDescent="0.2">
      <c r="B418" s="28"/>
      <c r="D418" s="122" t="s">
        <v>110</v>
      </c>
      <c r="F418" s="412" t="s">
        <v>984</v>
      </c>
      <c r="L418" s="28"/>
      <c r="M418" s="124"/>
      <c r="T418" s="48"/>
      <c r="W418"/>
      <c r="X418"/>
      <c r="Y418"/>
      <c r="AR418" s="17" t="s">
        <v>110</v>
      </c>
      <c r="AS418" s="17" t="s">
        <v>65</v>
      </c>
    </row>
    <row r="419" spans="2:63" s="1" customFormat="1" ht="24.2" customHeight="1" x14ac:dyDescent="0.2">
      <c r="B419" s="109"/>
      <c r="C419" s="143" t="s">
        <v>425</v>
      </c>
      <c r="D419" s="143" t="s">
        <v>252</v>
      </c>
      <c r="E419" s="144" t="s">
        <v>985</v>
      </c>
      <c r="F419" s="145" t="s">
        <v>986</v>
      </c>
      <c r="G419" s="146" t="s">
        <v>314</v>
      </c>
      <c r="H419" s="147">
        <v>1</v>
      </c>
      <c r="I419" s="148">
        <v>0</v>
      </c>
      <c r="J419" s="148">
        <f>ROUND(I419*H419,2)</f>
        <v>0</v>
      </c>
      <c r="K419" s="145" t="s">
        <v>987</v>
      </c>
      <c r="L419" s="149"/>
      <c r="M419" s="150" t="s">
        <v>1</v>
      </c>
      <c r="N419" s="151" t="s">
        <v>39</v>
      </c>
      <c r="O419" s="118">
        <v>0</v>
      </c>
      <c r="P419" s="118">
        <f>O419*H419</f>
        <v>0</v>
      </c>
      <c r="Q419" s="118">
        <v>0.254</v>
      </c>
      <c r="R419" s="118">
        <f>Q419*H419</f>
        <v>0.254</v>
      </c>
      <c r="S419" s="118">
        <v>0</v>
      </c>
      <c r="T419" s="119">
        <f>S419*H419</f>
        <v>0</v>
      </c>
      <c r="W419"/>
      <c r="X419"/>
      <c r="Y419"/>
      <c r="AP419" s="120" t="s">
        <v>171</v>
      </c>
      <c r="AR419" s="120" t="s">
        <v>252</v>
      </c>
      <c r="AS419" s="120" t="s">
        <v>65</v>
      </c>
      <c r="AW419" s="17" t="s">
        <v>101</v>
      </c>
      <c r="BC419" s="121">
        <f>IF(N419="základní",J419,0)</f>
        <v>0</v>
      </c>
      <c r="BD419" s="121">
        <f>IF(N419="snížená",J419,0)</f>
        <v>0</v>
      </c>
      <c r="BE419" s="121">
        <f>IF(N419="zákl. přenesená",J419,0)</f>
        <v>0</v>
      </c>
      <c r="BF419" s="121">
        <f>IF(N419="sníž. přenesená",J419,0)</f>
        <v>0</v>
      </c>
      <c r="BG419" s="121">
        <f>IF(N419="nulová",J419,0)</f>
        <v>0</v>
      </c>
      <c r="BH419" s="17" t="s">
        <v>63</v>
      </c>
      <c r="BI419" s="121">
        <f>ROUND(I419*H419,2)</f>
        <v>0</v>
      </c>
      <c r="BJ419" s="17" t="s">
        <v>108</v>
      </c>
      <c r="BK419" s="120" t="s">
        <v>1330</v>
      </c>
    </row>
    <row r="420" spans="2:63" s="1" customFormat="1" ht="24.2" customHeight="1" x14ac:dyDescent="0.2">
      <c r="B420" s="109"/>
      <c r="C420" s="143" t="s">
        <v>430</v>
      </c>
      <c r="D420" s="143" t="s">
        <v>252</v>
      </c>
      <c r="E420" s="144" t="s">
        <v>989</v>
      </c>
      <c r="F420" s="145" t="s">
        <v>990</v>
      </c>
      <c r="G420" s="146" t="s">
        <v>314</v>
      </c>
      <c r="H420" s="147">
        <v>1</v>
      </c>
      <c r="I420" s="148">
        <v>0</v>
      </c>
      <c r="J420" s="148">
        <f>ROUND(I420*H420,2)</f>
        <v>0</v>
      </c>
      <c r="K420" s="145" t="s">
        <v>107</v>
      </c>
      <c r="L420" s="149"/>
      <c r="M420" s="150" t="s">
        <v>1</v>
      </c>
      <c r="N420" s="151" t="s">
        <v>39</v>
      </c>
      <c r="O420" s="118">
        <v>0</v>
      </c>
      <c r="P420" s="118">
        <f>O420*H420</f>
        <v>0</v>
      </c>
      <c r="Q420" s="118">
        <v>0.50600000000000001</v>
      </c>
      <c r="R420" s="118">
        <f>Q420*H420</f>
        <v>0.50600000000000001</v>
      </c>
      <c r="S420" s="118">
        <v>0</v>
      </c>
      <c r="T420" s="119">
        <f>S420*H420</f>
        <v>0</v>
      </c>
      <c r="W420"/>
      <c r="X420"/>
      <c r="Y420"/>
      <c r="AP420" s="120" t="s">
        <v>171</v>
      </c>
      <c r="AR420" s="120" t="s">
        <v>252</v>
      </c>
      <c r="AS420" s="120" t="s">
        <v>65</v>
      </c>
      <c r="AW420" s="17" t="s">
        <v>101</v>
      </c>
      <c r="BC420" s="121">
        <f>IF(N420="základní",J420,0)</f>
        <v>0</v>
      </c>
      <c r="BD420" s="121">
        <f>IF(N420="snížená",J420,0)</f>
        <v>0</v>
      </c>
      <c r="BE420" s="121">
        <f>IF(N420="zákl. přenesená",J420,0)</f>
        <v>0</v>
      </c>
      <c r="BF420" s="121">
        <f>IF(N420="sníž. přenesená",J420,0)</f>
        <v>0</v>
      </c>
      <c r="BG420" s="121">
        <f>IF(N420="nulová",J420,0)</f>
        <v>0</v>
      </c>
      <c r="BH420" s="17" t="s">
        <v>63</v>
      </c>
      <c r="BI420" s="121">
        <f>ROUND(I420*H420,2)</f>
        <v>0</v>
      </c>
      <c r="BJ420" s="17" t="s">
        <v>108</v>
      </c>
      <c r="BK420" s="120" t="s">
        <v>1331</v>
      </c>
    </row>
    <row r="421" spans="2:63" s="1" customFormat="1" ht="24.2" customHeight="1" x14ac:dyDescent="0.2">
      <c r="B421" s="109"/>
      <c r="C421" s="143" t="s">
        <v>435</v>
      </c>
      <c r="D421" s="143" t="s">
        <v>252</v>
      </c>
      <c r="E421" s="144" t="s">
        <v>992</v>
      </c>
      <c r="F421" s="145" t="s">
        <v>993</v>
      </c>
      <c r="G421" s="146" t="s">
        <v>314</v>
      </c>
      <c r="H421" s="147">
        <v>1</v>
      </c>
      <c r="I421" s="148">
        <v>0</v>
      </c>
      <c r="J421" s="148">
        <f>ROUND(I421*H421,2)</f>
        <v>0</v>
      </c>
      <c r="K421" s="145" t="s">
        <v>107</v>
      </c>
      <c r="L421" s="149"/>
      <c r="M421" s="150" t="s">
        <v>1</v>
      </c>
      <c r="N421" s="151" t="s">
        <v>39</v>
      </c>
      <c r="O421" s="118">
        <v>0</v>
      </c>
      <c r="P421" s="118">
        <f>O421*H421</f>
        <v>0</v>
      </c>
      <c r="Q421" s="118">
        <v>1.0129999999999999</v>
      </c>
      <c r="R421" s="118">
        <f>Q421*H421</f>
        <v>1.0129999999999999</v>
      </c>
      <c r="S421" s="118">
        <v>0</v>
      </c>
      <c r="T421" s="119">
        <f>S421*H421</f>
        <v>0</v>
      </c>
      <c r="W421"/>
      <c r="X421"/>
      <c r="Y421"/>
      <c r="AP421" s="120" t="s">
        <v>171</v>
      </c>
      <c r="AR421" s="120" t="s">
        <v>252</v>
      </c>
      <c r="AS421" s="120" t="s">
        <v>65</v>
      </c>
      <c r="AW421" s="17" t="s">
        <v>101</v>
      </c>
      <c r="BC421" s="121">
        <f>IF(N421="základní",J421,0)</f>
        <v>0</v>
      </c>
      <c r="BD421" s="121">
        <f>IF(N421="snížená",J421,0)</f>
        <v>0</v>
      </c>
      <c r="BE421" s="121">
        <f>IF(N421="zákl. přenesená",J421,0)</f>
        <v>0</v>
      </c>
      <c r="BF421" s="121">
        <f>IF(N421="sníž. přenesená",J421,0)</f>
        <v>0</v>
      </c>
      <c r="BG421" s="121">
        <f>IF(N421="nulová",J421,0)</f>
        <v>0</v>
      </c>
      <c r="BH421" s="17" t="s">
        <v>63</v>
      </c>
      <c r="BI421" s="121">
        <f>ROUND(I421*H421,2)</f>
        <v>0</v>
      </c>
      <c r="BJ421" s="17" t="s">
        <v>108</v>
      </c>
      <c r="BK421" s="120" t="s">
        <v>1332</v>
      </c>
    </row>
    <row r="422" spans="2:63" s="1" customFormat="1" ht="24.2" customHeight="1" x14ac:dyDescent="0.2">
      <c r="B422" s="109"/>
      <c r="C422" s="143" t="s">
        <v>440</v>
      </c>
      <c r="D422" s="143" t="s">
        <v>252</v>
      </c>
      <c r="E422" s="144" t="s">
        <v>995</v>
      </c>
      <c r="F422" s="145" t="s">
        <v>996</v>
      </c>
      <c r="G422" s="146" t="s">
        <v>314</v>
      </c>
      <c r="H422" s="147">
        <v>1</v>
      </c>
      <c r="I422" s="148">
        <v>0</v>
      </c>
      <c r="J422" s="148">
        <f>ROUND(I422*H422,2)</f>
        <v>0</v>
      </c>
      <c r="K422" s="145" t="s">
        <v>107</v>
      </c>
      <c r="L422" s="149"/>
      <c r="M422" s="150" t="s">
        <v>1</v>
      </c>
      <c r="N422" s="151" t="s">
        <v>39</v>
      </c>
      <c r="O422" s="118">
        <v>0</v>
      </c>
      <c r="P422" s="118">
        <f>O422*H422</f>
        <v>0</v>
      </c>
      <c r="Q422" s="118">
        <v>2E-3</v>
      </c>
      <c r="R422" s="118">
        <f>Q422*H422</f>
        <v>2E-3</v>
      </c>
      <c r="S422" s="118">
        <v>0</v>
      </c>
      <c r="T422" s="119">
        <f>S422*H422</f>
        <v>0</v>
      </c>
      <c r="W422"/>
      <c r="X422"/>
      <c r="Y422"/>
      <c r="AP422" s="120" t="s">
        <v>171</v>
      </c>
      <c r="AR422" s="120" t="s">
        <v>252</v>
      </c>
      <c r="AS422" s="120" t="s">
        <v>65</v>
      </c>
      <c r="AW422" s="17" t="s">
        <v>101</v>
      </c>
      <c r="BC422" s="121">
        <f>IF(N422="základní",J422,0)</f>
        <v>0</v>
      </c>
      <c r="BD422" s="121">
        <f>IF(N422="snížená",J422,0)</f>
        <v>0</v>
      </c>
      <c r="BE422" s="121">
        <f>IF(N422="zákl. přenesená",J422,0)</f>
        <v>0</v>
      </c>
      <c r="BF422" s="121">
        <f>IF(N422="sníž. přenesená",J422,0)</f>
        <v>0</v>
      </c>
      <c r="BG422" s="121">
        <f>IF(N422="nulová",J422,0)</f>
        <v>0</v>
      </c>
      <c r="BH422" s="17" t="s">
        <v>63</v>
      </c>
      <c r="BI422" s="121">
        <f>ROUND(I422*H422,2)</f>
        <v>0</v>
      </c>
      <c r="BJ422" s="17" t="s">
        <v>108</v>
      </c>
      <c r="BK422" s="120" t="s">
        <v>1333</v>
      </c>
    </row>
    <row r="423" spans="2:63" s="1" customFormat="1" ht="24.2" customHeight="1" x14ac:dyDescent="0.2">
      <c r="B423" s="109"/>
      <c r="C423" s="110" t="s">
        <v>445</v>
      </c>
      <c r="D423" s="110" t="s">
        <v>103</v>
      </c>
      <c r="E423" s="111" t="s">
        <v>999</v>
      </c>
      <c r="F423" s="112" t="s">
        <v>1000</v>
      </c>
      <c r="G423" s="113" t="s">
        <v>314</v>
      </c>
      <c r="H423" s="114">
        <v>1</v>
      </c>
      <c r="I423" s="115">
        <v>0</v>
      </c>
      <c r="J423" s="115">
        <f>ROUND(I423*H423,2)</f>
        <v>0</v>
      </c>
      <c r="K423" s="112" t="s">
        <v>107</v>
      </c>
      <c r="L423" s="28"/>
      <c r="M423" s="116" t="s">
        <v>1</v>
      </c>
      <c r="N423" s="117" t="s">
        <v>39</v>
      </c>
      <c r="O423" s="118">
        <v>2.08</v>
      </c>
      <c r="P423" s="118">
        <f>O423*H423</f>
        <v>2.08</v>
      </c>
      <c r="Q423" s="118">
        <v>2.8539999999999999E-2</v>
      </c>
      <c r="R423" s="118">
        <f>Q423*H423</f>
        <v>2.8539999999999999E-2</v>
      </c>
      <c r="S423" s="118">
        <v>0</v>
      </c>
      <c r="T423" s="119">
        <f>S423*H423</f>
        <v>0</v>
      </c>
      <c r="W423"/>
      <c r="X423"/>
      <c r="Y423"/>
      <c r="AP423" s="120" t="s">
        <v>108</v>
      </c>
      <c r="AR423" s="120" t="s">
        <v>103</v>
      </c>
      <c r="AS423" s="120" t="s">
        <v>65</v>
      </c>
      <c r="AW423" s="17" t="s">
        <v>101</v>
      </c>
      <c r="BC423" s="121">
        <f>IF(N423="základní",J423,0)</f>
        <v>0</v>
      </c>
      <c r="BD423" s="121">
        <f>IF(N423="snížená",J423,0)</f>
        <v>0</v>
      </c>
      <c r="BE423" s="121">
        <f>IF(N423="zákl. přenesená",J423,0)</f>
        <v>0</v>
      </c>
      <c r="BF423" s="121">
        <f>IF(N423="sníž. přenesená",J423,0)</f>
        <v>0</v>
      </c>
      <c r="BG423" s="121">
        <f>IF(N423="nulová",J423,0)</f>
        <v>0</v>
      </c>
      <c r="BH423" s="17" t="s">
        <v>63</v>
      </c>
      <c r="BI423" s="121">
        <f>ROUND(I423*H423,2)</f>
        <v>0</v>
      </c>
      <c r="BJ423" s="17" t="s">
        <v>108</v>
      </c>
      <c r="BK423" s="120" t="s">
        <v>1334</v>
      </c>
    </row>
    <row r="424" spans="2:63" s="1" customFormat="1" x14ac:dyDescent="0.2">
      <c r="B424" s="28"/>
      <c r="D424" s="122" t="s">
        <v>110</v>
      </c>
      <c r="F424" s="412" t="s">
        <v>1002</v>
      </c>
      <c r="L424" s="28"/>
      <c r="M424" s="124"/>
      <c r="T424" s="48"/>
      <c r="W424"/>
      <c r="X424"/>
      <c r="Y424"/>
      <c r="AR424" s="17" t="s">
        <v>110</v>
      </c>
      <c r="AS424" s="17" t="s">
        <v>65</v>
      </c>
    </row>
    <row r="425" spans="2:63" s="1" customFormat="1" ht="24.2" customHeight="1" x14ac:dyDescent="0.2">
      <c r="B425" s="109"/>
      <c r="C425" s="143" t="s">
        <v>449</v>
      </c>
      <c r="D425" s="143" t="s">
        <v>252</v>
      </c>
      <c r="E425" s="144" t="s">
        <v>1004</v>
      </c>
      <c r="F425" s="145" t="s">
        <v>1005</v>
      </c>
      <c r="G425" s="146" t="s">
        <v>314</v>
      </c>
      <c r="H425" s="147">
        <v>1</v>
      </c>
      <c r="I425" s="148">
        <v>0</v>
      </c>
      <c r="J425" s="148">
        <f>ROUND(I425*H425,2)</f>
        <v>0</v>
      </c>
      <c r="K425" s="145" t="s">
        <v>1</v>
      </c>
      <c r="L425" s="149"/>
      <c r="M425" s="150" t="s">
        <v>1</v>
      </c>
      <c r="N425" s="151" t="s">
        <v>39</v>
      </c>
      <c r="O425" s="118">
        <v>0</v>
      </c>
      <c r="P425" s="118">
        <f>O425*H425</f>
        <v>0</v>
      </c>
      <c r="Q425" s="118">
        <v>2.1</v>
      </c>
      <c r="R425" s="118">
        <f>Q425*H425</f>
        <v>2.1</v>
      </c>
      <c r="S425" s="118">
        <v>0</v>
      </c>
      <c r="T425" s="119">
        <f>S425*H425</f>
        <v>0</v>
      </c>
      <c r="W425"/>
      <c r="X425"/>
      <c r="Y425"/>
      <c r="AP425" s="120" t="s">
        <v>171</v>
      </c>
      <c r="AR425" s="120" t="s">
        <v>252</v>
      </c>
      <c r="AS425" s="120" t="s">
        <v>65</v>
      </c>
      <c r="AW425" s="17" t="s">
        <v>101</v>
      </c>
      <c r="BC425" s="121">
        <f>IF(N425="základní",J425,0)</f>
        <v>0</v>
      </c>
      <c r="BD425" s="121">
        <f>IF(N425="snížená",J425,0)</f>
        <v>0</v>
      </c>
      <c r="BE425" s="121">
        <f>IF(N425="zákl. přenesená",J425,0)</f>
        <v>0</v>
      </c>
      <c r="BF425" s="121">
        <f>IF(N425="sníž. přenesená",J425,0)</f>
        <v>0</v>
      </c>
      <c r="BG425" s="121">
        <f>IF(N425="nulová",J425,0)</f>
        <v>0</v>
      </c>
      <c r="BH425" s="17" t="s">
        <v>63</v>
      </c>
      <c r="BI425" s="121">
        <f>ROUND(I425*H425,2)</f>
        <v>0</v>
      </c>
      <c r="BJ425" s="17" t="s">
        <v>108</v>
      </c>
      <c r="BK425" s="120" t="s">
        <v>1335</v>
      </c>
    </row>
    <row r="426" spans="2:63" s="1" customFormat="1" ht="24.2" customHeight="1" x14ac:dyDescent="0.2">
      <c r="B426" s="109"/>
      <c r="C426" s="143" t="s">
        <v>454</v>
      </c>
      <c r="D426" s="143" t="s">
        <v>252</v>
      </c>
      <c r="E426" s="144" t="s">
        <v>1008</v>
      </c>
      <c r="F426" s="145" t="s">
        <v>1009</v>
      </c>
      <c r="G426" s="146" t="s">
        <v>314</v>
      </c>
      <c r="H426" s="147">
        <v>1</v>
      </c>
      <c r="I426" s="148">
        <v>0</v>
      </c>
      <c r="J426" s="148">
        <f>ROUND(I426*H426,2)</f>
        <v>0</v>
      </c>
      <c r="K426" s="145" t="s">
        <v>1</v>
      </c>
      <c r="L426" s="149"/>
      <c r="M426" s="150" t="s">
        <v>1</v>
      </c>
      <c r="N426" s="151" t="s">
        <v>39</v>
      </c>
      <c r="O426" s="118">
        <v>0</v>
      </c>
      <c r="P426" s="118">
        <f>O426*H426</f>
        <v>0</v>
      </c>
      <c r="Q426" s="118">
        <v>2.1</v>
      </c>
      <c r="R426" s="118">
        <f>Q426*H426</f>
        <v>2.1</v>
      </c>
      <c r="S426" s="118">
        <v>0</v>
      </c>
      <c r="T426" s="119">
        <f>S426*H426</f>
        <v>0</v>
      </c>
      <c r="W426"/>
      <c r="X426"/>
      <c r="Y426"/>
      <c r="AP426" s="120" t="s">
        <v>171</v>
      </c>
      <c r="AR426" s="120" t="s">
        <v>252</v>
      </c>
      <c r="AS426" s="120" t="s">
        <v>65</v>
      </c>
      <c r="AW426" s="17" t="s">
        <v>101</v>
      </c>
      <c r="BC426" s="121">
        <f>IF(N426="základní",J426,0)</f>
        <v>0</v>
      </c>
      <c r="BD426" s="121">
        <f>IF(N426="snížená",J426,0)</f>
        <v>0</v>
      </c>
      <c r="BE426" s="121">
        <f>IF(N426="zákl. přenesená",J426,0)</f>
        <v>0</v>
      </c>
      <c r="BF426" s="121">
        <f>IF(N426="sníž. přenesená",J426,0)</f>
        <v>0</v>
      </c>
      <c r="BG426" s="121">
        <f>IF(N426="nulová",J426,0)</f>
        <v>0</v>
      </c>
      <c r="BH426" s="17" t="s">
        <v>63</v>
      </c>
      <c r="BI426" s="121">
        <f>ROUND(I426*H426,2)</f>
        <v>0</v>
      </c>
      <c r="BJ426" s="17" t="s">
        <v>108</v>
      </c>
      <c r="BK426" s="120" t="s">
        <v>1336</v>
      </c>
    </row>
    <row r="427" spans="2:63" s="1" customFormat="1" ht="24.2" customHeight="1" x14ac:dyDescent="0.2">
      <c r="B427" s="109"/>
      <c r="C427" s="110" t="s">
        <v>458</v>
      </c>
      <c r="D427" s="110" t="s">
        <v>103</v>
      </c>
      <c r="E427" s="111" t="s">
        <v>1016</v>
      </c>
      <c r="F427" s="112" t="s">
        <v>1017</v>
      </c>
      <c r="G427" s="113" t="s">
        <v>314</v>
      </c>
      <c r="H427" s="114">
        <v>1</v>
      </c>
      <c r="I427" s="115">
        <v>0</v>
      </c>
      <c r="J427" s="115">
        <f>ROUND(I427*H427,2)</f>
        <v>0</v>
      </c>
      <c r="K427" s="112" t="s">
        <v>107</v>
      </c>
      <c r="L427" s="28"/>
      <c r="M427" s="116" t="s">
        <v>1</v>
      </c>
      <c r="N427" s="117" t="s">
        <v>39</v>
      </c>
      <c r="O427" s="118">
        <v>0.81699999999999995</v>
      </c>
      <c r="P427" s="118">
        <f>O427*H427</f>
        <v>0.81699999999999995</v>
      </c>
      <c r="Q427" s="118">
        <v>3.9269999999999999E-2</v>
      </c>
      <c r="R427" s="118">
        <f>Q427*H427</f>
        <v>3.9269999999999999E-2</v>
      </c>
      <c r="S427" s="118">
        <v>0</v>
      </c>
      <c r="T427" s="119">
        <f>S427*H427</f>
        <v>0</v>
      </c>
      <c r="W427"/>
      <c r="X427"/>
      <c r="Y427"/>
      <c r="AP427" s="120" t="s">
        <v>108</v>
      </c>
      <c r="AR427" s="120" t="s">
        <v>103</v>
      </c>
      <c r="AS427" s="120" t="s">
        <v>65</v>
      </c>
      <c r="AW427" s="17" t="s">
        <v>101</v>
      </c>
      <c r="BC427" s="121">
        <f>IF(N427="základní",J427,0)</f>
        <v>0</v>
      </c>
      <c r="BD427" s="121">
        <f>IF(N427="snížená",J427,0)</f>
        <v>0</v>
      </c>
      <c r="BE427" s="121">
        <f>IF(N427="zákl. přenesená",J427,0)</f>
        <v>0</v>
      </c>
      <c r="BF427" s="121">
        <f>IF(N427="sníž. přenesená",J427,0)</f>
        <v>0</v>
      </c>
      <c r="BG427" s="121">
        <f>IF(N427="nulová",J427,0)</f>
        <v>0</v>
      </c>
      <c r="BH427" s="17" t="s">
        <v>63</v>
      </c>
      <c r="BI427" s="121">
        <f>ROUND(I427*H427,2)</f>
        <v>0</v>
      </c>
      <c r="BJ427" s="17" t="s">
        <v>108</v>
      </c>
      <c r="BK427" s="120" t="s">
        <v>1337</v>
      </c>
    </row>
    <row r="428" spans="2:63" s="1" customFormat="1" x14ac:dyDescent="0.2">
      <c r="B428" s="28"/>
      <c r="D428" s="122" t="s">
        <v>110</v>
      </c>
      <c r="F428" s="412" t="s">
        <v>1019</v>
      </c>
      <c r="L428" s="28"/>
      <c r="M428" s="124"/>
      <c r="T428" s="48"/>
      <c r="W428"/>
      <c r="X428"/>
      <c r="Y428"/>
      <c r="AR428" s="17" t="s">
        <v>110</v>
      </c>
      <c r="AS428" s="17" t="s">
        <v>65</v>
      </c>
    </row>
    <row r="429" spans="2:63" s="1" customFormat="1" ht="16.5" customHeight="1" x14ac:dyDescent="0.2">
      <c r="B429" s="109"/>
      <c r="C429" s="143" t="s">
        <v>463</v>
      </c>
      <c r="D429" s="143" t="s">
        <v>252</v>
      </c>
      <c r="E429" s="144" t="s">
        <v>1021</v>
      </c>
      <c r="F429" s="145" t="s">
        <v>1022</v>
      </c>
      <c r="G429" s="146" t="s">
        <v>314</v>
      </c>
      <c r="H429" s="147">
        <v>1</v>
      </c>
      <c r="I429" s="148">
        <v>0</v>
      </c>
      <c r="J429" s="148">
        <f>ROUND(I429*H429,2)</f>
        <v>0</v>
      </c>
      <c r="K429" s="145" t="s">
        <v>1</v>
      </c>
      <c r="L429" s="149"/>
      <c r="M429" s="150" t="s">
        <v>1</v>
      </c>
      <c r="N429" s="151" t="s">
        <v>39</v>
      </c>
      <c r="O429" s="118">
        <v>0</v>
      </c>
      <c r="P429" s="118">
        <f>O429*H429</f>
        <v>0</v>
      </c>
      <c r="Q429" s="118">
        <v>0.44900000000000001</v>
      </c>
      <c r="R429" s="118">
        <f>Q429*H429</f>
        <v>0.44900000000000001</v>
      </c>
      <c r="S429" s="118">
        <v>0</v>
      </c>
      <c r="T429" s="119">
        <f>S429*H429</f>
        <v>0</v>
      </c>
      <c r="W429"/>
      <c r="X429"/>
      <c r="Y429"/>
      <c r="AP429" s="120" t="s">
        <v>171</v>
      </c>
      <c r="AR429" s="120" t="s">
        <v>252</v>
      </c>
      <c r="AS429" s="120" t="s">
        <v>65</v>
      </c>
      <c r="AW429" s="17" t="s">
        <v>101</v>
      </c>
      <c r="BC429" s="121">
        <f>IF(N429="základní",J429,0)</f>
        <v>0</v>
      </c>
      <c r="BD429" s="121">
        <f>IF(N429="snížená",J429,0)</f>
        <v>0</v>
      </c>
      <c r="BE429" s="121">
        <f>IF(N429="zákl. přenesená",J429,0)</f>
        <v>0</v>
      </c>
      <c r="BF429" s="121">
        <f>IF(N429="sníž. přenesená",J429,0)</f>
        <v>0</v>
      </c>
      <c r="BG429" s="121">
        <f>IF(N429="nulová",J429,0)</f>
        <v>0</v>
      </c>
      <c r="BH429" s="17" t="s">
        <v>63</v>
      </c>
      <c r="BI429" s="121">
        <f>ROUND(I429*H429,2)</f>
        <v>0</v>
      </c>
      <c r="BJ429" s="17" t="s">
        <v>108</v>
      </c>
      <c r="BK429" s="120" t="s">
        <v>1338</v>
      </c>
    </row>
    <row r="430" spans="2:63" s="1" customFormat="1" ht="37.9" customHeight="1" x14ac:dyDescent="0.2">
      <c r="B430" s="109"/>
      <c r="C430" s="110" t="s">
        <v>467</v>
      </c>
      <c r="D430" s="110" t="s">
        <v>103</v>
      </c>
      <c r="E430" s="111" t="s">
        <v>1025</v>
      </c>
      <c r="F430" s="112" t="s">
        <v>1026</v>
      </c>
      <c r="G430" s="113" t="s">
        <v>314</v>
      </c>
      <c r="H430" s="114">
        <v>1</v>
      </c>
      <c r="I430" s="115">
        <v>0</v>
      </c>
      <c r="J430" s="115">
        <f>ROUND(I430*H430,2)</f>
        <v>0</v>
      </c>
      <c r="K430" s="112" t="s">
        <v>107</v>
      </c>
      <c r="L430" s="28"/>
      <c r="M430" s="116" t="s">
        <v>1</v>
      </c>
      <c r="N430" s="117" t="s">
        <v>39</v>
      </c>
      <c r="O430" s="118">
        <v>1.492</v>
      </c>
      <c r="P430" s="118">
        <f>O430*H430</f>
        <v>1.492</v>
      </c>
      <c r="Q430" s="118">
        <v>0.09</v>
      </c>
      <c r="R430" s="118">
        <f>Q430*H430</f>
        <v>0.09</v>
      </c>
      <c r="S430" s="118">
        <v>0</v>
      </c>
      <c r="T430" s="119">
        <f>S430*H430</f>
        <v>0</v>
      </c>
      <c r="W430"/>
      <c r="X430"/>
      <c r="Y430"/>
      <c r="AP430" s="120" t="s">
        <v>108</v>
      </c>
      <c r="AR430" s="120" t="s">
        <v>103</v>
      </c>
      <c r="AS430" s="120" t="s">
        <v>65</v>
      </c>
      <c r="AW430" s="17" t="s">
        <v>101</v>
      </c>
      <c r="BC430" s="121">
        <f>IF(N430="základní",J430,0)</f>
        <v>0</v>
      </c>
      <c r="BD430" s="121">
        <f>IF(N430="snížená",J430,0)</f>
        <v>0</v>
      </c>
      <c r="BE430" s="121">
        <f>IF(N430="zákl. přenesená",J430,0)</f>
        <v>0</v>
      </c>
      <c r="BF430" s="121">
        <f>IF(N430="sníž. přenesená",J430,0)</f>
        <v>0</v>
      </c>
      <c r="BG430" s="121">
        <f>IF(N430="nulová",J430,0)</f>
        <v>0</v>
      </c>
      <c r="BH430" s="17" t="s">
        <v>63</v>
      </c>
      <c r="BI430" s="121">
        <f>ROUND(I430*H430,2)</f>
        <v>0</v>
      </c>
      <c r="BJ430" s="17" t="s">
        <v>108</v>
      </c>
      <c r="BK430" s="120" t="s">
        <v>1339</v>
      </c>
    </row>
    <row r="431" spans="2:63" s="1" customFormat="1" x14ac:dyDescent="0.2">
      <c r="B431" s="28"/>
      <c r="D431" s="122" t="s">
        <v>110</v>
      </c>
      <c r="F431" s="412" t="s">
        <v>1028</v>
      </c>
      <c r="L431" s="28"/>
      <c r="M431" s="124"/>
      <c r="T431" s="48"/>
      <c r="W431"/>
      <c r="X431"/>
      <c r="Y431"/>
      <c r="AR431" s="17" t="s">
        <v>110</v>
      </c>
      <c r="AS431" s="17" t="s">
        <v>65</v>
      </c>
    </row>
    <row r="432" spans="2:63" s="1" customFormat="1" ht="24.2" customHeight="1" x14ac:dyDescent="0.2">
      <c r="B432" s="109"/>
      <c r="C432" s="143" t="s">
        <v>472</v>
      </c>
      <c r="D432" s="143" t="s">
        <v>252</v>
      </c>
      <c r="E432" s="144" t="s">
        <v>1340</v>
      </c>
      <c r="F432" s="145" t="s">
        <v>1341</v>
      </c>
      <c r="G432" s="146" t="s">
        <v>314</v>
      </c>
      <c r="H432" s="147">
        <v>1</v>
      </c>
      <c r="I432" s="148">
        <v>0</v>
      </c>
      <c r="J432" s="148">
        <f>ROUND(I432*H432,2)</f>
        <v>0</v>
      </c>
      <c r="K432" s="145" t="s">
        <v>107</v>
      </c>
      <c r="L432" s="149"/>
      <c r="M432" s="150" t="s">
        <v>1</v>
      </c>
      <c r="N432" s="151" t="s">
        <v>39</v>
      </c>
      <c r="O432" s="118">
        <v>0</v>
      </c>
      <c r="P432" s="118">
        <f>O432*H432</f>
        <v>0</v>
      </c>
      <c r="Q432" s="118">
        <v>0.10100000000000001</v>
      </c>
      <c r="R432" s="118">
        <f>Q432*H432</f>
        <v>0.10100000000000001</v>
      </c>
      <c r="S432" s="118">
        <v>0</v>
      </c>
      <c r="T432" s="119">
        <f>S432*H432</f>
        <v>0</v>
      </c>
      <c r="W432"/>
      <c r="X432"/>
      <c r="Y432"/>
      <c r="AP432" s="120" t="s">
        <v>171</v>
      </c>
      <c r="AR432" s="120" t="s">
        <v>252</v>
      </c>
      <c r="AS432" s="120" t="s">
        <v>65</v>
      </c>
      <c r="AW432" s="17" t="s">
        <v>101</v>
      </c>
      <c r="BC432" s="121">
        <f>IF(N432="základní",J432,0)</f>
        <v>0</v>
      </c>
      <c r="BD432" s="121">
        <f>IF(N432="snížená",J432,0)</f>
        <v>0</v>
      </c>
      <c r="BE432" s="121">
        <f>IF(N432="zákl. přenesená",J432,0)</f>
        <v>0</v>
      </c>
      <c r="BF432" s="121">
        <f>IF(N432="sníž. přenesená",J432,0)</f>
        <v>0</v>
      </c>
      <c r="BG432" s="121">
        <f>IF(N432="nulová",J432,0)</f>
        <v>0</v>
      </c>
      <c r="BH432" s="17" t="s">
        <v>63</v>
      </c>
      <c r="BI432" s="121">
        <f>ROUND(I432*H432,2)</f>
        <v>0</v>
      </c>
      <c r="BJ432" s="17" t="s">
        <v>108</v>
      </c>
      <c r="BK432" s="120" t="s">
        <v>1342</v>
      </c>
    </row>
    <row r="433" spans="2:63" s="1" customFormat="1" ht="21.75" customHeight="1" x14ac:dyDescent="0.2">
      <c r="B433" s="109"/>
      <c r="C433" s="110" t="s">
        <v>476</v>
      </c>
      <c r="D433" s="110" t="s">
        <v>103</v>
      </c>
      <c r="E433" s="111" t="s">
        <v>621</v>
      </c>
      <c r="F433" s="112" t="s">
        <v>622</v>
      </c>
      <c r="G433" s="113" t="s">
        <v>106</v>
      </c>
      <c r="H433" s="114">
        <f>32*0.18</f>
        <v>5.76</v>
      </c>
      <c r="I433" s="115">
        <v>0</v>
      </c>
      <c r="J433" s="115">
        <f>ROUND(I433*H433,2)</f>
        <v>0</v>
      </c>
      <c r="K433" s="112" t="s">
        <v>107</v>
      </c>
      <c r="L433" s="28"/>
      <c r="M433" s="116" t="s">
        <v>1</v>
      </c>
      <c r="N433" s="117" t="s">
        <v>39</v>
      </c>
      <c r="O433" s="118">
        <v>2.3E-2</v>
      </c>
      <c r="P433" s="118">
        <f>O433*H433</f>
        <v>0.13247999999999999</v>
      </c>
      <c r="Q433" s="118">
        <v>6.9999999999999994E-5</v>
      </c>
      <c r="R433" s="118">
        <f>Q433*H433</f>
        <v>4.0319999999999993E-4</v>
      </c>
      <c r="S433" s="118">
        <v>0</v>
      </c>
      <c r="T433" s="119">
        <f>S433*H433</f>
        <v>0</v>
      </c>
      <c r="W433"/>
      <c r="X433"/>
      <c r="Y433"/>
      <c r="AP433" s="120" t="s">
        <v>108</v>
      </c>
      <c r="AR433" s="120" t="s">
        <v>103</v>
      </c>
      <c r="AS433" s="120" t="s">
        <v>65</v>
      </c>
      <c r="AW433" s="17" t="s">
        <v>101</v>
      </c>
      <c r="BC433" s="121">
        <f>IF(N433="základní",J433,0)</f>
        <v>0</v>
      </c>
      <c r="BD433" s="121">
        <f>IF(N433="snížená",J433,0)</f>
        <v>0</v>
      </c>
      <c r="BE433" s="121">
        <f>IF(N433="zákl. přenesená",J433,0)</f>
        <v>0</v>
      </c>
      <c r="BF433" s="121">
        <f>IF(N433="sníž. přenesená",J433,0)</f>
        <v>0</v>
      </c>
      <c r="BG433" s="121">
        <f>IF(N433="nulová",J433,0)</f>
        <v>0</v>
      </c>
      <c r="BH433" s="17" t="s">
        <v>63</v>
      </c>
      <c r="BI433" s="121">
        <f>ROUND(I433*H433,2)</f>
        <v>0</v>
      </c>
      <c r="BJ433" s="17" t="s">
        <v>108</v>
      </c>
      <c r="BK433" s="120" t="s">
        <v>1343</v>
      </c>
    </row>
    <row r="434" spans="2:63" s="1" customFormat="1" x14ac:dyDescent="0.2">
      <c r="B434" s="28"/>
      <c r="D434" s="122" t="s">
        <v>110</v>
      </c>
      <c r="F434" s="412" t="s">
        <v>624</v>
      </c>
      <c r="L434" s="28"/>
      <c r="M434" s="124"/>
      <c r="T434" s="48"/>
      <c r="W434"/>
      <c r="X434"/>
      <c r="Y434"/>
      <c r="AR434" s="17" t="s">
        <v>110</v>
      </c>
      <c r="AS434" s="17" t="s">
        <v>65</v>
      </c>
    </row>
    <row r="435" spans="2:63" s="11" customFormat="1" ht="22.9" customHeight="1" x14ac:dyDescent="0.2">
      <c r="B435" s="98"/>
      <c r="D435" s="99" t="s">
        <v>54</v>
      </c>
      <c r="E435" s="107" t="s">
        <v>180</v>
      </c>
      <c r="F435" s="107" t="s">
        <v>1344</v>
      </c>
      <c r="J435" s="108">
        <f>BI435</f>
        <v>0</v>
      </c>
      <c r="L435" s="98"/>
      <c r="M435" s="102"/>
      <c r="P435" s="103">
        <f>SUM(P436:P453)</f>
        <v>49.902907200000001</v>
      </c>
      <c r="R435" s="103">
        <f>SUM(R436:R453)</f>
        <v>0.28821457979999998</v>
      </c>
      <c r="T435" s="104">
        <f>SUM(T436:T453)</f>
        <v>4.0500000000000001E-2</v>
      </c>
      <c r="W435"/>
      <c r="X435"/>
      <c r="Y435"/>
      <c r="AP435" s="99" t="s">
        <v>63</v>
      </c>
      <c r="AR435" s="105" t="s">
        <v>54</v>
      </c>
      <c r="AS435" s="105" t="s">
        <v>63</v>
      </c>
      <c r="AW435" s="99" t="s">
        <v>101</v>
      </c>
      <c r="BI435" s="106">
        <f>SUM(BI436:BI453)</f>
        <v>0</v>
      </c>
    </row>
    <row r="436" spans="2:63" s="1" customFormat="1" ht="24.2" customHeight="1" x14ac:dyDescent="0.2">
      <c r="B436" s="109"/>
      <c r="C436" s="110" t="s">
        <v>481</v>
      </c>
      <c r="D436" s="110" t="s">
        <v>103</v>
      </c>
      <c r="E436" s="111" t="s">
        <v>1345</v>
      </c>
      <c r="F436" s="112" t="s">
        <v>1346</v>
      </c>
      <c r="G436" s="113" t="s">
        <v>174</v>
      </c>
      <c r="H436" s="114">
        <f>3398.813*0.18</f>
        <v>611.78634</v>
      </c>
      <c r="I436" s="115">
        <v>0</v>
      </c>
      <c r="J436" s="115">
        <f>ROUND(I436*H436,2)</f>
        <v>0</v>
      </c>
      <c r="K436" s="112" t="s">
        <v>107</v>
      </c>
      <c r="L436" s="28"/>
      <c r="M436" s="116" t="s">
        <v>1</v>
      </c>
      <c r="N436" s="117" t="s">
        <v>39</v>
      </c>
      <c r="O436" s="118">
        <v>0.08</v>
      </c>
      <c r="P436" s="118">
        <f>O436*H436</f>
        <v>48.942907200000001</v>
      </c>
      <c r="Q436" s="118">
        <v>4.6999999999999999E-4</v>
      </c>
      <c r="R436" s="118">
        <f>Q436*H436</f>
        <v>0.2875395798</v>
      </c>
      <c r="S436" s="118">
        <v>0</v>
      </c>
      <c r="T436" s="119">
        <f>S436*H436</f>
        <v>0</v>
      </c>
      <c r="W436"/>
      <c r="X436"/>
      <c r="Y436"/>
      <c r="AP436" s="120" t="s">
        <v>108</v>
      </c>
      <c r="AR436" s="120" t="s">
        <v>103</v>
      </c>
      <c r="AS436" s="120" t="s">
        <v>65</v>
      </c>
      <c r="AW436" s="17" t="s">
        <v>101</v>
      </c>
      <c r="BC436" s="121">
        <f>IF(N436="základní",J436,0)</f>
        <v>0</v>
      </c>
      <c r="BD436" s="121">
        <f>IF(N436="snížená",J436,0)</f>
        <v>0</v>
      </c>
      <c r="BE436" s="121">
        <f>IF(N436="zákl. přenesená",J436,0)</f>
        <v>0</v>
      </c>
      <c r="BF436" s="121">
        <f>IF(N436="sníž. přenesená",J436,0)</f>
        <v>0</v>
      </c>
      <c r="BG436" s="121">
        <f>IF(N436="nulová",J436,0)</f>
        <v>0</v>
      </c>
      <c r="BH436" s="17" t="s">
        <v>63</v>
      </c>
      <c r="BI436" s="121">
        <f>ROUND(I436*H436,2)</f>
        <v>0</v>
      </c>
      <c r="BJ436" s="17" t="s">
        <v>108</v>
      </c>
      <c r="BK436" s="120" t="s">
        <v>1347</v>
      </c>
    </row>
    <row r="437" spans="2:63" s="1" customFormat="1" x14ac:dyDescent="0.2">
      <c r="B437" s="28"/>
      <c r="D437" s="122" t="s">
        <v>110</v>
      </c>
      <c r="F437" s="412" t="s">
        <v>1348</v>
      </c>
      <c r="L437" s="28"/>
      <c r="M437" s="124"/>
      <c r="T437" s="48"/>
      <c r="W437"/>
      <c r="X437"/>
      <c r="Y437"/>
      <c r="AR437" s="17" t="s">
        <v>110</v>
      </c>
      <c r="AS437" s="17" t="s">
        <v>65</v>
      </c>
    </row>
    <row r="438" spans="2:63" s="12" customFormat="1" x14ac:dyDescent="0.2">
      <c r="B438" s="125"/>
      <c r="D438" s="126" t="s">
        <v>112</v>
      </c>
      <c r="E438" s="127" t="s">
        <v>1</v>
      </c>
      <c r="F438" s="128" t="s">
        <v>1248</v>
      </c>
      <c r="H438" s="127" t="s">
        <v>1</v>
      </c>
      <c r="L438" s="125"/>
      <c r="M438" s="129"/>
      <c r="T438" s="130"/>
      <c r="W438"/>
      <c r="X438"/>
      <c r="Y438"/>
      <c r="AR438" s="127" t="s">
        <v>112</v>
      </c>
      <c r="AS438" s="127" t="s">
        <v>65</v>
      </c>
      <c r="AT438" s="12" t="s">
        <v>63</v>
      </c>
      <c r="AU438" s="12" t="s">
        <v>30</v>
      </c>
      <c r="AV438" s="12" t="s">
        <v>55</v>
      </c>
      <c r="AW438" s="127" t="s">
        <v>101</v>
      </c>
    </row>
    <row r="439" spans="2:63" s="12" customFormat="1" ht="22.5" x14ac:dyDescent="0.2">
      <c r="B439" s="125"/>
      <c r="D439" s="126" t="s">
        <v>112</v>
      </c>
      <c r="E439" s="127" t="s">
        <v>1</v>
      </c>
      <c r="F439" s="128" t="s">
        <v>1349</v>
      </c>
      <c r="H439" s="127" t="s">
        <v>1</v>
      </c>
      <c r="L439" s="125"/>
      <c r="M439" s="129"/>
      <c r="T439" s="130"/>
      <c r="W439"/>
      <c r="X439"/>
      <c r="Y439"/>
      <c r="AR439" s="127" t="s">
        <v>112</v>
      </c>
      <c r="AS439" s="127" t="s">
        <v>65</v>
      </c>
      <c r="AT439" s="12" t="s">
        <v>63</v>
      </c>
      <c r="AU439" s="12" t="s">
        <v>30</v>
      </c>
      <c r="AV439" s="12" t="s">
        <v>55</v>
      </c>
      <c r="AW439" s="127" t="s">
        <v>101</v>
      </c>
    </row>
    <row r="440" spans="2:63" s="13" customFormat="1" x14ac:dyDescent="0.2">
      <c r="B440" s="131"/>
      <c r="D440" s="126" t="s">
        <v>112</v>
      </c>
      <c r="E440" s="132" t="s">
        <v>1</v>
      </c>
      <c r="F440" s="133" t="s">
        <v>1350</v>
      </c>
      <c r="H440" s="134">
        <v>194.8</v>
      </c>
      <c r="L440" s="131"/>
      <c r="M440" s="135"/>
      <c r="T440" s="136"/>
      <c r="W440"/>
      <c r="X440"/>
      <c r="Y440"/>
      <c r="AR440" s="132" t="s">
        <v>112</v>
      </c>
      <c r="AS440" s="132" t="s">
        <v>65</v>
      </c>
      <c r="AT440" s="13" t="s">
        <v>65</v>
      </c>
      <c r="AU440" s="13" t="s">
        <v>30</v>
      </c>
      <c r="AV440" s="13" t="s">
        <v>55</v>
      </c>
      <c r="AW440" s="132" t="s">
        <v>101</v>
      </c>
    </row>
    <row r="441" spans="2:63" s="13" customFormat="1" x14ac:dyDescent="0.2">
      <c r="B441" s="131"/>
      <c r="D441" s="126" t="s">
        <v>112</v>
      </c>
      <c r="E441" s="132" t="s">
        <v>1</v>
      </c>
      <c r="F441" s="133" t="s">
        <v>1351</v>
      </c>
      <c r="H441" s="134">
        <v>662.8</v>
      </c>
      <c r="L441" s="131"/>
      <c r="M441" s="135"/>
      <c r="T441" s="136"/>
      <c r="W441"/>
      <c r="X441"/>
      <c r="Y441"/>
      <c r="AR441" s="132" t="s">
        <v>112</v>
      </c>
      <c r="AS441" s="132" t="s">
        <v>65</v>
      </c>
      <c r="AT441" s="13" t="s">
        <v>65</v>
      </c>
      <c r="AU441" s="13" t="s">
        <v>30</v>
      </c>
      <c r="AV441" s="13" t="s">
        <v>55</v>
      </c>
      <c r="AW441" s="132" t="s">
        <v>101</v>
      </c>
    </row>
    <row r="442" spans="2:63" s="13" customFormat="1" x14ac:dyDescent="0.2">
      <c r="B442" s="131"/>
      <c r="D442" s="126" t="s">
        <v>112</v>
      </c>
      <c r="E442" s="132" t="s">
        <v>1</v>
      </c>
      <c r="F442" s="133" t="s">
        <v>1352</v>
      </c>
      <c r="H442" s="134">
        <v>92.94</v>
      </c>
      <c r="L442" s="131"/>
      <c r="M442" s="135"/>
      <c r="T442" s="136"/>
      <c r="W442"/>
      <c r="X442"/>
      <c r="Y442"/>
      <c r="AR442" s="132" t="s">
        <v>112</v>
      </c>
      <c r="AS442" s="132" t="s">
        <v>65</v>
      </c>
      <c r="AT442" s="13" t="s">
        <v>65</v>
      </c>
      <c r="AU442" s="13" t="s">
        <v>30</v>
      </c>
      <c r="AV442" s="13" t="s">
        <v>55</v>
      </c>
      <c r="AW442" s="132" t="s">
        <v>101</v>
      </c>
    </row>
    <row r="443" spans="2:63" s="13" customFormat="1" x14ac:dyDescent="0.2">
      <c r="B443" s="131"/>
      <c r="D443" s="126" t="s">
        <v>112</v>
      </c>
      <c r="E443" s="132" t="s">
        <v>1</v>
      </c>
      <c r="F443" s="133" t="s">
        <v>1353</v>
      </c>
      <c r="H443" s="134">
        <v>213.86</v>
      </c>
      <c r="L443" s="131"/>
      <c r="M443" s="135"/>
      <c r="T443" s="136"/>
      <c r="W443"/>
      <c r="X443"/>
      <c r="Y443"/>
      <c r="AR443" s="132" t="s">
        <v>112</v>
      </c>
      <c r="AS443" s="132" t="s">
        <v>65</v>
      </c>
      <c r="AT443" s="13" t="s">
        <v>65</v>
      </c>
      <c r="AU443" s="13" t="s">
        <v>30</v>
      </c>
      <c r="AV443" s="13" t="s">
        <v>55</v>
      </c>
      <c r="AW443" s="132" t="s">
        <v>101</v>
      </c>
    </row>
    <row r="444" spans="2:63" s="13" customFormat="1" x14ac:dyDescent="0.2">
      <c r="B444" s="131"/>
      <c r="D444" s="126" t="s">
        <v>112</v>
      </c>
      <c r="E444" s="132" t="s">
        <v>1</v>
      </c>
      <c r="F444" s="133" t="s">
        <v>1354</v>
      </c>
      <c r="H444" s="134">
        <v>321.95999999999998</v>
      </c>
      <c r="L444" s="131"/>
      <c r="M444" s="135"/>
      <c r="T444" s="136"/>
      <c r="W444"/>
      <c r="X444"/>
      <c r="Y444"/>
      <c r="AR444" s="132" t="s">
        <v>112</v>
      </c>
      <c r="AS444" s="132" t="s">
        <v>65</v>
      </c>
      <c r="AT444" s="13" t="s">
        <v>65</v>
      </c>
      <c r="AU444" s="13" t="s">
        <v>30</v>
      </c>
      <c r="AV444" s="13" t="s">
        <v>55</v>
      </c>
      <c r="AW444" s="132" t="s">
        <v>101</v>
      </c>
    </row>
    <row r="445" spans="2:63" s="13" customFormat="1" x14ac:dyDescent="0.2">
      <c r="B445" s="131"/>
      <c r="D445" s="126" t="s">
        <v>112</v>
      </c>
      <c r="E445" s="132" t="s">
        <v>1</v>
      </c>
      <c r="F445" s="133" t="s">
        <v>1355</v>
      </c>
      <c r="H445" s="134">
        <v>430.08</v>
      </c>
      <c r="L445" s="131"/>
      <c r="M445" s="135"/>
      <c r="T445" s="136"/>
      <c r="W445"/>
      <c r="X445"/>
      <c r="Y445"/>
      <c r="AR445" s="132" t="s">
        <v>112</v>
      </c>
      <c r="AS445" s="132" t="s">
        <v>65</v>
      </c>
      <c r="AT445" s="13" t="s">
        <v>65</v>
      </c>
      <c r="AU445" s="13" t="s">
        <v>30</v>
      </c>
      <c r="AV445" s="13" t="s">
        <v>55</v>
      </c>
      <c r="AW445" s="132" t="s">
        <v>101</v>
      </c>
    </row>
    <row r="446" spans="2:63" s="13" customFormat="1" x14ac:dyDescent="0.2">
      <c r="B446" s="131"/>
      <c r="D446" s="126" t="s">
        <v>112</v>
      </c>
      <c r="E446" s="132" t="s">
        <v>1</v>
      </c>
      <c r="F446" s="133" t="s">
        <v>1356</v>
      </c>
      <c r="H446" s="134">
        <v>453.88600000000002</v>
      </c>
      <c r="L446" s="131"/>
      <c r="M446" s="135"/>
      <c r="T446" s="136"/>
      <c r="W446"/>
      <c r="X446"/>
      <c r="Y446"/>
      <c r="AR446" s="132" t="s">
        <v>112</v>
      </c>
      <c r="AS446" s="132" t="s">
        <v>65</v>
      </c>
      <c r="AT446" s="13" t="s">
        <v>65</v>
      </c>
      <c r="AU446" s="13" t="s">
        <v>30</v>
      </c>
      <c r="AV446" s="13" t="s">
        <v>55</v>
      </c>
      <c r="AW446" s="132" t="s">
        <v>101</v>
      </c>
    </row>
    <row r="447" spans="2:63" s="13" customFormat="1" x14ac:dyDescent="0.2">
      <c r="B447" s="131"/>
      <c r="D447" s="126" t="s">
        <v>112</v>
      </c>
      <c r="E447" s="132" t="s">
        <v>1</v>
      </c>
      <c r="F447" s="133" t="s">
        <v>1357</v>
      </c>
      <c r="H447" s="134">
        <v>127.08799999999999</v>
      </c>
      <c r="L447" s="131"/>
      <c r="M447" s="135"/>
      <c r="T447" s="136"/>
      <c r="W447"/>
      <c r="X447"/>
      <c r="Y447"/>
      <c r="AR447" s="132" t="s">
        <v>112</v>
      </c>
      <c r="AS447" s="132" t="s">
        <v>65</v>
      </c>
      <c r="AT447" s="13" t="s">
        <v>65</v>
      </c>
      <c r="AU447" s="13" t="s">
        <v>30</v>
      </c>
      <c r="AV447" s="13" t="s">
        <v>55</v>
      </c>
      <c r="AW447" s="132" t="s">
        <v>101</v>
      </c>
    </row>
    <row r="448" spans="2:63" s="13" customFormat="1" x14ac:dyDescent="0.2">
      <c r="B448" s="131"/>
      <c r="D448" s="126" t="s">
        <v>112</v>
      </c>
      <c r="E448" s="132" t="s">
        <v>1</v>
      </c>
      <c r="F448" s="133" t="s">
        <v>1358</v>
      </c>
      <c r="H448" s="134">
        <v>592.41600000000005</v>
      </c>
      <c r="L448" s="131"/>
      <c r="M448" s="135"/>
      <c r="T448" s="136"/>
      <c r="W448"/>
      <c r="X448"/>
      <c r="Y448"/>
      <c r="AR448" s="132" t="s">
        <v>112</v>
      </c>
      <c r="AS448" s="132" t="s">
        <v>65</v>
      </c>
      <c r="AT448" s="13" t="s">
        <v>65</v>
      </c>
      <c r="AU448" s="13" t="s">
        <v>30</v>
      </c>
      <c r="AV448" s="13" t="s">
        <v>55</v>
      </c>
      <c r="AW448" s="132" t="s">
        <v>101</v>
      </c>
    </row>
    <row r="449" spans="2:63" s="14" customFormat="1" x14ac:dyDescent="0.2">
      <c r="B449" s="137"/>
      <c r="D449" s="126" t="s">
        <v>112</v>
      </c>
      <c r="E449" s="138" t="s">
        <v>1</v>
      </c>
      <c r="F449" s="139" t="s">
        <v>127</v>
      </c>
      <c r="H449" s="140">
        <v>3089.83</v>
      </c>
      <c r="L449" s="137"/>
      <c r="M449" s="141"/>
      <c r="T449" s="142"/>
      <c r="W449"/>
      <c r="X449"/>
      <c r="Y449"/>
      <c r="AR449" s="138" t="s">
        <v>112</v>
      </c>
      <c r="AS449" s="138" t="s">
        <v>65</v>
      </c>
      <c r="AT449" s="14" t="s">
        <v>108</v>
      </c>
      <c r="AU449" s="14" t="s">
        <v>30</v>
      </c>
      <c r="AV449" s="14" t="s">
        <v>63</v>
      </c>
      <c r="AW449" s="138" t="s">
        <v>101</v>
      </c>
    </row>
    <row r="450" spans="2:63" s="13" customFormat="1" x14ac:dyDescent="0.2">
      <c r="B450" s="131"/>
      <c r="D450" s="126" t="s">
        <v>112</v>
      </c>
      <c r="F450" s="133" t="s">
        <v>1359</v>
      </c>
      <c r="H450" s="134">
        <v>3398.8130000000001</v>
      </c>
      <c r="L450" s="131"/>
      <c r="M450" s="135"/>
      <c r="T450" s="136"/>
      <c r="W450"/>
      <c r="X450"/>
      <c r="Y450"/>
      <c r="AR450" s="132" t="s">
        <v>112</v>
      </c>
      <c r="AS450" s="132" t="s">
        <v>65</v>
      </c>
      <c r="AT450" s="13" t="s">
        <v>65</v>
      </c>
      <c r="AU450" s="13" t="s">
        <v>2</v>
      </c>
      <c r="AV450" s="13" t="s">
        <v>63</v>
      </c>
      <c r="AW450" s="132" t="s">
        <v>101</v>
      </c>
    </row>
    <row r="451" spans="2:63" s="13" customFormat="1" x14ac:dyDescent="0.2">
      <c r="B451" s="131"/>
      <c r="D451" s="126"/>
      <c r="F451" s="139" t="s">
        <v>1842</v>
      </c>
      <c r="H451" s="134">
        <f>H450*0.18</f>
        <v>611.78634</v>
      </c>
      <c r="L451" s="131"/>
      <c r="M451" s="135"/>
      <c r="T451" s="136"/>
      <c r="W451"/>
      <c r="X451"/>
      <c r="Y451"/>
      <c r="AR451" s="132"/>
      <c r="AS451" s="132"/>
      <c r="AW451" s="132"/>
    </row>
    <row r="452" spans="2:63" s="1" customFormat="1" ht="44.25" customHeight="1" x14ac:dyDescent="0.2">
      <c r="B452" s="109"/>
      <c r="C452" s="110" t="s">
        <v>485</v>
      </c>
      <c r="D452" s="110" t="s">
        <v>103</v>
      </c>
      <c r="E452" s="111" t="s">
        <v>1360</v>
      </c>
      <c r="F452" s="112" t="s">
        <v>1361</v>
      </c>
      <c r="G452" s="113" t="s">
        <v>106</v>
      </c>
      <c r="H452" s="114">
        <v>0.15</v>
      </c>
      <c r="I452" s="115">
        <v>0</v>
      </c>
      <c r="J452" s="115">
        <f>ROUND(I452*H452,2)</f>
        <v>0</v>
      </c>
      <c r="K452" s="112" t="s">
        <v>107</v>
      </c>
      <c r="L452" s="28"/>
      <c r="M452" s="116" t="s">
        <v>1</v>
      </c>
      <c r="N452" s="117" t="s">
        <v>39</v>
      </c>
      <c r="O452" s="118">
        <v>6.4</v>
      </c>
      <c r="P452" s="118">
        <f>O452*H452</f>
        <v>0.96</v>
      </c>
      <c r="Q452" s="118">
        <v>4.4999999999999997E-3</v>
      </c>
      <c r="R452" s="118">
        <f>Q452*H452</f>
        <v>6.7499999999999993E-4</v>
      </c>
      <c r="S452" s="118">
        <v>0.27</v>
      </c>
      <c r="T452" s="119">
        <f>S452*H452</f>
        <v>4.0500000000000001E-2</v>
      </c>
      <c r="W452"/>
      <c r="X452"/>
      <c r="Y452"/>
      <c r="AP452" s="120" t="s">
        <v>108</v>
      </c>
      <c r="AR452" s="120" t="s">
        <v>103</v>
      </c>
      <c r="AS452" s="120" t="s">
        <v>65</v>
      </c>
      <c r="AW452" s="17" t="s">
        <v>101</v>
      </c>
      <c r="BC452" s="121">
        <f>IF(N452="základní",J452,0)</f>
        <v>0</v>
      </c>
      <c r="BD452" s="121">
        <f>IF(N452="snížená",J452,0)</f>
        <v>0</v>
      </c>
      <c r="BE452" s="121">
        <f>IF(N452="zákl. přenesená",J452,0)</f>
        <v>0</v>
      </c>
      <c r="BF452" s="121">
        <f>IF(N452="sníž. přenesená",J452,0)</f>
        <v>0</v>
      </c>
      <c r="BG452" s="121">
        <f>IF(N452="nulová",J452,0)</f>
        <v>0</v>
      </c>
      <c r="BH452" s="17" t="s">
        <v>63</v>
      </c>
      <c r="BI452" s="121">
        <f>ROUND(I452*H452,2)</f>
        <v>0</v>
      </c>
      <c r="BJ452" s="17" t="s">
        <v>108</v>
      </c>
      <c r="BK452" s="120" t="s">
        <v>1362</v>
      </c>
    </row>
    <row r="453" spans="2:63" s="1" customFormat="1" x14ac:dyDescent="0.2">
      <c r="B453" s="28"/>
      <c r="D453" s="122" t="s">
        <v>110</v>
      </c>
      <c r="F453" s="412" t="s">
        <v>1363</v>
      </c>
      <c r="L453" s="28"/>
      <c r="M453" s="124"/>
      <c r="T453" s="48"/>
      <c r="W453"/>
      <c r="X453"/>
      <c r="Y453"/>
      <c r="AR453" s="17" t="s">
        <v>110</v>
      </c>
      <c r="AS453" s="17" t="s">
        <v>65</v>
      </c>
    </row>
    <row r="454" spans="2:63" s="11" customFormat="1" ht="22.9" customHeight="1" x14ac:dyDescent="0.2">
      <c r="B454" s="98"/>
      <c r="D454" s="99" t="s">
        <v>54</v>
      </c>
      <c r="E454" s="107" t="s">
        <v>625</v>
      </c>
      <c r="F454" s="107" t="s">
        <v>626</v>
      </c>
      <c r="J454" s="108">
        <f>BI454</f>
        <v>0</v>
      </c>
      <c r="L454" s="98"/>
      <c r="M454" s="102"/>
      <c r="P454" s="103">
        <f>SUM(P455:P458)</f>
        <v>4.4499520799999992</v>
      </c>
      <c r="R454" s="103">
        <f>SUM(R455:R458)</f>
        <v>0</v>
      </c>
      <c r="T454" s="104">
        <f>SUM(T455:T458)</f>
        <v>0</v>
      </c>
      <c r="W454"/>
      <c r="X454"/>
      <c r="Y454"/>
      <c r="AP454" s="99" t="s">
        <v>63</v>
      </c>
      <c r="AR454" s="105" t="s">
        <v>54</v>
      </c>
      <c r="AS454" s="105" t="s">
        <v>63</v>
      </c>
      <c r="AW454" s="99" t="s">
        <v>101</v>
      </c>
      <c r="BI454" s="106">
        <f>SUM(BI455:BI458)</f>
        <v>0</v>
      </c>
    </row>
    <row r="455" spans="2:63" s="1" customFormat="1" ht="49.15" customHeight="1" x14ac:dyDescent="0.2">
      <c r="B455" s="109"/>
      <c r="C455" s="110" t="s">
        <v>490</v>
      </c>
      <c r="D455" s="110" t="s">
        <v>103</v>
      </c>
      <c r="E455" s="111" t="s">
        <v>628</v>
      </c>
      <c r="F455" s="112" t="s">
        <v>629</v>
      </c>
      <c r="G455" s="113" t="s">
        <v>231</v>
      </c>
      <c r="H455" s="114">
        <f>10.017*0.18</f>
        <v>1.8030599999999999</v>
      </c>
      <c r="I455" s="115">
        <v>0</v>
      </c>
      <c r="J455" s="115">
        <f>ROUND(I455*H455,2)</f>
        <v>0</v>
      </c>
      <c r="K455" s="112" t="s">
        <v>107</v>
      </c>
      <c r="L455" s="28"/>
      <c r="M455" s="116" t="s">
        <v>1</v>
      </c>
      <c r="N455" s="117" t="s">
        <v>39</v>
      </c>
      <c r="O455" s="118">
        <v>1.48</v>
      </c>
      <c r="P455" s="118">
        <f>O455*H455</f>
        <v>2.6685287999999998</v>
      </c>
      <c r="Q455" s="118">
        <v>0</v>
      </c>
      <c r="R455" s="118">
        <f>Q455*H455</f>
        <v>0</v>
      </c>
      <c r="S455" s="118">
        <v>0</v>
      </c>
      <c r="T455" s="119">
        <f>S455*H455</f>
        <v>0</v>
      </c>
      <c r="W455"/>
      <c r="X455"/>
      <c r="Y455"/>
      <c r="AP455" s="120" t="s">
        <v>108</v>
      </c>
      <c r="AR455" s="120" t="s">
        <v>103</v>
      </c>
      <c r="AS455" s="120" t="s">
        <v>65</v>
      </c>
      <c r="AW455" s="17" t="s">
        <v>101</v>
      </c>
      <c r="BC455" s="121">
        <f>IF(N455="základní",J455,0)</f>
        <v>0</v>
      </c>
      <c r="BD455" s="121">
        <f>IF(N455="snížená",J455,0)</f>
        <v>0</v>
      </c>
      <c r="BE455" s="121">
        <f>IF(N455="zákl. přenesená",J455,0)</f>
        <v>0</v>
      </c>
      <c r="BF455" s="121">
        <f>IF(N455="sníž. přenesená",J455,0)</f>
        <v>0</v>
      </c>
      <c r="BG455" s="121">
        <f>IF(N455="nulová",J455,0)</f>
        <v>0</v>
      </c>
      <c r="BH455" s="17" t="s">
        <v>63</v>
      </c>
      <c r="BI455" s="121">
        <f>ROUND(I455*H455,2)</f>
        <v>0</v>
      </c>
      <c r="BJ455" s="17" t="s">
        <v>108</v>
      </c>
      <c r="BK455" s="120" t="s">
        <v>1364</v>
      </c>
    </row>
    <row r="456" spans="2:63" s="1" customFormat="1" x14ac:dyDescent="0.2">
      <c r="B456" s="28"/>
      <c r="D456" s="122" t="s">
        <v>110</v>
      </c>
      <c r="F456" s="412" t="s">
        <v>631</v>
      </c>
      <c r="L456" s="28"/>
      <c r="M456" s="124"/>
      <c r="T456" s="48"/>
      <c r="W456"/>
      <c r="X456"/>
      <c r="Y456"/>
      <c r="AR456" s="17" t="s">
        <v>110</v>
      </c>
      <c r="AS456" s="17" t="s">
        <v>65</v>
      </c>
    </row>
    <row r="457" spans="2:63" s="1" customFormat="1" ht="55.5" customHeight="1" x14ac:dyDescent="0.2">
      <c r="B457" s="109"/>
      <c r="C457" s="110" t="s">
        <v>494</v>
      </c>
      <c r="D457" s="110" t="s">
        <v>103</v>
      </c>
      <c r="E457" s="111" t="s">
        <v>633</v>
      </c>
      <c r="F457" s="112" t="s">
        <v>634</v>
      </c>
      <c r="G457" s="113" t="s">
        <v>231</v>
      </c>
      <c r="H457" s="114">
        <f>10.017*0.18</f>
        <v>1.8030599999999999</v>
      </c>
      <c r="I457" s="115">
        <v>0</v>
      </c>
      <c r="J457" s="115">
        <f>ROUND(I457*H457,2)</f>
        <v>0</v>
      </c>
      <c r="K457" s="112" t="s">
        <v>107</v>
      </c>
      <c r="L457" s="28"/>
      <c r="M457" s="116" t="s">
        <v>1</v>
      </c>
      <c r="N457" s="117" t="s">
        <v>39</v>
      </c>
      <c r="O457" s="118">
        <v>0.98799999999999999</v>
      </c>
      <c r="P457" s="118">
        <f>O457*H457</f>
        <v>1.7814232799999998</v>
      </c>
      <c r="Q457" s="118">
        <v>0</v>
      </c>
      <c r="R457" s="118">
        <f>Q457*H457</f>
        <v>0</v>
      </c>
      <c r="S457" s="118">
        <v>0</v>
      </c>
      <c r="T457" s="119">
        <f>S457*H457</f>
        <v>0</v>
      </c>
      <c r="W457"/>
      <c r="X457"/>
      <c r="Y457"/>
      <c r="AP457" s="120" t="s">
        <v>108</v>
      </c>
      <c r="AR457" s="120" t="s">
        <v>103</v>
      </c>
      <c r="AS457" s="120" t="s">
        <v>65</v>
      </c>
      <c r="AW457" s="17" t="s">
        <v>101</v>
      </c>
      <c r="BC457" s="121">
        <f>IF(N457="základní",J457,0)</f>
        <v>0</v>
      </c>
      <c r="BD457" s="121">
        <f>IF(N457="snížená",J457,0)</f>
        <v>0</v>
      </c>
      <c r="BE457" s="121">
        <f>IF(N457="zákl. přenesená",J457,0)</f>
        <v>0</v>
      </c>
      <c r="BF457" s="121">
        <f>IF(N457="sníž. přenesená",J457,0)</f>
        <v>0</v>
      </c>
      <c r="BG457" s="121">
        <f>IF(N457="nulová",J457,0)</f>
        <v>0</v>
      </c>
      <c r="BH457" s="17" t="s">
        <v>63</v>
      </c>
      <c r="BI457" s="121">
        <f>ROUND(I457*H457,2)</f>
        <v>0</v>
      </c>
      <c r="BJ457" s="17" t="s">
        <v>108</v>
      </c>
      <c r="BK457" s="120" t="s">
        <v>1365</v>
      </c>
    </row>
    <row r="458" spans="2:63" s="1" customFormat="1" x14ac:dyDescent="0.2">
      <c r="B458" s="28"/>
      <c r="D458" s="122" t="s">
        <v>110</v>
      </c>
      <c r="F458" s="412" t="s">
        <v>636</v>
      </c>
      <c r="L458" s="28"/>
      <c r="M458" s="124"/>
      <c r="T458" s="48"/>
      <c r="W458"/>
      <c r="X458"/>
      <c r="Y458"/>
      <c r="AR458" s="17" t="s">
        <v>110</v>
      </c>
      <c r="AS458" s="17" t="s">
        <v>65</v>
      </c>
    </row>
    <row r="459" spans="2:63" s="11" customFormat="1" ht="25.9" customHeight="1" x14ac:dyDescent="0.2">
      <c r="B459" s="98"/>
      <c r="D459" s="99" t="s">
        <v>54</v>
      </c>
      <c r="E459" s="100" t="s">
        <v>1065</v>
      </c>
      <c r="F459" s="100" t="s">
        <v>1066</v>
      </c>
      <c r="J459" s="101">
        <f>BI459</f>
        <v>0</v>
      </c>
      <c r="L459" s="98"/>
      <c r="M459" s="102"/>
      <c r="P459" s="103">
        <f>P460</f>
        <v>2.95</v>
      </c>
      <c r="R459" s="103">
        <f>R460</f>
        <v>5.9000000000000003E-4</v>
      </c>
      <c r="T459" s="104">
        <f>T460</f>
        <v>0</v>
      </c>
      <c r="W459"/>
      <c r="X459"/>
      <c r="Y459"/>
      <c r="AP459" s="99" t="s">
        <v>65</v>
      </c>
      <c r="AR459" s="105" t="s">
        <v>54</v>
      </c>
      <c r="AS459" s="105" t="s">
        <v>55</v>
      </c>
      <c r="AW459" s="99" t="s">
        <v>101</v>
      </c>
      <c r="BI459" s="106">
        <f>BI460</f>
        <v>0</v>
      </c>
    </row>
    <row r="460" spans="2:63" s="11" customFormat="1" ht="22.9" customHeight="1" x14ac:dyDescent="0.2">
      <c r="B460" s="98"/>
      <c r="D460" s="99" t="s">
        <v>54</v>
      </c>
      <c r="E460" s="107" t="s">
        <v>1067</v>
      </c>
      <c r="F460" s="107" t="s">
        <v>1068</v>
      </c>
      <c r="J460" s="108">
        <f>BI460</f>
        <v>0</v>
      </c>
      <c r="L460" s="98"/>
      <c r="M460" s="102"/>
      <c r="P460" s="103">
        <f>SUM(P461:P463)</f>
        <v>2.95</v>
      </c>
      <c r="R460" s="103">
        <f>SUM(R461:R463)</f>
        <v>5.9000000000000003E-4</v>
      </c>
      <c r="T460" s="104">
        <f>SUM(T461:T463)</f>
        <v>0</v>
      </c>
      <c r="W460"/>
      <c r="X460"/>
      <c r="Y460"/>
      <c r="AP460" s="99" t="s">
        <v>65</v>
      </c>
      <c r="AR460" s="105" t="s">
        <v>54</v>
      </c>
      <c r="AS460" s="105" t="s">
        <v>63</v>
      </c>
      <c r="AW460" s="99" t="s">
        <v>101</v>
      </c>
      <c r="BI460" s="106">
        <f>SUM(BI461:BI463)</f>
        <v>0</v>
      </c>
    </row>
    <row r="461" spans="2:63" s="1" customFormat="1" ht="37.9" customHeight="1" x14ac:dyDescent="0.2">
      <c r="B461" s="109"/>
      <c r="C461" s="110" t="s">
        <v>499</v>
      </c>
      <c r="D461" s="110" t="s">
        <v>103</v>
      </c>
      <c r="E461" s="111" t="s">
        <v>1070</v>
      </c>
      <c r="F461" s="112" t="s">
        <v>1071</v>
      </c>
      <c r="G461" s="113" t="s">
        <v>314</v>
      </c>
      <c r="H461" s="114">
        <v>1</v>
      </c>
      <c r="I461" s="115">
        <v>0</v>
      </c>
      <c r="J461" s="115">
        <f>ROUND(I461*H461,2)</f>
        <v>0</v>
      </c>
      <c r="K461" s="112" t="s">
        <v>107</v>
      </c>
      <c r="L461" s="28"/>
      <c r="M461" s="116" t="s">
        <v>1</v>
      </c>
      <c r="N461" s="117" t="s">
        <v>39</v>
      </c>
      <c r="O461" s="118">
        <v>2.95</v>
      </c>
      <c r="P461" s="118">
        <f>O461*H461</f>
        <v>2.95</v>
      </c>
      <c r="Q461" s="118">
        <v>4.0999999999999999E-4</v>
      </c>
      <c r="R461" s="118">
        <f>Q461*H461</f>
        <v>4.0999999999999999E-4</v>
      </c>
      <c r="S461" s="118">
        <v>0</v>
      </c>
      <c r="T461" s="119">
        <f>S461*H461</f>
        <v>0</v>
      </c>
      <c r="W461"/>
      <c r="X461"/>
      <c r="Y461"/>
      <c r="AP461" s="120" t="s">
        <v>218</v>
      </c>
      <c r="AR461" s="120" t="s">
        <v>103</v>
      </c>
      <c r="AS461" s="120" t="s">
        <v>65</v>
      </c>
      <c r="AW461" s="17" t="s">
        <v>101</v>
      </c>
      <c r="BC461" s="121">
        <f>IF(N461="základní",J461,0)</f>
        <v>0</v>
      </c>
      <c r="BD461" s="121">
        <f>IF(N461="snížená",J461,0)</f>
        <v>0</v>
      </c>
      <c r="BE461" s="121">
        <f>IF(N461="zákl. přenesená",J461,0)</f>
        <v>0</v>
      </c>
      <c r="BF461" s="121">
        <f>IF(N461="sníž. přenesená",J461,0)</f>
        <v>0</v>
      </c>
      <c r="BG461" s="121">
        <f>IF(N461="nulová",J461,0)</f>
        <v>0</v>
      </c>
      <c r="BH461" s="17" t="s">
        <v>63</v>
      </c>
      <c r="BI461" s="121">
        <f>ROUND(I461*H461,2)</f>
        <v>0</v>
      </c>
      <c r="BJ461" s="17" t="s">
        <v>218</v>
      </c>
      <c r="BK461" s="120" t="s">
        <v>1366</v>
      </c>
    </row>
    <row r="462" spans="2:63" s="1" customFormat="1" x14ac:dyDescent="0.2">
      <c r="B462" s="28"/>
      <c r="D462" s="122" t="s">
        <v>110</v>
      </c>
      <c r="F462" s="412" t="s">
        <v>1073</v>
      </c>
      <c r="L462" s="28"/>
      <c r="M462" s="124"/>
      <c r="T462" s="48"/>
      <c r="W462"/>
      <c r="X462"/>
      <c r="Y462"/>
      <c r="AR462" s="17" t="s">
        <v>110</v>
      </c>
      <c r="AS462" s="17" t="s">
        <v>65</v>
      </c>
    </row>
    <row r="463" spans="2:63" s="1" customFormat="1" ht="16.5" customHeight="1" x14ac:dyDescent="0.2">
      <c r="B463" s="109"/>
      <c r="C463" s="143" t="s">
        <v>503</v>
      </c>
      <c r="D463" s="143" t="s">
        <v>252</v>
      </c>
      <c r="E463" s="144" t="s">
        <v>1075</v>
      </c>
      <c r="F463" s="145" t="s">
        <v>1076</v>
      </c>
      <c r="G463" s="146" t="s">
        <v>1077</v>
      </c>
      <c r="H463" s="147">
        <f>1*0.18</f>
        <v>0.18</v>
      </c>
      <c r="I463" s="148">
        <v>0</v>
      </c>
      <c r="J463" s="148">
        <f>ROUND(I463*H463,2)</f>
        <v>0</v>
      </c>
      <c r="K463" s="145" t="s">
        <v>107</v>
      </c>
      <c r="L463" s="149"/>
      <c r="M463" s="165" t="s">
        <v>1</v>
      </c>
      <c r="N463" s="166" t="s">
        <v>39</v>
      </c>
      <c r="O463" s="154">
        <v>0</v>
      </c>
      <c r="P463" s="154">
        <f>O463*H463</f>
        <v>0</v>
      </c>
      <c r="Q463" s="154">
        <v>1E-3</v>
      </c>
      <c r="R463" s="154">
        <f>Q463*H463</f>
        <v>1.7999999999999998E-4</v>
      </c>
      <c r="S463" s="154">
        <v>0</v>
      </c>
      <c r="T463" s="155">
        <f>S463*H463</f>
        <v>0</v>
      </c>
      <c r="W463"/>
      <c r="X463"/>
      <c r="Y463"/>
      <c r="AP463" s="120" t="s">
        <v>329</v>
      </c>
      <c r="AR463" s="120" t="s">
        <v>252</v>
      </c>
      <c r="AS463" s="120" t="s">
        <v>65</v>
      </c>
      <c r="AW463" s="17" t="s">
        <v>101</v>
      </c>
      <c r="BC463" s="121">
        <f>IF(N463="základní",J463,0)</f>
        <v>0</v>
      </c>
      <c r="BD463" s="121">
        <f>IF(N463="snížená",J463,0)</f>
        <v>0</v>
      </c>
      <c r="BE463" s="121">
        <f>IF(N463="zákl. přenesená",J463,0)</f>
        <v>0</v>
      </c>
      <c r="BF463" s="121">
        <f>IF(N463="sníž. přenesená",J463,0)</f>
        <v>0</v>
      </c>
      <c r="BG463" s="121">
        <f>IF(N463="nulová",J463,0)</f>
        <v>0</v>
      </c>
      <c r="BH463" s="17" t="s">
        <v>63</v>
      </c>
      <c r="BI463" s="121">
        <f>ROUND(I463*H463,2)</f>
        <v>0</v>
      </c>
      <c r="BJ463" s="17" t="s">
        <v>218</v>
      </c>
      <c r="BK463" s="120" t="s">
        <v>1367</v>
      </c>
    </row>
    <row r="464" spans="2:63" s="1" customFormat="1" ht="16.5" customHeight="1" x14ac:dyDescent="0.2">
      <c r="B464" s="109"/>
      <c r="C464" s="388"/>
      <c r="D464" s="388"/>
      <c r="E464" s="389"/>
      <c r="F464" s="390"/>
      <c r="G464" s="391"/>
      <c r="H464" s="392"/>
      <c r="I464" s="393"/>
      <c r="J464" s="393"/>
      <c r="K464" s="390"/>
      <c r="L464" s="149"/>
      <c r="M464" s="394"/>
      <c r="N464" s="395"/>
      <c r="O464" s="396"/>
      <c r="P464" s="396"/>
      <c r="Q464" s="396"/>
      <c r="R464" s="396"/>
      <c r="S464" s="396"/>
      <c r="T464" s="396"/>
      <c r="W464"/>
      <c r="X464"/>
      <c r="Y464"/>
      <c r="AP464" s="120"/>
      <c r="AR464" s="120"/>
      <c r="AS464" s="120"/>
      <c r="AW464" s="17"/>
      <c r="BC464" s="121"/>
      <c r="BD464" s="121"/>
      <c r="BE464" s="121"/>
      <c r="BF464" s="121"/>
      <c r="BG464" s="121"/>
      <c r="BH464" s="17"/>
      <c r="BI464" s="121"/>
      <c r="BJ464" s="17"/>
      <c r="BK464" s="120"/>
    </row>
    <row r="465" spans="2:63" s="1" customFormat="1" ht="16.5" customHeight="1" x14ac:dyDescent="0.2">
      <c r="B465" s="109"/>
      <c r="C465" s="11"/>
      <c r="D465" s="99" t="s">
        <v>54</v>
      </c>
      <c r="E465" s="100" t="s">
        <v>1818</v>
      </c>
      <c r="F465" s="100" t="s">
        <v>1819</v>
      </c>
      <c r="G465" s="11"/>
      <c r="H465" s="11"/>
      <c r="I465" s="11"/>
      <c r="J465" s="101">
        <f>BI465</f>
        <v>0</v>
      </c>
      <c r="K465" s="11"/>
      <c r="L465" s="149"/>
      <c r="M465" s="394"/>
      <c r="N465" s="395"/>
      <c r="O465" s="396"/>
      <c r="P465" s="396"/>
      <c r="Q465" s="396"/>
      <c r="R465" s="396"/>
      <c r="S465" s="396"/>
      <c r="T465" s="396"/>
      <c r="W465"/>
      <c r="X465"/>
      <c r="Y465"/>
      <c r="AP465" s="120"/>
      <c r="AR465" s="120"/>
      <c r="AS465" s="120"/>
      <c r="AW465" s="17"/>
      <c r="BC465" s="11"/>
      <c r="BD465" s="11"/>
      <c r="BE465" s="11"/>
      <c r="BF465" s="11"/>
      <c r="BG465" s="11"/>
      <c r="BH465" s="11"/>
      <c r="BI465" s="106">
        <f>SUM(BI466:BI472)</f>
        <v>0</v>
      </c>
      <c r="BJ465" s="17"/>
      <c r="BK465" s="120"/>
    </row>
    <row r="466" spans="2:63" s="1" customFormat="1" ht="43.5" customHeight="1" x14ac:dyDescent="0.2">
      <c r="B466" s="109"/>
      <c r="C466" s="110">
        <v>71</v>
      </c>
      <c r="D466" s="110" t="s">
        <v>103</v>
      </c>
      <c r="E466" s="111"/>
      <c r="F466" s="112" t="s">
        <v>1820</v>
      </c>
      <c r="G466" s="113" t="s">
        <v>130</v>
      </c>
      <c r="H466" s="114">
        <f>421.6*0.18</f>
        <v>75.888000000000005</v>
      </c>
      <c r="I466" s="115">
        <v>0</v>
      </c>
      <c r="J466" s="115">
        <f>ROUND(I466*H466,2)</f>
        <v>0</v>
      </c>
      <c r="K466" s="112" t="s">
        <v>107</v>
      </c>
      <c r="L466" s="149"/>
      <c r="M466" s="394"/>
      <c r="N466" s="395"/>
      <c r="O466" s="396"/>
      <c r="P466" s="396"/>
      <c r="Q466" s="396"/>
      <c r="R466" s="396"/>
      <c r="S466" s="396"/>
      <c r="T466" s="396"/>
      <c r="W466"/>
      <c r="X466"/>
      <c r="Y466"/>
      <c r="AP466" s="120"/>
      <c r="AR466" s="120"/>
      <c r="AS466" s="120"/>
      <c r="AW466" s="17"/>
      <c r="BC466" s="121">
        <f>IF(N466="základní",J466,0)</f>
        <v>0</v>
      </c>
      <c r="BD466" s="121">
        <f>IF(N466="snížená",J466,0)</f>
        <v>0</v>
      </c>
      <c r="BE466" s="121">
        <f>IF(N466="zákl. přenesená",J466,0)</f>
        <v>0</v>
      </c>
      <c r="BF466" s="121">
        <f>IF(N466="sníž. přenesená",J466,0)</f>
        <v>0</v>
      </c>
      <c r="BG466" s="121">
        <f>IF(N466="nulová",J466,0)</f>
        <v>0</v>
      </c>
      <c r="BH466" s="17" t="s">
        <v>63</v>
      </c>
      <c r="BI466" s="121">
        <f>ROUND(I466*H466,2)</f>
        <v>0</v>
      </c>
      <c r="BJ466" s="17"/>
      <c r="BK466" s="120"/>
    </row>
    <row r="467" spans="2:63" s="1" customFormat="1" ht="61.5" customHeight="1" x14ac:dyDescent="0.2">
      <c r="B467" s="109"/>
      <c r="C467" s="11"/>
      <c r="D467" s="99"/>
      <c r="E467" s="100"/>
      <c r="F467" s="128" t="s">
        <v>1821</v>
      </c>
      <c r="G467" s="11"/>
      <c r="H467" s="11"/>
      <c r="I467" s="11"/>
      <c r="J467" s="101"/>
      <c r="K467" s="11"/>
      <c r="L467" s="149"/>
      <c r="M467" s="394"/>
      <c r="N467" s="395"/>
      <c r="O467" s="396"/>
      <c r="P467" s="396"/>
      <c r="Q467" s="396"/>
      <c r="R467" s="396"/>
      <c r="S467" s="396"/>
      <c r="T467" s="396"/>
      <c r="W467"/>
      <c r="X467"/>
      <c r="Y467"/>
      <c r="AP467" s="120"/>
      <c r="AR467" s="120"/>
      <c r="AS467" s="120"/>
      <c r="AW467" s="17"/>
      <c r="BJ467" s="17"/>
      <c r="BK467" s="120"/>
    </row>
    <row r="468" spans="2:63" s="1" customFormat="1" ht="37.5" customHeight="1" x14ac:dyDescent="0.2">
      <c r="B468" s="109"/>
      <c r="C468" s="110">
        <v>72</v>
      </c>
      <c r="D468" s="110" t="s">
        <v>103</v>
      </c>
      <c r="E468" s="111"/>
      <c r="F468" s="112" t="s">
        <v>1822</v>
      </c>
      <c r="G468" s="113" t="s">
        <v>1368</v>
      </c>
      <c r="H468" s="114">
        <v>8</v>
      </c>
      <c r="I468" s="115">
        <v>0</v>
      </c>
      <c r="J468" s="115">
        <f>ROUND(I468*H468,2)</f>
        <v>0</v>
      </c>
      <c r="K468" s="112" t="s">
        <v>107</v>
      </c>
      <c r="L468" s="149"/>
      <c r="M468" s="394"/>
      <c r="N468" s="395"/>
      <c r="O468" s="396"/>
      <c r="P468" s="396"/>
      <c r="Q468" s="396"/>
      <c r="R468" s="396"/>
      <c r="S468" s="396"/>
      <c r="T468" s="396"/>
      <c r="W468"/>
      <c r="X468"/>
      <c r="Y468"/>
      <c r="AP468" s="120"/>
      <c r="AR468" s="120"/>
      <c r="AS468" s="120"/>
      <c r="AW468" s="17"/>
      <c r="BC468" s="121">
        <f>IF(N468="základní",J468,0)</f>
        <v>0</v>
      </c>
      <c r="BD468" s="121">
        <f>IF(N468="snížená",J468,0)</f>
        <v>0</v>
      </c>
      <c r="BE468" s="121">
        <f>IF(N468="zákl. přenesená",J468,0)</f>
        <v>0</v>
      </c>
      <c r="BF468" s="121">
        <f>IF(N468="sníž. přenesená",J468,0)</f>
        <v>0</v>
      </c>
      <c r="BG468" s="121">
        <f>IF(N468="nulová",J468,0)</f>
        <v>0</v>
      </c>
      <c r="BH468" s="17" t="s">
        <v>63</v>
      </c>
      <c r="BI468" s="121">
        <f>ROUND(I468*H468,2)</f>
        <v>0</v>
      </c>
      <c r="BJ468" s="17"/>
      <c r="BK468" s="120"/>
    </row>
    <row r="469" spans="2:63" s="1" customFormat="1" ht="72" customHeight="1" x14ac:dyDescent="0.2">
      <c r="B469" s="109"/>
      <c r="C469" s="11"/>
      <c r="D469" s="99"/>
      <c r="E469" s="100"/>
      <c r="F469" s="128" t="s">
        <v>1823</v>
      </c>
      <c r="G469" s="11"/>
      <c r="H469" s="11"/>
      <c r="I469" s="11"/>
      <c r="J469" s="101"/>
      <c r="K469" s="11"/>
      <c r="L469" s="149"/>
      <c r="M469" s="394"/>
      <c r="N469" s="395"/>
      <c r="O469" s="396"/>
      <c r="P469" s="396"/>
      <c r="Q469" s="396"/>
      <c r="R469" s="396"/>
      <c r="S469" s="396"/>
      <c r="T469" s="396"/>
      <c r="W469"/>
      <c r="X469"/>
      <c r="Y469"/>
      <c r="AP469" s="120"/>
      <c r="AR469" s="120"/>
      <c r="AS469" s="120"/>
      <c r="AW469" s="17"/>
      <c r="BC469" s="121"/>
      <c r="BD469" s="121"/>
      <c r="BE469" s="121"/>
      <c r="BF469" s="121"/>
      <c r="BG469" s="121"/>
      <c r="BH469" s="17"/>
      <c r="BI469" s="121"/>
      <c r="BJ469" s="17"/>
      <c r="BK469" s="120"/>
    </row>
    <row r="470" spans="2:63" s="1" customFormat="1" ht="31.5" customHeight="1" x14ac:dyDescent="0.2">
      <c r="B470" s="109"/>
      <c r="C470" s="110">
        <v>73</v>
      </c>
      <c r="D470" s="110" t="s">
        <v>103</v>
      </c>
      <c r="E470" s="111"/>
      <c r="F470" s="112" t="s">
        <v>1824</v>
      </c>
      <c r="G470" s="113" t="s">
        <v>174</v>
      </c>
      <c r="H470" s="114">
        <f>2958*0.18</f>
        <v>532.43999999999994</v>
      </c>
      <c r="I470" s="115">
        <v>0</v>
      </c>
      <c r="J470" s="115">
        <f>ROUND(I470*H470,2)</f>
        <v>0</v>
      </c>
      <c r="K470" s="112" t="s">
        <v>107</v>
      </c>
      <c r="L470" s="149"/>
      <c r="M470" s="394"/>
      <c r="N470" s="395"/>
      <c r="O470" s="396"/>
      <c r="P470" s="396"/>
      <c r="Q470" s="396"/>
      <c r="R470" s="396"/>
      <c r="S470" s="396"/>
      <c r="T470" s="396"/>
      <c r="W470"/>
      <c r="X470"/>
      <c r="Y470"/>
      <c r="AP470" s="120"/>
      <c r="AR470" s="120"/>
      <c r="AS470" s="120"/>
      <c r="AW470" s="17"/>
      <c r="BC470" s="121">
        <f>IF(N470="základní",J470,0)</f>
        <v>0</v>
      </c>
      <c r="BD470" s="121">
        <f>IF(N470="snížená",J470,0)</f>
        <v>0</v>
      </c>
      <c r="BE470" s="121">
        <f>IF(N470="zákl. přenesená",J470,0)</f>
        <v>0</v>
      </c>
      <c r="BF470" s="121">
        <f>IF(N470="sníž. přenesená",J470,0)</f>
        <v>0</v>
      </c>
      <c r="BG470" s="121">
        <f>IF(N470="nulová",J470,0)</f>
        <v>0</v>
      </c>
      <c r="BH470" s="17" t="s">
        <v>63</v>
      </c>
      <c r="BI470" s="121">
        <f>ROUND(I470*H470,2)</f>
        <v>0</v>
      </c>
      <c r="BJ470" s="17"/>
      <c r="BK470" s="120"/>
    </row>
    <row r="471" spans="2:63" s="1" customFormat="1" ht="39.75" customHeight="1" x14ac:dyDescent="0.2">
      <c r="B471" s="109"/>
      <c r="C471" s="11"/>
      <c r="D471" s="99"/>
      <c r="E471" s="100"/>
      <c r="F471" s="128" t="s">
        <v>1825</v>
      </c>
      <c r="G471" s="11"/>
      <c r="H471" s="11"/>
      <c r="I471" s="11"/>
      <c r="J471" s="101"/>
      <c r="K471" s="11"/>
      <c r="L471" s="149"/>
      <c r="M471" s="394"/>
      <c r="N471" s="395"/>
      <c r="O471" s="396"/>
      <c r="P471" s="396"/>
      <c r="Q471" s="396"/>
      <c r="R471" s="396"/>
      <c r="S471" s="396"/>
      <c r="T471" s="396"/>
      <c r="W471"/>
      <c r="X471"/>
      <c r="Y471"/>
      <c r="AP471" s="120"/>
      <c r="AR471" s="120"/>
      <c r="AS471" s="120"/>
      <c r="AW471" s="17"/>
      <c r="BC471" s="121"/>
      <c r="BD471" s="121"/>
      <c r="BE471" s="121"/>
      <c r="BF471" s="121"/>
      <c r="BG471" s="121"/>
      <c r="BH471" s="17"/>
      <c r="BI471" s="121"/>
      <c r="BJ471" s="17"/>
      <c r="BK471" s="120"/>
    </row>
    <row r="472" spans="2:63" s="1" customFormat="1" ht="39.75" customHeight="1" x14ac:dyDescent="0.2">
      <c r="B472" s="109"/>
      <c r="C472" s="110">
        <v>74</v>
      </c>
      <c r="D472" s="110" t="s">
        <v>103</v>
      </c>
      <c r="E472" s="111"/>
      <c r="F472" s="112" t="s">
        <v>1826</v>
      </c>
      <c r="G472" s="113" t="s">
        <v>174</v>
      </c>
      <c r="H472" s="114">
        <f>215*0.18</f>
        <v>38.699999999999996</v>
      </c>
      <c r="I472" s="115">
        <v>0</v>
      </c>
      <c r="J472" s="115">
        <f>ROUND(I472*H472,2)</f>
        <v>0</v>
      </c>
      <c r="K472" s="112" t="s">
        <v>107</v>
      </c>
      <c r="L472" s="149"/>
      <c r="M472" s="394"/>
      <c r="N472" s="395"/>
      <c r="O472" s="396"/>
      <c r="P472" s="396"/>
      <c r="Q472" s="396"/>
      <c r="R472" s="396"/>
      <c r="S472" s="396"/>
      <c r="T472" s="396"/>
      <c r="W472"/>
      <c r="X472"/>
      <c r="Y472"/>
      <c r="AP472" s="120"/>
      <c r="AR472" s="120"/>
      <c r="AS472" s="120"/>
      <c r="AW472" s="17"/>
      <c r="BC472" s="121">
        <f>IF(N472="základní",J472,0)</f>
        <v>0</v>
      </c>
      <c r="BD472" s="121">
        <f>IF(N472="snížená",J472,0)</f>
        <v>0</v>
      </c>
      <c r="BE472" s="121">
        <f>IF(N472="zákl. přenesená",J472,0)</f>
        <v>0</v>
      </c>
      <c r="BF472" s="121">
        <f>IF(N472="sníž. přenesená",J472,0)</f>
        <v>0</v>
      </c>
      <c r="BG472" s="121">
        <f>IF(N472="nulová",J472,0)</f>
        <v>0</v>
      </c>
      <c r="BH472" s="17" t="s">
        <v>63</v>
      </c>
      <c r="BI472" s="121">
        <f>ROUND(I472*H472,2)</f>
        <v>0</v>
      </c>
      <c r="BJ472" s="17"/>
      <c r="BK472" s="120"/>
    </row>
    <row r="473" spans="2:63" s="1" customFormat="1" ht="39.75" customHeight="1" x14ac:dyDescent="0.2">
      <c r="B473" s="109"/>
      <c r="C473" s="397"/>
      <c r="D473" s="397"/>
      <c r="E473" s="398"/>
      <c r="F473" s="128" t="s">
        <v>1827</v>
      </c>
      <c r="G473" s="486"/>
      <c r="H473" s="400"/>
      <c r="I473" s="401"/>
      <c r="J473" s="401"/>
      <c r="K473" s="399"/>
      <c r="L473" s="149"/>
      <c r="M473" s="394"/>
      <c r="N473" s="395"/>
      <c r="O473" s="396"/>
      <c r="P473" s="396"/>
      <c r="Q473" s="396"/>
      <c r="R473" s="396"/>
      <c r="S473" s="396"/>
      <c r="T473" s="396"/>
      <c r="W473"/>
      <c r="X473"/>
      <c r="Y473"/>
      <c r="AP473" s="120"/>
      <c r="AR473" s="120"/>
      <c r="AS473" s="120"/>
      <c r="AW473" s="17"/>
      <c r="BC473" s="121"/>
      <c r="BD473" s="121"/>
      <c r="BE473" s="121"/>
      <c r="BF473" s="121"/>
      <c r="BG473" s="121"/>
      <c r="BH473" s="17"/>
      <c r="BI473" s="121"/>
      <c r="BJ473" s="17"/>
      <c r="BK473" s="120"/>
    </row>
    <row r="474" spans="2:63" s="1" customFormat="1" ht="16.5" customHeight="1" x14ac:dyDescent="0.2">
      <c r="B474" s="109"/>
      <c r="C474" s="388"/>
      <c r="D474" s="388"/>
      <c r="E474" s="389"/>
      <c r="F474" s="390"/>
      <c r="G474" s="391"/>
      <c r="H474" s="392"/>
      <c r="I474" s="393"/>
      <c r="J474" s="393"/>
      <c r="K474" s="390"/>
      <c r="L474" s="149"/>
      <c r="M474" s="394"/>
      <c r="N474" s="395"/>
      <c r="O474" s="396"/>
      <c r="P474" s="396"/>
      <c r="Q474" s="396"/>
      <c r="R474" s="396"/>
      <c r="S474" s="396"/>
      <c r="T474" s="396"/>
      <c r="W474"/>
      <c r="X474"/>
      <c r="Y474"/>
      <c r="AP474" s="120"/>
      <c r="AR474" s="120"/>
      <c r="AS474" s="120"/>
      <c r="AW474" s="17"/>
      <c r="BC474" s="121"/>
      <c r="BD474" s="121"/>
      <c r="BE474" s="121"/>
      <c r="BF474" s="121"/>
      <c r="BG474" s="121"/>
      <c r="BH474" s="17"/>
      <c r="BI474" s="121"/>
      <c r="BJ474" s="17"/>
      <c r="BK474" s="120"/>
    </row>
    <row r="475" spans="2:63" s="1" customFormat="1" ht="16.5" customHeight="1" x14ac:dyDescent="0.2">
      <c r="B475" s="109"/>
      <c r="C475" s="388"/>
      <c r="D475" s="388"/>
      <c r="E475" s="389"/>
      <c r="F475" s="390"/>
      <c r="G475" s="391"/>
      <c r="H475" s="392"/>
      <c r="I475" s="393"/>
      <c r="J475" s="393"/>
      <c r="K475" s="390"/>
      <c r="L475" s="149"/>
      <c r="M475" s="394"/>
      <c r="N475" s="395"/>
      <c r="O475" s="396"/>
      <c r="P475" s="396"/>
      <c r="Q475" s="396"/>
      <c r="R475" s="396"/>
      <c r="S475" s="396"/>
      <c r="T475" s="396"/>
      <c r="W475"/>
      <c r="X475"/>
      <c r="Y475"/>
      <c r="AP475" s="120"/>
      <c r="AR475" s="120"/>
      <c r="AS475" s="120"/>
      <c r="AW475" s="17"/>
      <c r="BC475" s="121"/>
      <c r="BD475" s="121"/>
      <c r="BE475" s="121"/>
      <c r="BF475" s="121"/>
      <c r="BG475" s="121"/>
      <c r="BH475" s="17"/>
      <c r="BI475" s="121"/>
      <c r="BJ475" s="17"/>
      <c r="BK475" s="120"/>
    </row>
    <row r="476" spans="2:63" s="1" customFormat="1" ht="6.95" customHeight="1" x14ac:dyDescent="0.2">
      <c r="B476" s="37"/>
      <c r="C476" s="38"/>
      <c r="D476" s="38"/>
      <c r="E476" s="38"/>
      <c r="F476" s="38"/>
      <c r="G476" s="38"/>
      <c r="H476" s="38"/>
      <c r="I476" s="38"/>
      <c r="J476" s="38"/>
      <c r="K476" s="38"/>
      <c r="L476" s="28"/>
      <c r="W476"/>
      <c r="X476"/>
      <c r="Y476"/>
    </row>
  </sheetData>
  <autoFilter ref="C87:K463" xr:uid="{00000000-0009-0000-0000-000003000000}"/>
  <mergeCells count="9">
    <mergeCell ref="E50:H50"/>
    <mergeCell ref="E78:H78"/>
    <mergeCell ref="E80:H80"/>
    <mergeCell ref="L2:U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126" r:id="rId2" xr:uid="{00000000-0004-0000-0300-000001000000}"/>
    <hyperlink ref="F134" r:id="rId3" xr:uid="{00000000-0004-0000-0300-000002000000}"/>
    <hyperlink ref="F138" r:id="rId4" xr:uid="{00000000-0004-0000-0300-000003000000}"/>
    <hyperlink ref="F150" r:id="rId5" xr:uid="{00000000-0004-0000-0300-000004000000}"/>
    <hyperlink ref="F157" r:id="rId6" xr:uid="{00000000-0004-0000-0300-000005000000}"/>
    <hyperlink ref="F169" r:id="rId7" xr:uid="{00000000-0004-0000-0300-000006000000}"/>
    <hyperlink ref="F176" r:id="rId8" xr:uid="{00000000-0004-0000-0300-000007000000}"/>
    <hyperlink ref="F188" r:id="rId9" xr:uid="{00000000-0004-0000-0300-000008000000}"/>
    <hyperlink ref="F195" r:id="rId10" xr:uid="{00000000-0004-0000-0300-000009000000}"/>
    <hyperlink ref="F205" r:id="rId11" xr:uid="{00000000-0004-0000-0300-00000A000000}"/>
    <hyperlink ref="F215" r:id="rId12" xr:uid="{00000000-0004-0000-0300-00000B000000}"/>
    <hyperlink ref="F225" r:id="rId13" xr:uid="{00000000-0004-0000-0300-00000C000000}"/>
    <hyperlink ref="F229" r:id="rId14" xr:uid="{00000000-0004-0000-0300-00000D000000}"/>
    <hyperlink ref="F237" r:id="rId15" xr:uid="{00000000-0004-0000-0300-00000E000000}"/>
    <hyperlink ref="F239" r:id="rId16" xr:uid="{00000000-0004-0000-0300-00000F000000}"/>
    <hyperlink ref="F251" r:id="rId17" xr:uid="{00000000-0004-0000-0300-000010000000}"/>
    <hyperlink ref="F253" r:id="rId18" xr:uid="{00000000-0004-0000-0300-000011000000}"/>
    <hyperlink ref="F256" r:id="rId19" xr:uid="{00000000-0004-0000-0300-000012000000}"/>
    <hyperlink ref="F259" r:id="rId20" xr:uid="{00000000-0004-0000-0300-000013000000}"/>
    <hyperlink ref="F261" r:id="rId21" xr:uid="{00000000-0004-0000-0300-000014000000}"/>
    <hyperlink ref="F264" r:id="rId22" xr:uid="{00000000-0004-0000-0300-000015000000}"/>
    <hyperlink ref="F274" r:id="rId23" xr:uid="{00000000-0004-0000-0300-000016000000}"/>
    <hyperlink ref="F276" r:id="rId24" xr:uid="{00000000-0004-0000-0300-000017000000}"/>
    <hyperlink ref="F291" r:id="rId25" xr:uid="{00000000-0004-0000-0300-000018000000}"/>
    <hyperlink ref="F294" r:id="rId26" xr:uid="{00000000-0004-0000-0300-000019000000}"/>
    <hyperlink ref="F296" r:id="rId27" xr:uid="{00000000-0004-0000-0300-00001A000000}"/>
    <hyperlink ref="F349" r:id="rId28" xr:uid="{00000000-0004-0000-0300-00001B000000}"/>
    <hyperlink ref="F357" r:id="rId29" xr:uid="{00000000-0004-0000-0300-00001C000000}"/>
    <hyperlink ref="F373" r:id="rId30" xr:uid="{00000000-0004-0000-0300-00001D000000}"/>
    <hyperlink ref="F376" r:id="rId31" xr:uid="{00000000-0004-0000-0300-00001E000000}"/>
    <hyperlink ref="F381" r:id="rId32" xr:uid="{00000000-0004-0000-0300-00001F000000}"/>
    <hyperlink ref="F385" r:id="rId33" xr:uid="{00000000-0004-0000-0300-000020000000}"/>
    <hyperlink ref="F389" r:id="rId34" xr:uid="{00000000-0004-0000-0300-000021000000}"/>
    <hyperlink ref="F393" r:id="rId35" xr:uid="{00000000-0004-0000-0300-000022000000}"/>
    <hyperlink ref="F398" r:id="rId36" xr:uid="{00000000-0004-0000-0300-000023000000}"/>
    <hyperlink ref="F401" r:id="rId37" xr:uid="{00000000-0004-0000-0300-000024000000}"/>
    <hyperlink ref="F405" r:id="rId38" xr:uid="{00000000-0004-0000-0300-000025000000}"/>
    <hyperlink ref="F409" r:id="rId39" xr:uid="{00000000-0004-0000-0300-000026000000}"/>
    <hyperlink ref="F413" r:id="rId40" xr:uid="{00000000-0004-0000-0300-000027000000}"/>
    <hyperlink ref="F416" r:id="rId41" xr:uid="{00000000-0004-0000-0300-000028000000}"/>
    <hyperlink ref="F418" r:id="rId42" xr:uid="{00000000-0004-0000-0300-000029000000}"/>
    <hyperlink ref="F424" r:id="rId43" xr:uid="{00000000-0004-0000-0300-00002A000000}"/>
    <hyperlink ref="F428" r:id="rId44" xr:uid="{00000000-0004-0000-0300-00002B000000}"/>
    <hyperlink ref="F431" r:id="rId45" xr:uid="{00000000-0004-0000-0300-00002C000000}"/>
    <hyperlink ref="F434" r:id="rId46" xr:uid="{00000000-0004-0000-0300-00002D000000}"/>
    <hyperlink ref="F437" r:id="rId47" xr:uid="{00000000-0004-0000-0300-00002E000000}"/>
    <hyperlink ref="F453" r:id="rId48" xr:uid="{00000000-0004-0000-0300-00002F000000}"/>
    <hyperlink ref="F456" r:id="rId49" xr:uid="{00000000-0004-0000-0300-000030000000}"/>
    <hyperlink ref="F458" r:id="rId50" xr:uid="{00000000-0004-0000-0300-000031000000}"/>
    <hyperlink ref="F462" r:id="rId51" xr:uid="{00000000-0004-0000-0300-00003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19D9-D6A8-47E8-B6F1-938D8B325CE4}">
  <sheetPr>
    <pageSetUpPr fitToPage="1"/>
  </sheetPr>
  <dimension ref="B2:BO446"/>
  <sheetViews>
    <sheetView showGridLines="0" topLeftCell="A415" zoomScaleNormal="100" workbookViewId="0">
      <selection activeCell="I449" sqref="I44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3.16406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1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29.5" customWidth="1"/>
    <col min="27" max="27" width="11" customWidth="1"/>
    <col min="28" max="28" width="15" customWidth="1"/>
    <col min="29" max="29" width="16.33203125" customWidth="1"/>
    <col min="41" max="41" width="0" hidden="1" customWidth="1"/>
    <col min="42" max="54" width="9.33203125" hidden="1" customWidth="1"/>
    <col min="55" max="55" width="10.1640625" hidden="1" customWidth="1"/>
    <col min="56" max="60" width="9.33203125" hidden="1" customWidth="1"/>
    <col min="61" max="61" width="14" hidden="1" customWidth="1"/>
    <col min="62" max="67" width="9.33203125" hidden="1" customWidth="1"/>
    <col min="68" max="69" width="9.33203125" customWidth="1"/>
  </cols>
  <sheetData>
    <row r="2" spans="2:44" ht="36.950000000000003" customHeight="1" x14ac:dyDescent="0.2">
      <c r="L2" s="671" t="s">
        <v>4</v>
      </c>
      <c r="M2" s="653"/>
      <c r="N2" s="653"/>
      <c r="O2" s="653"/>
      <c r="P2" s="653"/>
      <c r="Q2" s="653"/>
      <c r="R2" s="653"/>
      <c r="S2" s="653"/>
      <c r="T2" s="653"/>
      <c r="U2" s="653"/>
      <c r="AR2" s="17" t="s">
        <v>71</v>
      </c>
    </row>
    <row r="3" spans="2:4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R3" s="17" t="s">
        <v>65</v>
      </c>
    </row>
    <row r="4" spans="2:44" ht="24.95" customHeight="1" x14ac:dyDescent="0.2">
      <c r="B4" s="20"/>
      <c r="D4" s="21" t="s">
        <v>72</v>
      </c>
      <c r="L4" s="20"/>
      <c r="M4" s="68" t="s">
        <v>9</v>
      </c>
      <c r="AR4" s="17" t="s">
        <v>2</v>
      </c>
    </row>
    <row r="5" spans="2:44" ht="6.95" customHeight="1" x14ac:dyDescent="0.2">
      <c r="B5" s="20"/>
      <c r="L5" s="20"/>
    </row>
    <row r="6" spans="2:44" ht="12" customHeight="1" x14ac:dyDescent="0.2">
      <c r="B6" s="20"/>
      <c r="D6" s="25" t="s">
        <v>13</v>
      </c>
      <c r="L6" s="20"/>
    </row>
    <row r="7" spans="2:44" ht="16.5" customHeight="1" x14ac:dyDescent="0.2">
      <c r="B7" s="20"/>
      <c r="E7" s="669" t="str">
        <f>Rekapitulace!K6</f>
        <v>Propojení Okružní x Na hroudách</v>
      </c>
      <c r="F7" s="670"/>
      <c r="G7" s="670"/>
      <c r="H7" s="670"/>
      <c r="L7" s="20"/>
    </row>
    <row r="8" spans="2:44" s="1" customFormat="1" ht="12" customHeight="1" x14ac:dyDescent="0.2">
      <c r="B8" s="28"/>
      <c r="D8" s="25" t="s">
        <v>73</v>
      </c>
      <c r="L8" s="28"/>
      <c r="W8"/>
      <c r="X8"/>
      <c r="Y8"/>
    </row>
    <row r="9" spans="2:44" s="1" customFormat="1" ht="16.5" customHeight="1" x14ac:dyDescent="0.2">
      <c r="B9" s="28"/>
      <c r="E9" s="638" t="s">
        <v>1104</v>
      </c>
      <c r="F9" s="668"/>
      <c r="G9" s="668"/>
      <c r="H9" s="668"/>
      <c r="L9" s="28"/>
      <c r="W9"/>
      <c r="X9"/>
      <c r="Y9"/>
    </row>
    <row r="10" spans="2:44" s="1" customFormat="1" x14ac:dyDescent="0.2">
      <c r="B10" s="28"/>
      <c r="L10" s="28"/>
      <c r="W10"/>
      <c r="X10"/>
      <c r="Y10"/>
    </row>
    <row r="11" spans="2:44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W11"/>
      <c r="X11"/>
      <c r="Y11"/>
    </row>
    <row r="12" spans="2:44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W12"/>
      <c r="X12"/>
      <c r="Y12"/>
    </row>
    <row r="13" spans="2:44" s="1" customFormat="1" ht="10.9" customHeight="1" x14ac:dyDescent="0.2">
      <c r="B13" s="28"/>
      <c r="L13" s="28"/>
      <c r="W13"/>
      <c r="X13"/>
      <c r="Y13"/>
    </row>
    <row r="14" spans="2:44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W14"/>
      <c r="X14"/>
      <c r="Y14"/>
    </row>
    <row r="15" spans="2:44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W15"/>
      <c r="X15"/>
      <c r="Y15"/>
    </row>
    <row r="16" spans="2:44" s="1" customFormat="1" ht="6.95" customHeight="1" x14ac:dyDescent="0.2">
      <c r="B16" s="28"/>
      <c r="L16" s="28"/>
      <c r="W16"/>
      <c r="X16"/>
      <c r="Y16"/>
    </row>
    <row r="17" spans="2:26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W17"/>
      <c r="X17"/>
      <c r="Y17"/>
    </row>
    <row r="18" spans="2:26" s="1" customFormat="1" ht="18" customHeight="1" x14ac:dyDescent="0.2">
      <c r="B18" s="28"/>
      <c r="E18" s="652" t="str">
        <f>Rekapitulace!E14</f>
        <v xml:space="preserve"> </v>
      </c>
      <c r="F18" s="652"/>
      <c r="G18" s="652"/>
      <c r="H18" s="652"/>
      <c r="I18" s="25" t="s">
        <v>24</v>
      </c>
      <c r="J18" s="23" t="str">
        <f>Rekapitulace!AN14</f>
        <v/>
      </c>
      <c r="L18" s="28"/>
      <c r="W18"/>
      <c r="X18"/>
      <c r="Y18"/>
    </row>
    <row r="19" spans="2:26" s="1" customFormat="1" ht="6.95" customHeight="1" x14ac:dyDescent="0.2">
      <c r="B19" s="28"/>
      <c r="L19" s="28"/>
      <c r="W19"/>
      <c r="X19"/>
      <c r="Y19"/>
    </row>
    <row r="20" spans="2:26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W20"/>
      <c r="X20"/>
      <c r="Y20"/>
    </row>
    <row r="21" spans="2:26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W21"/>
      <c r="X21"/>
      <c r="Y21"/>
    </row>
    <row r="22" spans="2:26" s="1" customFormat="1" ht="6.95" customHeight="1" x14ac:dyDescent="0.2">
      <c r="B22" s="28"/>
      <c r="L22" s="28"/>
      <c r="W22"/>
      <c r="X22"/>
      <c r="Y22"/>
    </row>
    <row r="23" spans="2:26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W23"/>
      <c r="X23"/>
      <c r="Y23"/>
    </row>
    <row r="24" spans="2:26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W24"/>
      <c r="X24"/>
      <c r="Y24"/>
      <c r="Z24" s="432"/>
    </row>
    <row r="25" spans="2:26" s="1" customFormat="1" ht="6.95" customHeight="1" x14ac:dyDescent="0.2">
      <c r="B25" s="28"/>
      <c r="L25" s="28"/>
      <c r="W25"/>
      <c r="X25"/>
      <c r="Y25"/>
    </row>
    <row r="26" spans="2:26" s="1" customFormat="1" ht="12" customHeight="1" x14ac:dyDescent="0.2">
      <c r="B26" s="28"/>
      <c r="D26" s="25" t="s">
        <v>32</v>
      </c>
      <c r="L26" s="28"/>
      <c r="W26"/>
      <c r="X26"/>
      <c r="Y26"/>
    </row>
    <row r="27" spans="2:26" s="7" customFormat="1" ht="16.5" customHeight="1" x14ac:dyDescent="0.2">
      <c r="B27" s="69"/>
      <c r="E27" s="655" t="s">
        <v>1</v>
      </c>
      <c r="F27" s="655"/>
      <c r="G27" s="655"/>
      <c r="H27" s="655"/>
      <c r="L27" s="69"/>
      <c r="W27"/>
      <c r="X27"/>
      <c r="Y27"/>
    </row>
    <row r="28" spans="2:26" s="1" customFormat="1" ht="6.95" customHeight="1" x14ac:dyDescent="0.2">
      <c r="B28" s="28"/>
      <c r="L28" s="28"/>
      <c r="W28"/>
      <c r="X28"/>
      <c r="Y28"/>
    </row>
    <row r="29" spans="2:26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W29"/>
      <c r="X29"/>
      <c r="Y29"/>
    </row>
    <row r="30" spans="2:26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W30"/>
      <c r="X30"/>
      <c r="Y30"/>
    </row>
    <row r="31" spans="2:26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W31"/>
      <c r="X31"/>
      <c r="Y31"/>
    </row>
    <row r="32" spans="2:26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W32"/>
      <c r="X32"/>
      <c r="Y32"/>
    </row>
    <row r="33" spans="2:25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W33"/>
      <c r="X33"/>
      <c r="Y33"/>
    </row>
    <row r="34" spans="2:25" s="1" customFormat="1" ht="14.45" customHeight="1" x14ac:dyDescent="0.2">
      <c r="B34" s="28"/>
      <c r="E34" s="25" t="s">
        <v>40</v>
      </c>
      <c r="F34" s="71">
        <f>ROUND((SUM(BD88:BD433)),  2)</f>
        <v>0</v>
      </c>
      <c r="I34" s="72">
        <v>0.15</v>
      </c>
      <c r="J34" s="71">
        <f>ROUND(((SUM(BD88:BD433))*I34),  2)</f>
        <v>0</v>
      </c>
      <c r="L34" s="28"/>
      <c r="W34"/>
      <c r="X34"/>
      <c r="Y34"/>
    </row>
    <row r="35" spans="2:25" s="1" customFormat="1" ht="14.45" hidden="1" customHeight="1" x14ac:dyDescent="0.2">
      <c r="B35" s="28"/>
      <c r="E35" s="25" t="s">
        <v>41</v>
      </c>
      <c r="F35" s="71">
        <f>ROUND((SUM(BE88:BE433)),  2)</f>
        <v>0</v>
      </c>
      <c r="I35" s="72">
        <v>0.21</v>
      </c>
      <c r="J35" s="71">
        <f>0</f>
        <v>0</v>
      </c>
      <c r="L35" s="28"/>
      <c r="W35"/>
      <c r="X35"/>
      <c r="Y35"/>
    </row>
    <row r="36" spans="2:25" s="1" customFormat="1" ht="14.45" hidden="1" customHeight="1" x14ac:dyDescent="0.2">
      <c r="B36" s="28"/>
      <c r="E36" s="25" t="s">
        <v>42</v>
      </c>
      <c r="F36" s="71">
        <f>ROUND((SUM(BF88:BF433)),  2)</f>
        <v>0</v>
      </c>
      <c r="I36" s="72">
        <v>0.15</v>
      </c>
      <c r="J36" s="71">
        <f>0</f>
        <v>0</v>
      </c>
      <c r="L36" s="28"/>
      <c r="W36"/>
      <c r="X36"/>
      <c r="Y36"/>
    </row>
    <row r="37" spans="2:25" s="1" customFormat="1" ht="14.45" hidden="1" customHeight="1" x14ac:dyDescent="0.2">
      <c r="B37" s="28"/>
      <c r="E37" s="25" t="s">
        <v>43</v>
      </c>
      <c r="F37" s="71">
        <f>ROUND((SUM(BG88:BG433)),  2)</f>
        <v>0</v>
      </c>
      <c r="I37" s="72">
        <v>0</v>
      </c>
      <c r="J37" s="71">
        <f>0</f>
        <v>0</v>
      </c>
      <c r="L37" s="28"/>
      <c r="W37"/>
      <c r="X37"/>
      <c r="Y37"/>
    </row>
    <row r="38" spans="2:25" s="1" customFormat="1" ht="6.95" customHeight="1" x14ac:dyDescent="0.2">
      <c r="B38" s="28"/>
      <c r="L38" s="28"/>
      <c r="W38"/>
      <c r="X38"/>
      <c r="Y38"/>
    </row>
    <row r="39" spans="2:25" s="1" customFormat="1" ht="25.35" customHeight="1" x14ac:dyDescent="0.2">
      <c r="B39" s="28"/>
      <c r="C39" s="73"/>
      <c r="D39" s="74" t="s">
        <v>44</v>
      </c>
      <c r="E39" s="49"/>
      <c r="F39" s="49"/>
      <c r="G39" s="484" t="s">
        <v>45</v>
      </c>
      <c r="H39" s="76" t="s">
        <v>46</v>
      </c>
      <c r="I39" s="49"/>
      <c r="J39" s="77">
        <f>SUM(J30:J37)</f>
        <v>0</v>
      </c>
      <c r="K39" s="78"/>
      <c r="L39" s="28"/>
      <c r="W39"/>
      <c r="X39"/>
      <c r="Y39"/>
    </row>
    <row r="40" spans="2:25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W40"/>
      <c r="X40"/>
      <c r="Y40"/>
    </row>
    <row r="44" spans="2:25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W44"/>
      <c r="X44"/>
      <c r="Y44"/>
    </row>
    <row r="45" spans="2:25" s="1" customFormat="1" ht="24.95" customHeight="1" x14ac:dyDescent="0.2">
      <c r="B45" s="28"/>
      <c r="C45" s="21" t="s">
        <v>75</v>
      </c>
      <c r="L45" s="28"/>
      <c r="W45"/>
      <c r="X45"/>
      <c r="Y45"/>
    </row>
    <row r="46" spans="2:25" s="1" customFormat="1" ht="6.95" customHeight="1" x14ac:dyDescent="0.2">
      <c r="B46" s="28"/>
      <c r="L46" s="28"/>
      <c r="W46"/>
      <c r="X46"/>
      <c r="Y46"/>
    </row>
    <row r="47" spans="2:25" s="1" customFormat="1" ht="12" customHeight="1" x14ac:dyDescent="0.2">
      <c r="B47" s="28"/>
      <c r="C47" s="25" t="s">
        <v>13</v>
      </c>
      <c r="L47" s="28"/>
      <c r="W47"/>
      <c r="X47"/>
      <c r="Y47"/>
    </row>
    <row r="48" spans="2:25" s="1" customFormat="1" ht="16.5" customHeight="1" x14ac:dyDescent="0.2">
      <c r="B48" s="28"/>
      <c r="E48" s="669" t="str">
        <f>E7</f>
        <v>Propojení Okružní x Na hroudách</v>
      </c>
      <c r="F48" s="670"/>
      <c r="G48" s="670"/>
      <c r="H48" s="670"/>
      <c r="L48" s="28"/>
      <c r="W48"/>
      <c r="X48"/>
      <c r="Y48"/>
    </row>
    <row r="49" spans="2:45" s="1" customFormat="1" ht="12" customHeight="1" x14ac:dyDescent="0.2">
      <c r="B49" s="28"/>
      <c r="C49" s="25" t="s">
        <v>73</v>
      </c>
      <c r="L49" s="28"/>
      <c r="W49"/>
      <c r="X49"/>
      <c r="Y49"/>
    </row>
    <row r="50" spans="2:45" s="1" customFormat="1" ht="16.5" customHeight="1" x14ac:dyDescent="0.2">
      <c r="B50" s="28"/>
      <c r="E50" s="638" t="str">
        <f>E9</f>
        <v>SO 330 - Odvodnění</v>
      </c>
      <c r="F50" s="668"/>
      <c r="G50" s="668"/>
      <c r="H50" s="668"/>
      <c r="L50" s="28"/>
      <c r="W50"/>
      <c r="X50"/>
      <c r="Y50"/>
    </row>
    <row r="51" spans="2:45" s="1" customFormat="1" ht="6.95" customHeight="1" x14ac:dyDescent="0.2">
      <c r="B51" s="28"/>
      <c r="L51" s="28"/>
      <c r="W51"/>
      <c r="X51"/>
      <c r="Y51"/>
    </row>
    <row r="52" spans="2:45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W52"/>
      <c r="X52"/>
      <c r="Y52"/>
    </row>
    <row r="53" spans="2:45" s="1" customFormat="1" ht="6.95" customHeight="1" x14ac:dyDescent="0.2">
      <c r="B53" s="28"/>
      <c r="L53" s="28"/>
      <c r="W53"/>
      <c r="X53"/>
      <c r="Y53"/>
    </row>
    <row r="54" spans="2:45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W54"/>
      <c r="X54"/>
      <c r="Y54"/>
    </row>
    <row r="55" spans="2:45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W55"/>
      <c r="X55"/>
      <c r="Y55"/>
    </row>
    <row r="56" spans="2:45" s="1" customFormat="1" ht="10.35" customHeight="1" x14ac:dyDescent="0.2">
      <c r="B56" s="28"/>
      <c r="L56" s="28"/>
      <c r="W56"/>
      <c r="X56"/>
      <c r="Y56"/>
    </row>
    <row r="57" spans="2:45" s="1" customFormat="1" ht="29.25" customHeight="1" x14ac:dyDescent="0.2">
      <c r="B57" s="28"/>
      <c r="C57" s="79" t="s">
        <v>76</v>
      </c>
      <c r="D57" s="73"/>
      <c r="E57" s="73"/>
      <c r="F57" s="73"/>
      <c r="H57" s="73"/>
      <c r="I57" s="73"/>
      <c r="J57" s="80" t="s">
        <v>77</v>
      </c>
      <c r="K57" s="73"/>
      <c r="L57" s="28"/>
      <c r="W57"/>
      <c r="X57"/>
      <c r="Y57"/>
    </row>
    <row r="58" spans="2:45" s="1" customFormat="1" ht="10.35" customHeight="1" x14ac:dyDescent="0.2">
      <c r="B58" s="28"/>
      <c r="L58" s="28"/>
      <c r="W58"/>
      <c r="X58"/>
      <c r="Y58"/>
    </row>
    <row r="59" spans="2:45" s="1" customFormat="1" ht="22.9" customHeight="1" x14ac:dyDescent="0.2">
      <c r="B59" s="28"/>
      <c r="C59" s="81" t="s">
        <v>53</v>
      </c>
      <c r="J59" s="58">
        <f>J88</f>
        <v>0</v>
      </c>
      <c r="L59" s="28"/>
      <c r="W59"/>
      <c r="X59"/>
      <c r="Y59"/>
      <c r="AS59" s="17" t="s">
        <v>78</v>
      </c>
    </row>
    <row r="60" spans="2:45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W60"/>
      <c r="X60"/>
      <c r="Y60"/>
    </row>
    <row r="61" spans="2:45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W61"/>
      <c r="X61"/>
      <c r="Y61"/>
    </row>
    <row r="62" spans="2:45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J365</f>
        <v>0</v>
      </c>
      <c r="L62" s="86"/>
      <c r="W62"/>
      <c r="X62"/>
      <c r="Y62"/>
    </row>
    <row r="63" spans="2:45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J368</f>
        <v>0</v>
      </c>
      <c r="L63" s="86"/>
      <c r="W63"/>
      <c r="X63"/>
      <c r="Y63"/>
    </row>
    <row r="64" spans="2:45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J382</f>
        <v>0</v>
      </c>
      <c r="L64" s="86"/>
      <c r="W64"/>
      <c r="X64"/>
      <c r="Y64"/>
    </row>
    <row r="65" spans="2:25" s="9" customFormat="1" ht="19.899999999999999" customHeight="1" x14ac:dyDescent="0.2">
      <c r="B65" s="86"/>
      <c r="D65" s="87" t="s">
        <v>1105</v>
      </c>
      <c r="E65" s="88"/>
      <c r="F65" s="88"/>
      <c r="G65" s="88"/>
      <c r="H65" s="88"/>
      <c r="I65" s="88"/>
      <c r="J65" s="89">
        <f>J409</f>
        <v>0</v>
      </c>
      <c r="L65" s="86"/>
      <c r="W65"/>
      <c r="X65"/>
      <c r="Y65"/>
    </row>
    <row r="66" spans="2:25" s="9" customFormat="1" ht="19.899999999999999" customHeight="1" x14ac:dyDescent="0.2">
      <c r="B66" s="86"/>
      <c r="D66" s="87" t="s">
        <v>83</v>
      </c>
      <c r="E66" s="88"/>
      <c r="F66" s="88"/>
      <c r="G66" s="88"/>
      <c r="H66" s="88"/>
      <c r="I66" s="88"/>
      <c r="J66" s="89">
        <f>J426</f>
        <v>0</v>
      </c>
      <c r="L66" s="86"/>
      <c r="W66"/>
      <c r="X66"/>
      <c r="Y66"/>
    </row>
    <row r="67" spans="2:25" s="8" customFormat="1" ht="24.95" customHeight="1" x14ac:dyDescent="0.2">
      <c r="B67" s="82"/>
      <c r="D67" s="83" t="s">
        <v>649</v>
      </c>
      <c r="E67" s="84"/>
      <c r="F67" s="84"/>
      <c r="G67" s="84"/>
      <c r="H67" s="84"/>
      <c r="I67" s="84"/>
      <c r="J67" s="85">
        <f>J431</f>
        <v>0</v>
      </c>
      <c r="L67" s="82"/>
      <c r="W67"/>
      <c r="X67"/>
      <c r="Y67"/>
    </row>
    <row r="68" spans="2:25" s="9" customFormat="1" ht="19.899999999999999" customHeight="1" x14ac:dyDescent="0.2">
      <c r="B68" s="86"/>
      <c r="D68" s="87" t="s">
        <v>650</v>
      </c>
      <c r="E68" s="88"/>
      <c r="F68" s="88"/>
      <c r="G68" s="88"/>
      <c r="H68" s="88"/>
      <c r="I68" s="88"/>
      <c r="J68" s="89">
        <f>J432</f>
        <v>0</v>
      </c>
      <c r="L68" s="86"/>
      <c r="W68"/>
      <c r="X68"/>
      <c r="Y68"/>
    </row>
    <row r="69" spans="2:25" s="1" customFormat="1" ht="21.75" customHeight="1" x14ac:dyDescent="0.2">
      <c r="B69" s="28"/>
      <c r="D69" s="83" t="s">
        <v>1828</v>
      </c>
      <c r="E69" s="84"/>
      <c r="F69" s="84"/>
      <c r="G69" s="84"/>
      <c r="H69" s="84"/>
      <c r="I69" s="84"/>
      <c r="J69" s="85">
        <f>J435</f>
        <v>0</v>
      </c>
      <c r="L69" s="28"/>
      <c r="W69"/>
      <c r="X69"/>
      <c r="Y69"/>
    </row>
    <row r="70" spans="2:25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W70"/>
      <c r="X70"/>
      <c r="Y70"/>
    </row>
    <row r="74" spans="2:25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W74"/>
      <c r="X74"/>
      <c r="Y74"/>
    </row>
    <row r="75" spans="2:25" s="1" customFormat="1" ht="24.95" customHeight="1" x14ac:dyDescent="0.2">
      <c r="B75" s="28"/>
      <c r="C75" s="21" t="s">
        <v>86</v>
      </c>
      <c r="L75" s="28"/>
      <c r="W75"/>
      <c r="X75"/>
      <c r="Y75"/>
    </row>
    <row r="76" spans="2:25" s="1" customFormat="1" ht="6.95" customHeight="1" x14ac:dyDescent="0.2">
      <c r="B76" s="28"/>
      <c r="L76" s="28"/>
      <c r="W76"/>
      <c r="X76"/>
      <c r="Y76"/>
    </row>
    <row r="77" spans="2:25" s="1" customFormat="1" ht="12" customHeight="1" x14ac:dyDescent="0.2">
      <c r="B77" s="28"/>
      <c r="C77" s="25" t="s">
        <v>13</v>
      </c>
      <c r="L77" s="28"/>
      <c r="W77"/>
      <c r="X77"/>
      <c r="Y77"/>
    </row>
    <row r="78" spans="2:25" s="1" customFormat="1" ht="16.5" customHeight="1" x14ac:dyDescent="0.2">
      <c r="B78" s="28"/>
      <c r="E78" s="669" t="str">
        <f>E7</f>
        <v>Propojení Okružní x Na hroudách</v>
      </c>
      <c r="F78" s="670"/>
      <c r="G78" s="670"/>
      <c r="H78" s="670"/>
      <c r="L78" s="28"/>
      <c r="W78"/>
      <c r="X78"/>
      <c r="Y78"/>
    </row>
    <row r="79" spans="2:25" s="1" customFormat="1" ht="12" customHeight="1" x14ac:dyDescent="0.2">
      <c r="B79" s="28"/>
      <c r="C79" s="25" t="s">
        <v>73</v>
      </c>
      <c r="L79" s="28"/>
      <c r="W79"/>
      <c r="X79"/>
      <c r="Y79"/>
    </row>
    <row r="80" spans="2:25" s="1" customFormat="1" ht="16.5" customHeight="1" x14ac:dyDescent="0.2">
      <c r="B80" s="28"/>
      <c r="E80" s="638" t="str">
        <f>E9</f>
        <v>SO 330 - Odvodnění</v>
      </c>
      <c r="F80" s="668"/>
      <c r="G80" s="668"/>
      <c r="H80" s="668"/>
      <c r="L80" s="28"/>
      <c r="W80"/>
      <c r="X80"/>
      <c r="Y80"/>
    </row>
    <row r="81" spans="2:63" s="1" customFormat="1" ht="6.95" customHeight="1" x14ac:dyDescent="0.2">
      <c r="B81" s="28"/>
      <c r="L81" s="28"/>
      <c r="W81"/>
      <c r="X81"/>
      <c r="Y81"/>
    </row>
    <row r="82" spans="2:63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W82"/>
      <c r="X82"/>
      <c r="Y82"/>
    </row>
    <row r="83" spans="2:63" s="1" customFormat="1" ht="6.95" customHeight="1" x14ac:dyDescent="0.2">
      <c r="B83" s="28"/>
      <c r="L83" s="28"/>
      <c r="W83"/>
      <c r="X83"/>
      <c r="Y83"/>
    </row>
    <row r="84" spans="2:63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W84"/>
      <c r="X84"/>
      <c r="Y84"/>
    </row>
    <row r="85" spans="2:63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W85"/>
      <c r="X85"/>
      <c r="Y85"/>
    </row>
    <row r="86" spans="2:63" s="1" customFormat="1" ht="10.35" customHeight="1" x14ac:dyDescent="0.2">
      <c r="B86" s="28"/>
      <c r="L86" s="28"/>
      <c r="W86"/>
      <c r="X86"/>
      <c r="Y86"/>
    </row>
    <row r="87" spans="2:63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485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W87"/>
      <c r="X87"/>
      <c r="Y87"/>
    </row>
    <row r="88" spans="2:63" s="1" customFormat="1" ht="22.9" customHeight="1" x14ac:dyDescent="0.25">
      <c r="B88" s="28"/>
      <c r="C88" s="56" t="s">
        <v>98</v>
      </c>
      <c r="J88" s="94">
        <f>BI88</f>
        <v>0</v>
      </c>
      <c r="K88" s="121"/>
      <c r="L88" s="28"/>
      <c r="M88" s="54"/>
      <c r="N88" s="46"/>
      <c r="O88" s="46"/>
      <c r="P88" s="95">
        <f>P89+P431</f>
        <v>1427.9336576799999</v>
      </c>
      <c r="Q88" s="46"/>
      <c r="R88" s="95">
        <f>R89+R431</f>
        <v>2.5295650698000003</v>
      </c>
      <c r="S88" s="46"/>
      <c r="T88" s="96">
        <f>T89+T431</f>
        <v>0</v>
      </c>
      <c r="W88"/>
      <c r="X88"/>
      <c r="Y88"/>
      <c r="AR88" s="17" t="s">
        <v>54</v>
      </c>
      <c r="AS88" s="17" t="s">
        <v>78</v>
      </c>
      <c r="BI88" s="97">
        <f>BI89+BI431+BI435</f>
        <v>0</v>
      </c>
    </row>
    <row r="89" spans="2:63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BI89</f>
        <v>0</v>
      </c>
      <c r="L89" s="98"/>
      <c r="M89" s="102"/>
      <c r="P89" s="103">
        <f>P90+P365+P368+P382+P409+P426</f>
        <v>1427.9336576799999</v>
      </c>
      <c r="R89" s="103">
        <f>R90+R365+R368+R382+R409+R426</f>
        <v>2.5287450698000002</v>
      </c>
      <c r="T89" s="104">
        <f>T90+T365+T368+T382+T409+T426</f>
        <v>0</v>
      </c>
      <c r="W89"/>
      <c r="X89"/>
      <c r="Y89"/>
      <c r="AP89" s="99" t="s">
        <v>63</v>
      </c>
      <c r="AR89" s="105" t="s">
        <v>54</v>
      </c>
      <c r="AS89" s="105" t="s">
        <v>55</v>
      </c>
      <c r="AW89" s="99" t="s">
        <v>101</v>
      </c>
      <c r="BI89" s="106">
        <f>BI90+BI365+BI368+BI382+BI409+BI426</f>
        <v>0</v>
      </c>
    </row>
    <row r="90" spans="2:63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BI90</f>
        <v>0</v>
      </c>
      <c r="L90" s="98"/>
      <c r="M90" s="102"/>
      <c r="P90" s="103">
        <f>SUM(P91:P363)</f>
        <v>1147.1443734599998</v>
      </c>
      <c r="R90" s="103">
        <f>SUM(R91:R363)</f>
        <v>0.26197248480000002</v>
      </c>
      <c r="T90" s="104">
        <f>SUM(T91:T363)</f>
        <v>0</v>
      </c>
      <c r="W90"/>
      <c r="X90"/>
      <c r="Y90"/>
      <c r="AP90" s="99" t="s">
        <v>63</v>
      </c>
      <c r="AR90" s="105" t="s">
        <v>54</v>
      </c>
      <c r="AS90" s="105" t="s">
        <v>63</v>
      </c>
      <c r="AW90" s="99" t="s">
        <v>101</v>
      </c>
      <c r="BI90" s="106">
        <f>SUM(BI91:BI363)</f>
        <v>0</v>
      </c>
    </row>
    <row r="91" spans="2:63" s="1" customFormat="1" ht="62.65" customHeight="1" x14ac:dyDescent="0.2">
      <c r="B91" s="109"/>
      <c r="C91" s="110" t="s">
        <v>63</v>
      </c>
      <c r="D91" s="110" t="s">
        <v>103</v>
      </c>
      <c r="E91" s="111" t="s">
        <v>1106</v>
      </c>
      <c r="F91" s="112" t="s">
        <v>1107</v>
      </c>
      <c r="G91" s="113" t="s">
        <v>130</v>
      </c>
      <c r="H91" s="114">
        <f>573.337*0.82</f>
        <v>470.13633999999996</v>
      </c>
      <c r="I91" s="115">
        <v>0</v>
      </c>
      <c r="J91" s="115">
        <f>ROUND(I91*H91,2)</f>
        <v>0</v>
      </c>
      <c r="K91" s="112" t="s">
        <v>107</v>
      </c>
      <c r="L91" s="28"/>
      <c r="M91" s="116" t="s">
        <v>1</v>
      </c>
      <c r="N91" s="117" t="s">
        <v>39</v>
      </c>
      <c r="O91" s="118">
        <v>9.1999999999999998E-2</v>
      </c>
      <c r="P91" s="118">
        <f>O91*H91</f>
        <v>43.252543279999998</v>
      </c>
      <c r="Q91" s="118">
        <v>0</v>
      </c>
      <c r="R91" s="118">
        <f>Q91*H91</f>
        <v>0</v>
      </c>
      <c r="S91" s="118">
        <v>0</v>
      </c>
      <c r="T91" s="119">
        <f>S91*H91</f>
        <v>0</v>
      </c>
      <c r="W91"/>
      <c r="X91"/>
      <c r="Y91"/>
      <c r="AP91" s="120" t="s">
        <v>108</v>
      </c>
      <c r="AR91" s="120" t="s">
        <v>103</v>
      </c>
      <c r="AS91" s="120" t="s">
        <v>65</v>
      </c>
      <c r="AW91" s="17" t="s">
        <v>101</v>
      </c>
      <c r="BC91" s="121">
        <f>IF(N91="základní",J91,0)</f>
        <v>0</v>
      </c>
      <c r="BD91" s="121">
        <f>IF(N91="snížená",J91,0)</f>
        <v>0</v>
      </c>
      <c r="BE91" s="121">
        <f>IF(N91="zákl. přenesená",J91,0)</f>
        <v>0</v>
      </c>
      <c r="BF91" s="121">
        <f>IF(N91="sníž. přenesená",J91,0)</f>
        <v>0</v>
      </c>
      <c r="BG91" s="121">
        <f>IF(N91="nulová",J91,0)</f>
        <v>0</v>
      </c>
      <c r="BH91" s="17" t="s">
        <v>63</v>
      </c>
      <c r="BI91" s="121">
        <f>ROUND(I91*H91,2)</f>
        <v>0</v>
      </c>
      <c r="BJ91" s="17" t="s">
        <v>108</v>
      </c>
      <c r="BK91" s="120" t="s">
        <v>1108</v>
      </c>
    </row>
    <row r="92" spans="2:63" s="1" customFormat="1" x14ac:dyDescent="0.2">
      <c r="B92" s="28"/>
      <c r="D92" s="122" t="s">
        <v>110</v>
      </c>
      <c r="F92" s="123" t="s">
        <v>1109</v>
      </c>
      <c r="L92" s="28"/>
      <c r="M92" s="124"/>
      <c r="T92" s="48"/>
      <c r="W92"/>
      <c r="X92"/>
      <c r="Y92"/>
      <c r="AR92" s="17" t="s">
        <v>110</v>
      </c>
      <c r="AS92" s="17" t="s">
        <v>65</v>
      </c>
    </row>
    <row r="93" spans="2:63" s="12" customFormat="1" x14ac:dyDescent="0.2">
      <c r="B93" s="125"/>
      <c r="D93" s="126" t="s">
        <v>112</v>
      </c>
      <c r="E93" s="127" t="s">
        <v>1</v>
      </c>
      <c r="F93" s="128" t="s">
        <v>1110</v>
      </c>
      <c r="H93" s="127" t="s">
        <v>1</v>
      </c>
      <c r="L93" s="125"/>
      <c r="M93" s="129"/>
      <c r="T93" s="130"/>
      <c r="W93"/>
      <c r="X93"/>
      <c r="Y93"/>
      <c r="AR93" s="127" t="s">
        <v>112</v>
      </c>
      <c r="AS93" s="127" t="s">
        <v>65</v>
      </c>
      <c r="AT93" s="12" t="s">
        <v>63</v>
      </c>
      <c r="AU93" s="12" t="s">
        <v>30</v>
      </c>
      <c r="AV93" s="12" t="s">
        <v>55</v>
      </c>
      <c r="AW93" s="127" t="s">
        <v>101</v>
      </c>
    </row>
    <row r="94" spans="2:63" s="12" customFormat="1" x14ac:dyDescent="0.2">
      <c r="B94" s="125"/>
      <c r="D94" s="126" t="s">
        <v>112</v>
      </c>
      <c r="E94" s="127" t="s">
        <v>1</v>
      </c>
      <c r="F94" s="128" t="s">
        <v>1111</v>
      </c>
      <c r="H94" s="127" t="s">
        <v>1</v>
      </c>
      <c r="L94" s="125"/>
      <c r="M94" s="129"/>
      <c r="T94" s="130"/>
      <c r="W94"/>
      <c r="X94"/>
      <c r="Y94"/>
      <c r="AR94" s="127" t="s">
        <v>112</v>
      </c>
      <c r="AS94" s="127" t="s">
        <v>65</v>
      </c>
      <c r="AT94" s="12" t="s">
        <v>63</v>
      </c>
      <c r="AU94" s="12" t="s">
        <v>30</v>
      </c>
      <c r="AV94" s="12" t="s">
        <v>55</v>
      </c>
      <c r="AW94" s="127" t="s">
        <v>101</v>
      </c>
    </row>
    <row r="95" spans="2:63" s="13" customFormat="1" x14ac:dyDescent="0.2">
      <c r="B95" s="131"/>
      <c r="D95" s="126" t="s">
        <v>112</v>
      </c>
      <c r="E95" s="132" t="s">
        <v>1</v>
      </c>
      <c r="F95" s="133" t="s">
        <v>1112</v>
      </c>
      <c r="H95" s="134">
        <v>13.26</v>
      </c>
      <c r="L95" s="131"/>
      <c r="M95" s="135"/>
      <c r="T95" s="136"/>
      <c r="W95"/>
      <c r="X95"/>
      <c r="Y95"/>
      <c r="AR95" s="132" t="s">
        <v>112</v>
      </c>
      <c r="AS95" s="132" t="s">
        <v>65</v>
      </c>
      <c r="AT95" s="13" t="s">
        <v>65</v>
      </c>
      <c r="AU95" s="13" t="s">
        <v>30</v>
      </c>
      <c r="AV95" s="13" t="s">
        <v>55</v>
      </c>
      <c r="AW95" s="132" t="s">
        <v>101</v>
      </c>
    </row>
    <row r="96" spans="2:63" s="13" customFormat="1" x14ac:dyDescent="0.2">
      <c r="B96" s="131"/>
      <c r="D96" s="126" t="s">
        <v>112</v>
      </c>
      <c r="E96" s="132" t="s">
        <v>1</v>
      </c>
      <c r="F96" s="133" t="s">
        <v>1113</v>
      </c>
      <c r="H96" s="134">
        <v>53.15</v>
      </c>
      <c r="L96" s="131"/>
      <c r="M96" s="135"/>
      <c r="T96" s="136"/>
      <c r="W96"/>
      <c r="X96"/>
      <c r="Y96"/>
      <c r="AR96" s="132" t="s">
        <v>112</v>
      </c>
      <c r="AS96" s="132" t="s">
        <v>65</v>
      </c>
      <c r="AT96" s="13" t="s">
        <v>65</v>
      </c>
      <c r="AU96" s="13" t="s">
        <v>30</v>
      </c>
      <c r="AV96" s="13" t="s">
        <v>55</v>
      </c>
      <c r="AW96" s="132" t="s">
        <v>101</v>
      </c>
    </row>
    <row r="97" spans="2:49" s="13" customFormat="1" x14ac:dyDescent="0.2">
      <c r="B97" s="131"/>
      <c r="D97" s="126" t="s">
        <v>112</v>
      </c>
      <c r="E97" s="132" t="s">
        <v>1</v>
      </c>
      <c r="F97" s="133" t="s">
        <v>1114</v>
      </c>
      <c r="H97" s="134">
        <v>5.3479999999999999</v>
      </c>
      <c r="L97" s="131"/>
      <c r="M97" s="135"/>
      <c r="T97" s="136"/>
      <c r="W97"/>
      <c r="X97"/>
      <c r="Y97"/>
      <c r="AR97" s="132" t="s">
        <v>112</v>
      </c>
      <c r="AS97" s="132" t="s">
        <v>65</v>
      </c>
      <c r="AT97" s="13" t="s">
        <v>65</v>
      </c>
      <c r="AU97" s="13" t="s">
        <v>30</v>
      </c>
      <c r="AV97" s="13" t="s">
        <v>55</v>
      </c>
      <c r="AW97" s="132" t="s">
        <v>101</v>
      </c>
    </row>
    <row r="98" spans="2:49" s="13" customFormat="1" x14ac:dyDescent="0.2">
      <c r="B98" s="131"/>
      <c r="D98" s="126" t="s">
        <v>112</v>
      </c>
      <c r="E98" s="132" t="s">
        <v>1</v>
      </c>
      <c r="F98" s="133" t="s">
        <v>1115</v>
      </c>
      <c r="H98" s="134">
        <v>16.238</v>
      </c>
      <c r="L98" s="131"/>
      <c r="M98" s="135"/>
      <c r="T98" s="136"/>
      <c r="W98"/>
      <c r="X98"/>
      <c r="Y98"/>
      <c r="AR98" s="132" t="s">
        <v>112</v>
      </c>
      <c r="AS98" s="132" t="s">
        <v>65</v>
      </c>
      <c r="AT98" s="13" t="s">
        <v>65</v>
      </c>
      <c r="AU98" s="13" t="s">
        <v>30</v>
      </c>
      <c r="AV98" s="13" t="s">
        <v>55</v>
      </c>
      <c r="AW98" s="132" t="s">
        <v>101</v>
      </c>
    </row>
    <row r="99" spans="2:49" s="13" customFormat="1" x14ac:dyDescent="0.2">
      <c r="B99" s="131"/>
      <c r="D99" s="126" t="s">
        <v>112</v>
      </c>
      <c r="E99" s="132" t="s">
        <v>1</v>
      </c>
      <c r="F99" s="133" t="s">
        <v>1116</v>
      </c>
      <c r="H99" s="134">
        <v>26.4</v>
      </c>
      <c r="L99" s="131"/>
      <c r="M99" s="135"/>
      <c r="T99" s="136"/>
      <c r="W99"/>
      <c r="X99"/>
      <c r="Y99"/>
      <c r="AR99" s="132" t="s">
        <v>112</v>
      </c>
      <c r="AS99" s="132" t="s">
        <v>65</v>
      </c>
      <c r="AT99" s="13" t="s">
        <v>65</v>
      </c>
      <c r="AU99" s="13" t="s">
        <v>30</v>
      </c>
      <c r="AV99" s="13" t="s">
        <v>55</v>
      </c>
      <c r="AW99" s="132" t="s">
        <v>101</v>
      </c>
    </row>
    <row r="100" spans="2:49" s="13" customFormat="1" x14ac:dyDescent="0.2">
      <c r="B100" s="131"/>
      <c r="D100" s="126" t="s">
        <v>112</v>
      </c>
      <c r="E100" s="132" t="s">
        <v>1</v>
      </c>
      <c r="F100" s="133" t="s">
        <v>1117</v>
      </c>
      <c r="H100" s="134">
        <v>33.695999999999998</v>
      </c>
      <c r="L100" s="131"/>
      <c r="M100" s="135"/>
      <c r="T100" s="136"/>
      <c r="W100"/>
      <c r="X100"/>
      <c r="Y100"/>
      <c r="AR100" s="132" t="s">
        <v>112</v>
      </c>
      <c r="AS100" s="132" t="s">
        <v>65</v>
      </c>
      <c r="AT100" s="13" t="s">
        <v>65</v>
      </c>
      <c r="AU100" s="13" t="s">
        <v>30</v>
      </c>
      <c r="AV100" s="13" t="s">
        <v>55</v>
      </c>
      <c r="AW100" s="132" t="s">
        <v>101</v>
      </c>
    </row>
    <row r="101" spans="2:49" s="13" customFormat="1" x14ac:dyDescent="0.2">
      <c r="B101" s="131"/>
      <c r="D101" s="126" t="s">
        <v>112</v>
      </c>
      <c r="E101" s="132" t="s">
        <v>1</v>
      </c>
      <c r="F101" s="133" t="s">
        <v>1118</v>
      </c>
      <c r="H101" s="134">
        <v>30.54</v>
      </c>
      <c r="L101" s="131"/>
      <c r="M101" s="135"/>
      <c r="T101" s="136"/>
      <c r="W101"/>
      <c r="X101"/>
      <c r="Y101"/>
      <c r="AR101" s="132" t="s">
        <v>112</v>
      </c>
      <c r="AS101" s="132" t="s">
        <v>65</v>
      </c>
      <c r="AT101" s="13" t="s">
        <v>65</v>
      </c>
      <c r="AU101" s="13" t="s">
        <v>30</v>
      </c>
      <c r="AV101" s="13" t="s">
        <v>55</v>
      </c>
      <c r="AW101" s="132" t="s">
        <v>101</v>
      </c>
    </row>
    <row r="102" spans="2:49" s="13" customFormat="1" x14ac:dyDescent="0.2">
      <c r="B102" s="131"/>
      <c r="D102" s="126" t="s">
        <v>112</v>
      </c>
      <c r="E102" s="132" t="s">
        <v>1</v>
      </c>
      <c r="F102" s="133" t="s">
        <v>1119</v>
      </c>
      <c r="H102" s="134">
        <v>8.734</v>
      </c>
      <c r="L102" s="131"/>
      <c r="M102" s="135"/>
      <c r="T102" s="136"/>
      <c r="W102"/>
      <c r="X102"/>
      <c r="Y102"/>
      <c r="AR102" s="132" t="s">
        <v>112</v>
      </c>
      <c r="AS102" s="132" t="s">
        <v>65</v>
      </c>
      <c r="AT102" s="13" t="s">
        <v>65</v>
      </c>
      <c r="AU102" s="13" t="s">
        <v>30</v>
      </c>
      <c r="AV102" s="13" t="s">
        <v>55</v>
      </c>
      <c r="AW102" s="132" t="s">
        <v>101</v>
      </c>
    </row>
    <row r="103" spans="2:49" s="13" customFormat="1" x14ac:dyDescent="0.2">
      <c r="B103" s="131"/>
      <c r="D103" s="126" t="s">
        <v>112</v>
      </c>
      <c r="E103" s="132" t="s">
        <v>1</v>
      </c>
      <c r="F103" s="133" t="s">
        <v>1120</v>
      </c>
      <c r="H103" s="134">
        <v>41.968000000000004</v>
      </c>
      <c r="L103" s="131"/>
      <c r="M103" s="135"/>
      <c r="T103" s="136"/>
      <c r="W103"/>
      <c r="X103"/>
      <c r="Y103"/>
      <c r="AR103" s="132" t="s">
        <v>112</v>
      </c>
      <c r="AS103" s="132" t="s">
        <v>65</v>
      </c>
      <c r="AT103" s="13" t="s">
        <v>65</v>
      </c>
      <c r="AU103" s="13" t="s">
        <v>30</v>
      </c>
      <c r="AV103" s="13" t="s">
        <v>55</v>
      </c>
      <c r="AW103" s="132" t="s">
        <v>101</v>
      </c>
    </row>
    <row r="104" spans="2:49" s="15" customFormat="1" x14ac:dyDescent="0.2">
      <c r="B104" s="159"/>
      <c r="D104" s="126" t="s">
        <v>112</v>
      </c>
      <c r="E104" s="160" t="s">
        <v>1</v>
      </c>
      <c r="F104" s="161" t="s">
        <v>1121</v>
      </c>
      <c r="H104" s="162">
        <v>229.334</v>
      </c>
      <c r="L104" s="159"/>
      <c r="M104" s="163"/>
      <c r="T104" s="164"/>
      <c r="W104"/>
      <c r="X104"/>
      <c r="Y104"/>
      <c r="AR104" s="160" t="s">
        <v>112</v>
      </c>
      <c r="AS104" s="160" t="s">
        <v>65</v>
      </c>
      <c r="AT104" s="15" t="s">
        <v>119</v>
      </c>
      <c r="AU104" s="15" t="s">
        <v>30</v>
      </c>
      <c r="AV104" s="15" t="s">
        <v>55</v>
      </c>
      <c r="AW104" s="160" t="s">
        <v>101</v>
      </c>
    </row>
    <row r="105" spans="2:49" s="12" customFormat="1" x14ac:dyDescent="0.2">
      <c r="B105" s="125"/>
      <c r="D105" s="126" t="s">
        <v>112</v>
      </c>
      <c r="E105" s="127" t="s">
        <v>1</v>
      </c>
      <c r="F105" s="128" t="s">
        <v>1122</v>
      </c>
      <c r="H105" s="127" t="s">
        <v>1</v>
      </c>
      <c r="L105" s="125"/>
      <c r="M105" s="129"/>
      <c r="T105" s="130"/>
      <c r="W105"/>
      <c r="X105"/>
      <c r="Y105"/>
      <c r="AR105" s="127" t="s">
        <v>112</v>
      </c>
      <c r="AS105" s="127" t="s">
        <v>65</v>
      </c>
      <c r="AT105" s="12" t="s">
        <v>63</v>
      </c>
      <c r="AU105" s="12" t="s">
        <v>30</v>
      </c>
      <c r="AV105" s="12" t="s">
        <v>55</v>
      </c>
      <c r="AW105" s="127" t="s">
        <v>101</v>
      </c>
    </row>
    <row r="106" spans="2:49" s="12" customFormat="1" x14ac:dyDescent="0.2">
      <c r="B106" s="125"/>
      <c r="D106" s="126" t="s">
        <v>112</v>
      </c>
      <c r="E106" s="127" t="s">
        <v>1</v>
      </c>
      <c r="F106" s="128" t="s">
        <v>1111</v>
      </c>
      <c r="H106" s="127" t="s">
        <v>1</v>
      </c>
      <c r="L106" s="125"/>
      <c r="M106" s="129"/>
      <c r="T106" s="130"/>
      <c r="W106"/>
      <c r="X106"/>
      <c r="Y106"/>
      <c r="AR106" s="127" t="s">
        <v>112</v>
      </c>
      <c r="AS106" s="127" t="s">
        <v>65</v>
      </c>
      <c r="AT106" s="12" t="s">
        <v>63</v>
      </c>
      <c r="AU106" s="12" t="s">
        <v>30</v>
      </c>
      <c r="AV106" s="12" t="s">
        <v>55</v>
      </c>
      <c r="AW106" s="127" t="s">
        <v>101</v>
      </c>
    </row>
    <row r="107" spans="2:49" s="13" customFormat="1" x14ac:dyDescent="0.2">
      <c r="B107" s="131"/>
      <c r="D107" s="126" t="s">
        <v>112</v>
      </c>
      <c r="E107" s="132" t="s">
        <v>1</v>
      </c>
      <c r="F107" s="133" t="s">
        <v>1123</v>
      </c>
      <c r="H107" s="134">
        <v>19.89</v>
      </c>
      <c r="L107" s="131"/>
      <c r="M107" s="135"/>
      <c r="T107" s="136"/>
      <c r="W107"/>
      <c r="X107"/>
      <c r="Y107"/>
      <c r="AR107" s="132" t="s">
        <v>112</v>
      </c>
      <c r="AS107" s="132" t="s">
        <v>65</v>
      </c>
      <c r="AT107" s="13" t="s">
        <v>65</v>
      </c>
      <c r="AU107" s="13" t="s">
        <v>30</v>
      </c>
      <c r="AV107" s="13" t="s">
        <v>55</v>
      </c>
      <c r="AW107" s="132" t="s">
        <v>101</v>
      </c>
    </row>
    <row r="108" spans="2:49" s="13" customFormat="1" x14ac:dyDescent="0.2">
      <c r="B108" s="131"/>
      <c r="D108" s="126" t="s">
        <v>112</v>
      </c>
      <c r="E108" s="132" t="s">
        <v>1</v>
      </c>
      <c r="F108" s="133" t="s">
        <v>1124</v>
      </c>
      <c r="H108" s="134">
        <v>79.724999999999994</v>
      </c>
      <c r="L108" s="131"/>
      <c r="M108" s="135"/>
      <c r="T108" s="136"/>
      <c r="W108"/>
      <c r="X108"/>
      <c r="Y108"/>
      <c r="AR108" s="132" t="s">
        <v>112</v>
      </c>
      <c r="AS108" s="132" t="s">
        <v>65</v>
      </c>
      <c r="AT108" s="13" t="s">
        <v>65</v>
      </c>
      <c r="AU108" s="13" t="s">
        <v>30</v>
      </c>
      <c r="AV108" s="13" t="s">
        <v>55</v>
      </c>
      <c r="AW108" s="132" t="s">
        <v>101</v>
      </c>
    </row>
    <row r="109" spans="2:49" s="13" customFormat="1" x14ac:dyDescent="0.2">
      <c r="B109" s="131"/>
      <c r="D109" s="126" t="s">
        <v>112</v>
      </c>
      <c r="E109" s="132" t="s">
        <v>1</v>
      </c>
      <c r="F109" s="133" t="s">
        <v>1125</v>
      </c>
      <c r="H109" s="134">
        <v>8.0220000000000002</v>
      </c>
      <c r="L109" s="131"/>
      <c r="M109" s="135"/>
      <c r="T109" s="136"/>
      <c r="W109"/>
      <c r="X109"/>
      <c r="Y109"/>
      <c r="AR109" s="132" t="s">
        <v>112</v>
      </c>
      <c r="AS109" s="132" t="s">
        <v>65</v>
      </c>
      <c r="AT109" s="13" t="s">
        <v>65</v>
      </c>
      <c r="AU109" s="13" t="s">
        <v>30</v>
      </c>
      <c r="AV109" s="13" t="s">
        <v>55</v>
      </c>
      <c r="AW109" s="132" t="s">
        <v>101</v>
      </c>
    </row>
    <row r="110" spans="2:49" s="13" customFormat="1" x14ac:dyDescent="0.2">
      <c r="B110" s="131"/>
      <c r="D110" s="126" t="s">
        <v>112</v>
      </c>
      <c r="E110" s="132" t="s">
        <v>1</v>
      </c>
      <c r="F110" s="133" t="s">
        <v>1126</v>
      </c>
      <c r="H110" s="134">
        <v>24.356999999999999</v>
      </c>
      <c r="L110" s="131"/>
      <c r="M110" s="135"/>
      <c r="T110" s="136"/>
      <c r="W110"/>
      <c r="X110"/>
      <c r="Y110"/>
      <c r="AR110" s="132" t="s">
        <v>112</v>
      </c>
      <c r="AS110" s="132" t="s">
        <v>65</v>
      </c>
      <c r="AT110" s="13" t="s">
        <v>65</v>
      </c>
      <c r="AU110" s="13" t="s">
        <v>30</v>
      </c>
      <c r="AV110" s="13" t="s">
        <v>55</v>
      </c>
      <c r="AW110" s="132" t="s">
        <v>101</v>
      </c>
    </row>
    <row r="111" spans="2:49" s="13" customFormat="1" x14ac:dyDescent="0.2">
      <c r="B111" s="131"/>
      <c r="D111" s="126" t="s">
        <v>112</v>
      </c>
      <c r="E111" s="132" t="s">
        <v>1</v>
      </c>
      <c r="F111" s="133" t="s">
        <v>1127</v>
      </c>
      <c r="H111" s="134">
        <v>39.6</v>
      </c>
      <c r="L111" s="131"/>
      <c r="M111" s="135"/>
      <c r="T111" s="136"/>
      <c r="W111"/>
      <c r="X111"/>
      <c r="Y111"/>
      <c r="AR111" s="132" t="s">
        <v>112</v>
      </c>
      <c r="AS111" s="132" t="s">
        <v>65</v>
      </c>
      <c r="AT111" s="13" t="s">
        <v>65</v>
      </c>
      <c r="AU111" s="13" t="s">
        <v>30</v>
      </c>
      <c r="AV111" s="13" t="s">
        <v>55</v>
      </c>
      <c r="AW111" s="132" t="s">
        <v>101</v>
      </c>
    </row>
    <row r="112" spans="2:49" s="13" customFormat="1" x14ac:dyDescent="0.2">
      <c r="B112" s="131"/>
      <c r="D112" s="126" t="s">
        <v>112</v>
      </c>
      <c r="E112" s="132" t="s">
        <v>1</v>
      </c>
      <c r="F112" s="133" t="s">
        <v>1128</v>
      </c>
      <c r="H112" s="134">
        <v>50.543999999999997</v>
      </c>
      <c r="L112" s="131"/>
      <c r="M112" s="135"/>
      <c r="T112" s="136"/>
      <c r="W112"/>
      <c r="X112"/>
      <c r="Y112"/>
      <c r="AR112" s="132" t="s">
        <v>112</v>
      </c>
      <c r="AS112" s="132" t="s">
        <v>65</v>
      </c>
      <c r="AT112" s="13" t="s">
        <v>65</v>
      </c>
      <c r="AU112" s="13" t="s">
        <v>30</v>
      </c>
      <c r="AV112" s="13" t="s">
        <v>55</v>
      </c>
      <c r="AW112" s="132" t="s">
        <v>101</v>
      </c>
    </row>
    <row r="113" spans="2:63" s="13" customFormat="1" x14ac:dyDescent="0.2">
      <c r="B113" s="131"/>
      <c r="D113" s="126" t="s">
        <v>112</v>
      </c>
      <c r="E113" s="132" t="s">
        <v>1</v>
      </c>
      <c r="F113" s="133" t="s">
        <v>1129</v>
      </c>
      <c r="H113" s="134">
        <v>45.811</v>
      </c>
      <c r="L113" s="131"/>
      <c r="M113" s="135"/>
      <c r="T113" s="136"/>
      <c r="W113"/>
      <c r="X113"/>
      <c r="Y113"/>
      <c r="AR113" s="132" t="s">
        <v>112</v>
      </c>
      <c r="AS113" s="132" t="s">
        <v>65</v>
      </c>
      <c r="AT113" s="13" t="s">
        <v>65</v>
      </c>
      <c r="AU113" s="13" t="s">
        <v>30</v>
      </c>
      <c r="AV113" s="13" t="s">
        <v>55</v>
      </c>
      <c r="AW113" s="132" t="s">
        <v>101</v>
      </c>
    </row>
    <row r="114" spans="2:63" s="13" customFormat="1" x14ac:dyDescent="0.2">
      <c r="B114" s="131"/>
      <c r="D114" s="126" t="s">
        <v>112</v>
      </c>
      <c r="E114" s="132" t="s">
        <v>1</v>
      </c>
      <c r="F114" s="133" t="s">
        <v>1130</v>
      </c>
      <c r="H114" s="134">
        <v>13.102</v>
      </c>
      <c r="L114" s="131"/>
      <c r="M114" s="135"/>
      <c r="T114" s="136"/>
      <c r="W114"/>
      <c r="X114"/>
      <c r="Y114"/>
      <c r="AR114" s="132" t="s">
        <v>112</v>
      </c>
      <c r="AS114" s="132" t="s">
        <v>65</v>
      </c>
      <c r="AT114" s="13" t="s">
        <v>65</v>
      </c>
      <c r="AU114" s="13" t="s">
        <v>30</v>
      </c>
      <c r="AV114" s="13" t="s">
        <v>55</v>
      </c>
      <c r="AW114" s="132" t="s">
        <v>101</v>
      </c>
    </row>
    <row r="115" spans="2:63" s="13" customFormat="1" x14ac:dyDescent="0.2">
      <c r="B115" s="131"/>
      <c r="D115" s="126" t="s">
        <v>112</v>
      </c>
      <c r="E115" s="132" t="s">
        <v>1</v>
      </c>
      <c r="F115" s="133" t="s">
        <v>1131</v>
      </c>
      <c r="H115" s="134">
        <v>62.951999999999998</v>
      </c>
      <c r="L115" s="131"/>
      <c r="M115" s="135"/>
      <c r="T115" s="136"/>
      <c r="W115"/>
      <c r="X115"/>
      <c r="Y115"/>
      <c r="AR115" s="132" t="s">
        <v>112</v>
      </c>
      <c r="AS115" s="132" t="s">
        <v>65</v>
      </c>
      <c r="AT115" s="13" t="s">
        <v>65</v>
      </c>
      <c r="AU115" s="13" t="s">
        <v>30</v>
      </c>
      <c r="AV115" s="13" t="s">
        <v>55</v>
      </c>
      <c r="AW115" s="132" t="s">
        <v>101</v>
      </c>
    </row>
    <row r="116" spans="2:63" s="15" customFormat="1" x14ac:dyDescent="0.2">
      <c r="B116" s="159"/>
      <c r="D116" s="126" t="s">
        <v>112</v>
      </c>
      <c r="E116" s="160" t="s">
        <v>1</v>
      </c>
      <c r="F116" s="161" t="s">
        <v>1121</v>
      </c>
      <c r="H116" s="162">
        <v>344.00299999999999</v>
      </c>
      <c r="L116" s="159"/>
      <c r="M116" s="163"/>
      <c r="T116" s="164"/>
      <c r="W116"/>
      <c r="X116"/>
      <c r="Y116"/>
      <c r="AR116" s="160" t="s">
        <v>112</v>
      </c>
      <c r="AS116" s="160" t="s">
        <v>65</v>
      </c>
      <c r="AT116" s="15" t="s">
        <v>119</v>
      </c>
      <c r="AU116" s="15" t="s">
        <v>30</v>
      </c>
      <c r="AV116" s="15" t="s">
        <v>55</v>
      </c>
      <c r="AW116" s="160" t="s">
        <v>101</v>
      </c>
    </row>
    <row r="117" spans="2:63" s="14" customFormat="1" x14ac:dyDescent="0.2">
      <c r="B117" s="137"/>
      <c r="D117" s="126" t="s">
        <v>112</v>
      </c>
      <c r="E117" s="138" t="s">
        <v>1</v>
      </c>
      <c r="F117" s="139" t="s">
        <v>127</v>
      </c>
      <c r="H117" s="140">
        <v>573.33699999999999</v>
      </c>
      <c r="L117" s="137"/>
      <c r="M117" s="141"/>
      <c r="T117" s="142"/>
      <c r="W117"/>
      <c r="X117"/>
      <c r="Y117"/>
      <c r="AR117" s="138" t="s">
        <v>112</v>
      </c>
      <c r="AS117" s="138" t="s">
        <v>65</v>
      </c>
      <c r="AT117" s="14" t="s">
        <v>108</v>
      </c>
      <c r="AU117" s="14" t="s">
        <v>30</v>
      </c>
      <c r="AV117" s="14" t="s">
        <v>63</v>
      </c>
      <c r="AW117" s="138" t="s">
        <v>101</v>
      </c>
    </row>
    <row r="118" spans="2:63" s="14" customFormat="1" x14ac:dyDescent="0.2">
      <c r="B118" s="137"/>
      <c r="D118" s="126"/>
      <c r="E118" s="138"/>
      <c r="F118" s="139" t="s">
        <v>1853</v>
      </c>
      <c r="H118" s="140">
        <f>H117*0.82</f>
        <v>470.13633999999996</v>
      </c>
      <c r="L118" s="137"/>
      <c r="M118" s="141"/>
      <c r="T118" s="142"/>
      <c r="W118"/>
      <c r="X118"/>
      <c r="Y118"/>
      <c r="AR118" s="138"/>
      <c r="AS118" s="138"/>
      <c r="AW118" s="138"/>
    </row>
    <row r="119" spans="2:63" s="1" customFormat="1" ht="16.5" customHeight="1" x14ac:dyDescent="0.2">
      <c r="B119" s="109"/>
      <c r="C119" s="143" t="s">
        <v>65</v>
      </c>
      <c r="D119" s="143" t="s">
        <v>252</v>
      </c>
      <c r="E119" s="144" t="s">
        <v>1132</v>
      </c>
      <c r="F119" s="145" t="s">
        <v>1133</v>
      </c>
      <c r="G119" s="146" t="s">
        <v>231</v>
      </c>
      <c r="H119" s="147">
        <f>516.006*0.82</f>
        <v>423.12491999999997</v>
      </c>
      <c r="I119" s="148">
        <v>0</v>
      </c>
      <c r="J119" s="148">
        <f>ROUND(I119*H119,2)</f>
        <v>0</v>
      </c>
      <c r="K119" s="145" t="s">
        <v>107</v>
      </c>
      <c r="L119" s="149"/>
      <c r="M119" s="150" t="s">
        <v>1</v>
      </c>
      <c r="N119" s="151" t="s">
        <v>39</v>
      </c>
      <c r="O119" s="118">
        <v>0</v>
      </c>
      <c r="P119" s="118">
        <f>O119*H119</f>
        <v>0</v>
      </c>
      <c r="Q119" s="118">
        <v>0</v>
      </c>
      <c r="R119" s="118">
        <f>Q119*H119</f>
        <v>0</v>
      </c>
      <c r="S119" s="118">
        <v>0</v>
      </c>
      <c r="T119" s="119">
        <f>S119*H119</f>
        <v>0</v>
      </c>
      <c r="W119"/>
      <c r="X119"/>
      <c r="Y119"/>
      <c r="AP119" s="120" t="s">
        <v>171</v>
      </c>
      <c r="AR119" s="120" t="s">
        <v>252</v>
      </c>
      <c r="AS119" s="120" t="s">
        <v>65</v>
      </c>
      <c r="AW119" s="17" t="s">
        <v>101</v>
      </c>
      <c r="BC119" s="121">
        <f>IF(N119="základní",J119,0)</f>
        <v>0</v>
      </c>
      <c r="BD119" s="121">
        <f>IF(N119="snížená",J119,0)</f>
        <v>0</v>
      </c>
      <c r="BE119" s="121">
        <f>IF(N119="zákl. přenesená",J119,0)</f>
        <v>0</v>
      </c>
      <c r="BF119" s="121">
        <f>IF(N119="sníž. přenesená",J119,0)</f>
        <v>0</v>
      </c>
      <c r="BG119" s="121">
        <f>IF(N119="nulová",J119,0)</f>
        <v>0</v>
      </c>
      <c r="BH119" s="17" t="s">
        <v>63</v>
      </c>
      <c r="BI119" s="121">
        <f>ROUND(I119*H119,2)</f>
        <v>0</v>
      </c>
      <c r="BJ119" s="17" t="s">
        <v>108</v>
      </c>
      <c r="BK119" s="120" t="s">
        <v>1134</v>
      </c>
    </row>
    <row r="120" spans="2:63" s="13" customFormat="1" x14ac:dyDescent="0.2">
      <c r="B120" s="131"/>
      <c r="D120" s="126" t="s">
        <v>112</v>
      </c>
      <c r="E120" s="132" t="s">
        <v>1</v>
      </c>
      <c r="F120" s="133" t="s">
        <v>1135</v>
      </c>
      <c r="H120" s="134">
        <v>183.47</v>
      </c>
      <c r="L120" s="131"/>
      <c r="M120" s="135"/>
      <c r="T120" s="136"/>
      <c r="W120"/>
      <c r="X120"/>
      <c r="Y120"/>
      <c r="AR120" s="132" t="s">
        <v>112</v>
      </c>
      <c r="AS120" s="132" t="s">
        <v>65</v>
      </c>
      <c r="AT120" s="13" t="s">
        <v>65</v>
      </c>
      <c r="AU120" s="13" t="s">
        <v>30</v>
      </c>
      <c r="AV120" s="13" t="s">
        <v>55</v>
      </c>
      <c r="AW120" s="132" t="s">
        <v>101</v>
      </c>
    </row>
    <row r="121" spans="2:63" s="13" customFormat="1" x14ac:dyDescent="0.2">
      <c r="B121" s="131"/>
      <c r="D121" s="126" t="s">
        <v>112</v>
      </c>
      <c r="E121" s="132" t="s">
        <v>1</v>
      </c>
      <c r="F121" s="133" t="s">
        <v>1136</v>
      </c>
      <c r="H121" s="134">
        <v>103.2</v>
      </c>
      <c r="L121" s="131"/>
      <c r="M121" s="135"/>
      <c r="T121" s="136"/>
      <c r="W121"/>
      <c r="X121"/>
      <c r="Y121"/>
      <c r="AR121" s="132" t="s">
        <v>112</v>
      </c>
      <c r="AS121" s="132" t="s">
        <v>65</v>
      </c>
      <c r="AT121" s="13" t="s">
        <v>65</v>
      </c>
      <c r="AU121" s="13" t="s">
        <v>30</v>
      </c>
      <c r="AV121" s="13" t="s">
        <v>55</v>
      </c>
      <c r="AW121" s="132" t="s">
        <v>101</v>
      </c>
    </row>
    <row r="122" spans="2:63" s="14" customFormat="1" x14ac:dyDescent="0.2">
      <c r="B122" s="137"/>
      <c r="D122" s="126" t="s">
        <v>112</v>
      </c>
      <c r="E122" s="138" t="s">
        <v>1</v>
      </c>
      <c r="F122" s="139" t="s">
        <v>127</v>
      </c>
      <c r="H122" s="140">
        <v>286.67</v>
      </c>
      <c r="L122" s="137"/>
      <c r="M122" s="141"/>
      <c r="T122" s="142"/>
      <c r="W122"/>
      <c r="X122"/>
      <c r="Y122"/>
      <c r="AR122" s="138" t="s">
        <v>112</v>
      </c>
      <c r="AS122" s="138" t="s">
        <v>65</v>
      </c>
      <c r="AT122" s="14" t="s">
        <v>108</v>
      </c>
      <c r="AU122" s="14" t="s">
        <v>30</v>
      </c>
      <c r="AV122" s="14" t="s">
        <v>63</v>
      </c>
      <c r="AW122" s="138" t="s">
        <v>101</v>
      </c>
    </row>
    <row r="123" spans="2:63" s="13" customFormat="1" x14ac:dyDescent="0.2">
      <c r="B123" s="131"/>
      <c r="D123" s="126" t="s">
        <v>112</v>
      </c>
      <c r="F123" s="133" t="s">
        <v>1137</v>
      </c>
      <c r="H123" s="134">
        <v>516.00599999999997</v>
      </c>
      <c r="L123" s="131"/>
      <c r="M123" s="135"/>
      <c r="T123" s="136"/>
      <c r="W123"/>
      <c r="X123"/>
      <c r="Y123"/>
      <c r="AR123" s="132" t="s">
        <v>112</v>
      </c>
      <c r="AS123" s="132" t="s">
        <v>65</v>
      </c>
      <c r="AT123" s="13" t="s">
        <v>65</v>
      </c>
      <c r="AU123" s="13" t="s">
        <v>2</v>
      </c>
      <c r="AV123" s="13" t="s">
        <v>63</v>
      </c>
      <c r="AW123" s="132" t="s">
        <v>101</v>
      </c>
    </row>
    <row r="124" spans="2:63" s="13" customFormat="1" x14ac:dyDescent="0.2">
      <c r="B124" s="131"/>
      <c r="D124" s="126"/>
      <c r="F124" s="431" t="s">
        <v>1853</v>
      </c>
      <c r="H124" s="134">
        <f>H123*0.82</f>
        <v>423.12491999999997</v>
      </c>
      <c r="L124" s="131"/>
      <c r="M124" s="135"/>
      <c r="T124" s="136"/>
      <c r="W124"/>
      <c r="X124"/>
      <c r="Y124"/>
      <c r="AR124" s="132"/>
      <c r="AS124" s="132"/>
      <c r="AW124" s="132"/>
    </row>
    <row r="125" spans="2:63" s="1" customFormat="1" ht="90" customHeight="1" x14ac:dyDescent="0.2">
      <c r="B125" s="109"/>
      <c r="C125" s="110" t="s">
        <v>119</v>
      </c>
      <c r="D125" s="110" t="s">
        <v>103</v>
      </c>
      <c r="E125" s="111" t="s">
        <v>115</v>
      </c>
      <c r="F125" s="112" t="s">
        <v>116</v>
      </c>
      <c r="G125" s="113" t="s">
        <v>106</v>
      </c>
      <c r="H125" s="114">
        <f>3*0.82</f>
        <v>2.46</v>
      </c>
      <c r="I125" s="115">
        <v>0</v>
      </c>
      <c r="J125" s="115">
        <f>ROUND(I125*H125,2)</f>
        <v>0</v>
      </c>
      <c r="K125" s="112" t="s">
        <v>107</v>
      </c>
      <c r="L125" s="28"/>
      <c r="M125" s="116" t="s">
        <v>1</v>
      </c>
      <c r="N125" s="117" t="s">
        <v>39</v>
      </c>
      <c r="O125" s="118">
        <v>0.58099999999999996</v>
      </c>
      <c r="P125" s="118">
        <f>O125*H125</f>
        <v>1.42926</v>
      </c>
      <c r="Q125" s="118">
        <v>3.6900000000000002E-2</v>
      </c>
      <c r="R125" s="118">
        <f>Q125*H125</f>
        <v>9.0774000000000007E-2</v>
      </c>
      <c r="S125" s="118">
        <v>0</v>
      </c>
      <c r="T125" s="119">
        <f>S125*H125</f>
        <v>0</v>
      </c>
      <c r="W125"/>
      <c r="X125"/>
      <c r="Y125"/>
      <c r="AP125" s="120" t="s">
        <v>108</v>
      </c>
      <c r="AR125" s="120" t="s">
        <v>103</v>
      </c>
      <c r="AS125" s="120" t="s">
        <v>65</v>
      </c>
      <c r="AW125" s="17" t="s">
        <v>101</v>
      </c>
      <c r="BC125" s="121">
        <f>IF(N125="základní",J125,0)</f>
        <v>0</v>
      </c>
      <c r="BD125" s="121">
        <f>IF(N125="snížená",J125,0)</f>
        <v>0</v>
      </c>
      <c r="BE125" s="121">
        <f>IF(N125="zákl. přenesená",J125,0)</f>
        <v>0</v>
      </c>
      <c r="BF125" s="121">
        <f>IF(N125="sníž. přenesená",J125,0)</f>
        <v>0</v>
      </c>
      <c r="BG125" s="121">
        <f>IF(N125="nulová",J125,0)</f>
        <v>0</v>
      </c>
      <c r="BH125" s="17" t="s">
        <v>63</v>
      </c>
      <c r="BI125" s="121">
        <f>ROUND(I125*H125,2)</f>
        <v>0</v>
      </c>
      <c r="BJ125" s="17" t="s">
        <v>108</v>
      </c>
      <c r="BK125" s="120" t="s">
        <v>1138</v>
      </c>
    </row>
    <row r="126" spans="2:63" s="1" customFormat="1" x14ac:dyDescent="0.2">
      <c r="B126" s="28"/>
      <c r="D126" s="122" t="s">
        <v>110</v>
      </c>
      <c r="F126" s="123" t="s">
        <v>118</v>
      </c>
      <c r="L126" s="28"/>
      <c r="M126" s="124"/>
      <c r="T126" s="48"/>
      <c r="W126"/>
      <c r="X126"/>
      <c r="Y126"/>
      <c r="AR126" s="17" t="s">
        <v>110</v>
      </c>
      <c r="AS126" s="17" t="s">
        <v>65</v>
      </c>
    </row>
    <row r="127" spans="2:63" s="12" customFormat="1" x14ac:dyDescent="0.2">
      <c r="B127" s="125"/>
      <c r="D127" s="126" t="s">
        <v>112</v>
      </c>
      <c r="E127" s="127" t="s">
        <v>1</v>
      </c>
      <c r="F127" s="128" t="s">
        <v>113</v>
      </c>
      <c r="H127" s="127" t="s">
        <v>1</v>
      </c>
      <c r="L127" s="125"/>
      <c r="M127" s="129"/>
      <c r="T127" s="130"/>
      <c r="W127"/>
      <c r="X127"/>
      <c r="Y127"/>
      <c r="AR127" s="127" t="s">
        <v>112</v>
      </c>
      <c r="AS127" s="127" t="s">
        <v>65</v>
      </c>
      <c r="AT127" s="12" t="s">
        <v>63</v>
      </c>
      <c r="AU127" s="12" t="s">
        <v>30</v>
      </c>
      <c r="AV127" s="12" t="s">
        <v>55</v>
      </c>
      <c r="AW127" s="127" t="s">
        <v>101</v>
      </c>
    </row>
    <row r="128" spans="2:63" s="13" customFormat="1" x14ac:dyDescent="0.2">
      <c r="B128" s="131"/>
      <c r="D128" s="126" t="s">
        <v>112</v>
      </c>
      <c r="E128" s="132" t="s">
        <v>1</v>
      </c>
      <c r="F128" s="133" t="s">
        <v>653</v>
      </c>
      <c r="H128" s="134">
        <v>1</v>
      </c>
      <c r="L128" s="131"/>
      <c r="M128" s="135"/>
      <c r="T128" s="136"/>
      <c r="W128"/>
      <c r="X128"/>
      <c r="Y128"/>
      <c r="AR128" s="132" t="s">
        <v>112</v>
      </c>
      <c r="AS128" s="132" t="s">
        <v>65</v>
      </c>
      <c r="AT128" s="13" t="s">
        <v>65</v>
      </c>
      <c r="AU128" s="13" t="s">
        <v>30</v>
      </c>
      <c r="AV128" s="13" t="s">
        <v>55</v>
      </c>
      <c r="AW128" s="132" t="s">
        <v>101</v>
      </c>
    </row>
    <row r="129" spans="2:63" s="13" customFormat="1" x14ac:dyDescent="0.2">
      <c r="B129" s="131"/>
      <c r="D129" s="126" t="s">
        <v>112</v>
      </c>
      <c r="E129" s="132" t="s">
        <v>1</v>
      </c>
      <c r="F129" s="133" t="s">
        <v>654</v>
      </c>
      <c r="H129" s="134">
        <v>1</v>
      </c>
      <c r="L129" s="131"/>
      <c r="M129" s="135"/>
      <c r="T129" s="136"/>
      <c r="W129"/>
      <c r="X129"/>
      <c r="Y129"/>
      <c r="AR129" s="132" t="s">
        <v>112</v>
      </c>
      <c r="AS129" s="132" t="s">
        <v>65</v>
      </c>
      <c r="AT129" s="13" t="s">
        <v>65</v>
      </c>
      <c r="AU129" s="13" t="s">
        <v>30</v>
      </c>
      <c r="AV129" s="13" t="s">
        <v>55</v>
      </c>
      <c r="AW129" s="132" t="s">
        <v>101</v>
      </c>
    </row>
    <row r="130" spans="2:63" s="13" customFormat="1" x14ac:dyDescent="0.2">
      <c r="B130" s="131"/>
      <c r="D130" s="126" t="s">
        <v>112</v>
      </c>
      <c r="E130" s="132" t="s">
        <v>1</v>
      </c>
      <c r="F130" s="133" t="s">
        <v>1139</v>
      </c>
      <c r="H130" s="134">
        <v>1</v>
      </c>
      <c r="L130" s="131"/>
      <c r="M130" s="135"/>
      <c r="T130" s="136"/>
      <c r="W130"/>
      <c r="X130"/>
      <c r="Y130"/>
      <c r="AR130" s="132" t="s">
        <v>112</v>
      </c>
      <c r="AS130" s="132" t="s">
        <v>65</v>
      </c>
      <c r="AT130" s="13" t="s">
        <v>65</v>
      </c>
      <c r="AU130" s="13" t="s">
        <v>30</v>
      </c>
      <c r="AV130" s="13" t="s">
        <v>55</v>
      </c>
      <c r="AW130" s="132" t="s">
        <v>101</v>
      </c>
    </row>
    <row r="131" spans="2:63" s="14" customFormat="1" x14ac:dyDescent="0.2">
      <c r="B131" s="137"/>
      <c r="D131" s="126" t="s">
        <v>112</v>
      </c>
      <c r="E131" s="138" t="s">
        <v>1</v>
      </c>
      <c r="F131" s="139" t="s">
        <v>127</v>
      </c>
      <c r="H131" s="140">
        <v>3</v>
      </c>
      <c r="L131" s="137"/>
      <c r="M131" s="141"/>
      <c r="T131" s="142"/>
      <c r="W131"/>
      <c r="X131"/>
      <c r="Y131"/>
      <c r="AR131" s="138" t="s">
        <v>112</v>
      </c>
      <c r="AS131" s="138" t="s">
        <v>65</v>
      </c>
      <c r="AT131" s="14" t="s">
        <v>108</v>
      </c>
      <c r="AU131" s="14" t="s">
        <v>30</v>
      </c>
      <c r="AV131" s="14" t="s">
        <v>63</v>
      </c>
      <c r="AW131" s="138" t="s">
        <v>101</v>
      </c>
    </row>
    <row r="132" spans="2:63" s="14" customFormat="1" x14ac:dyDescent="0.2">
      <c r="B132" s="137"/>
      <c r="D132" s="126"/>
      <c r="E132" s="138"/>
      <c r="F132" s="139" t="s">
        <v>1853</v>
      </c>
      <c r="H132" s="140">
        <f>H131*0.82</f>
        <v>2.46</v>
      </c>
      <c r="L132" s="137"/>
      <c r="M132" s="141"/>
      <c r="T132" s="142"/>
      <c r="W132"/>
      <c r="X132"/>
      <c r="Y132"/>
      <c r="AR132" s="138"/>
      <c r="AS132" s="138"/>
      <c r="AW132" s="138"/>
    </row>
    <row r="133" spans="2:63" s="1" customFormat="1" ht="49.15" customHeight="1" x14ac:dyDescent="0.2">
      <c r="B133" s="109"/>
      <c r="C133" s="110" t="s">
        <v>141</v>
      </c>
      <c r="D133" s="110" t="s">
        <v>103</v>
      </c>
      <c r="E133" s="111" t="s">
        <v>1141</v>
      </c>
      <c r="F133" s="112" t="s">
        <v>1142</v>
      </c>
      <c r="G133" s="113" t="s">
        <v>130</v>
      </c>
      <c r="H133" s="114">
        <f>304.826*0.82</f>
        <v>249.95732000000001</v>
      </c>
      <c r="I133" s="115">
        <v>0</v>
      </c>
      <c r="J133" s="115">
        <f>ROUND(I133*H133,2)</f>
        <v>0</v>
      </c>
      <c r="K133" s="112" t="s">
        <v>107</v>
      </c>
      <c r="L133" s="28"/>
      <c r="M133" s="116" t="s">
        <v>1</v>
      </c>
      <c r="N133" s="117" t="s">
        <v>39</v>
      </c>
      <c r="O133" s="118">
        <v>6.6000000000000003E-2</v>
      </c>
      <c r="P133" s="118">
        <f>O133*H133</f>
        <v>16.497183120000003</v>
      </c>
      <c r="Q133" s="118">
        <v>0</v>
      </c>
      <c r="R133" s="118">
        <f>Q133*H133</f>
        <v>0</v>
      </c>
      <c r="S133" s="118">
        <v>0</v>
      </c>
      <c r="T133" s="119">
        <f>S133*H133</f>
        <v>0</v>
      </c>
      <c r="W133"/>
      <c r="X133"/>
      <c r="Y133"/>
      <c r="AP133" s="120" t="s">
        <v>108</v>
      </c>
      <c r="AR133" s="120" t="s">
        <v>103</v>
      </c>
      <c r="AS133" s="120" t="s">
        <v>65</v>
      </c>
      <c r="AW133" s="17" t="s">
        <v>101</v>
      </c>
      <c r="BC133" s="121">
        <f>IF(N133="základní",J133,0)</f>
        <v>0</v>
      </c>
      <c r="BD133" s="121">
        <f>IF(N133="snížená",J133,0)</f>
        <v>0</v>
      </c>
      <c r="BE133" s="121">
        <f>IF(N133="zákl. přenesená",J133,0)</f>
        <v>0</v>
      </c>
      <c r="BF133" s="121">
        <f>IF(N133="sníž. přenesená",J133,0)</f>
        <v>0</v>
      </c>
      <c r="BG133" s="121">
        <f>IF(N133="nulová",J133,0)</f>
        <v>0</v>
      </c>
      <c r="BH133" s="17" t="s">
        <v>63</v>
      </c>
      <c r="BI133" s="121">
        <f>ROUND(I133*H133,2)</f>
        <v>0</v>
      </c>
      <c r="BJ133" s="17" t="s">
        <v>108</v>
      </c>
      <c r="BK133" s="120" t="s">
        <v>1143</v>
      </c>
    </row>
    <row r="134" spans="2:63" s="1" customFormat="1" x14ac:dyDescent="0.2">
      <c r="B134" s="28"/>
      <c r="D134" s="122" t="s">
        <v>110</v>
      </c>
      <c r="F134" s="123" t="s">
        <v>1144</v>
      </c>
      <c r="L134" s="28"/>
      <c r="M134" s="124"/>
      <c r="T134" s="48"/>
      <c r="W134"/>
      <c r="X134"/>
      <c r="Y134"/>
      <c r="AR134" s="17" t="s">
        <v>110</v>
      </c>
      <c r="AS134" s="17" t="s">
        <v>65</v>
      </c>
    </row>
    <row r="135" spans="2:63" s="12" customFormat="1" ht="22.5" x14ac:dyDescent="0.2">
      <c r="B135" s="125"/>
      <c r="D135" s="126" t="s">
        <v>112</v>
      </c>
      <c r="E135" s="127" t="s">
        <v>1</v>
      </c>
      <c r="F135" s="128" t="s">
        <v>1145</v>
      </c>
      <c r="H135" s="127" t="s">
        <v>1</v>
      </c>
      <c r="L135" s="125"/>
      <c r="M135" s="129"/>
      <c r="T135" s="130"/>
      <c r="W135"/>
      <c r="X135"/>
      <c r="Y135"/>
      <c r="AR135" s="127" t="s">
        <v>112</v>
      </c>
      <c r="AS135" s="127" t="s">
        <v>65</v>
      </c>
      <c r="AT135" s="12" t="s">
        <v>63</v>
      </c>
      <c r="AU135" s="12" t="s">
        <v>30</v>
      </c>
      <c r="AV135" s="12" t="s">
        <v>55</v>
      </c>
      <c r="AW135" s="127" t="s">
        <v>101</v>
      </c>
    </row>
    <row r="136" spans="2:63" s="13" customFormat="1" x14ac:dyDescent="0.2">
      <c r="B136" s="131"/>
      <c r="D136" s="126" t="s">
        <v>112</v>
      </c>
      <c r="E136" s="132" t="s">
        <v>1</v>
      </c>
      <c r="F136" s="133" t="s">
        <v>1146</v>
      </c>
      <c r="H136" s="134">
        <v>69.998000000000005</v>
      </c>
      <c r="L136" s="131"/>
      <c r="M136" s="135"/>
      <c r="T136" s="136"/>
      <c r="W136"/>
      <c r="X136"/>
      <c r="Y136"/>
      <c r="AR136" s="132" t="s">
        <v>112</v>
      </c>
      <c r="AS136" s="132" t="s">
        <v>65</v>
      </c>
      <c r="AT136" s="13" t="s">
        <v>65</v>
      </c>
      <c r="AU136" s="13" t="s">
        <v>30</v>
      </c>
      <c r="AV136" s="13" t="s">
        <v>55</v>
      </c>
      <c r="AW136" s="132" t="s">
        <v>101</v>
      </c>
    </row>
    <row r="137" spans="2:63" s="13" customFormat="1" x14ac:dyDescent="0.2">
      <c r="B137" s="131"/>
      <c r="D137" s="126" t="s">
        <v>112</v>
      </c>
      <c r="E137" s="132" t="s">
        <v>1</v>
      </c>
      <c r="F137" s="133" t="s">
        <v>1147</v>
      </c>
      <c r="H137" s="134">
        <v>23.969000000000001</v>
      </c>
      <c r="L137" s="131"/>
      <c r="M137" s="135"/>
      <c r="T137" s="136"/>
      <c r="W137"/>
      <c r="X137"/>
      <c r="Y137"/>
      <c r="AR137" s="132" t="s">
        <v>112</v>
      </c>
      <c r="AS137" s="132" t="s">
        <v>65</v>
      </c>
      <c r="AT137" s="13" t="s">
        <v>65</v>
      </c>
      <c r="AU137" s="13" t="s">
        <v>30</v>
      </c>
      <c r="AV137" s="13" t="s">
        <v>55</v>
      </c>
      <c r="AW137" s="132" t="s">
        <v>101</v>
      </c>
    </row>
    <row r="138" spans="2:63" s="13" customFormat="1" x14ac:dyDescent="0.2">
      <c r="B138" s="131"/>
      <c r="D138" s="126" t="s">
        <v>112</v>
      </c>
      <c r="E138" s="132" t="s">
        <v>1</v>
      </c>
      <c r="F138" s="133" t="s">
        <v>1148</v>
      </c>
      <c r="H138" s="134">
        <v>40.524999999999999</v>
      </c>
      <c r="L138" s="131"/>
      <c r="M138" s="135"/>
      <c r="T138" s="136"/>
      <c r="W138"/>
      <c r="X138"/>
      <c r="Y138"/>
      <c r="AR138" s="132" t="s">
        <v>112</v>
      </c>
      <c r="AS138" s="132" t="s">
        <v>65</v>
      </c>
      <c r="AT138" s="13" t="s">
        <v>65</v>
      </c>
      <c r="AU138" s="13" t="s">
        <v>30</v>
      </c>
      <c r="AV138" s="13" t="s">
        <v>55</v>
      </c>
      <c r="AW138" s="132" t="s">
        <v>101</v>
      </c>
    </row>
    <row r="139" spans="2:63" s="13" customFormat="1" x14ac:dyDescent="0.2">
      <c r="B139" s="131"/>
      <c r="D139" s="126" t="s">
        <v>112</v>
      </c>
      <c r="E139" s="132" t="s">
        <v>1</v>
      </c>
      <c r="F139" s="133" t="s">
        <v>1149</v>
      </c>
      <c r="H139" s="134">
        <v>39.548999999999999</v>
      </c>
      <c r="L139" s="131"/>
      <c r="M139" s="135"/>
      <c r="T139" s="136"/>
      <c r="W139"/>
      <c r="X139"/>
      <c r="Y139"/>
      <c r="AR139" s="132" t="s">
        <v>112</v>
      </c>
      <c r="AS139" s="132" t="s">
        <v>65</v>
      </c>
      <c r="AT139" s="13" t="s">
        <v>65</v>
      </c>
      <c r="AU139" s="13" t="s">
        <v>30</v>
      </c>
      <c r="AV139" s="13" t="s">
        <v>55</v>
      </c>
      <c r="AW139" s="132" t="s">
        <v>101</v>
      </c>
    </row>
    <row r="140" spans="2:63" s="13" customFormat="1" x14ac:dyDescent="0.2">
      <c r="B140" s="131"/>
      <c r="D140" s="126" t="s">
        <v>112</v>
      </c>
      <c r="E140" s="132" t="s">
        <v>1</v>
      </c>
      <c r="F140" s="133" t="s">
        <v>1150</v>
      </c>
      <c r="H140" s="134">
        <v>44.725999999999999</v>
      </c>
      <c r="L140" s="131"/>
      <c r="M140" s="135"/>
      <c r="T140" s="136"/>
      <c r="W140"/>
      <c r="X140"/>
      <c r="Y140"/>
      <c r="AR140" s="132" t="s">
        <v>112</v>
      </c>
      <c r="AS140" s="132" t="s">
        <v>65</v>
      </c>
      <c r="AT140" s="13" t="s">
        <v>65</v>
      </c>
      <c r="AU140" s="13" t="s">
        <v>30</v>
      </c>
      <c r="AV140" s="13" t="s">
        <v>55</v>
      </c>
      <c r="AW140" s="132" t="s">
        <v>101</v>
      </c>
    </row>
    <row r="141" spans="2:63" s="13" customFormat="1" x14ac:dyDescent="0.2">
      <c r="B141" s="131"/>
      <c r="D141" s="126" t="s">
        <v>112</v>
      </c>
      <c r="E141" s="132" t="s">
        <v>1</v>
      </c>
      <c r="F141" s="133" t="s">
        <v>1151</v>
      </c>
      <c r="H141" s="134">
        <v>13.552</v>
      </c>
      <c r="L141" s="131"/>
      <c r="M141" s="135"/>
      <c r="T141" s="136"/>
      <c r="W141"/>
      <c r="X141"/>
      <c r="Y141"/>
      <c r="AR141" s="132" t="s">
        <v>112</v>
      </c>
      <c r="AS141" s="132" t="s">
        <v>65</v>
      </c>
      <c r="AT141" s="13" t="s">
        <v>65</v>
      </c>
      <c r="AU141" s="13" t="s">
        <v>30</v>
      </c>
      <c r="AV141" s="13" t="s">
        <v>55</v>
      </c>
      <c r="AW141" s="132" t="s">
        <v>101</v>
      </c>
    </row>
    <row r="142" spans="2:63" s="13" customFormat="1" x14ac:dyDescent="0.2">
      <c r="B142" s="131"/>
      <c r="D142" s="126" t="s">
        <v>112</v>
      </c>
      <c r="E142" s="132" t="s">
        <v>1</v>
      </c>
      <c r="F142" s="133" t="s">
        <v>1152</v>
      </c>
      <c r="H142" s="134">
        <v>72.507000000000005</v>
      </c>
      <c r="L142" s="131"/>
      <c r="M142" s="135"/>
      <c r="T142" s="136"/>
      <c r="W142"/>
      <c r="X142"/>
      <c r="Y142"/>
      <c r="AR142" s="132" t="s">
        <v>112</v>
      </c>
      <c r="AS142" s="132" t="s">
        <v>65</v>
      </c>
      <c r="AT142" s="13" t="s">
        <v>65</v>
      </c>
      <c r="AU142" s="13" t="s">
        <v>30</v>
      </c>
      <c r="AV142" s="13" t="s">
        <v>55</v>
      </c>
      <c r="AW142" s="132" t="s">
        <v>101</v>
      </c>
    </row>
    <row r="143" spans="2:63" s="14" customFormat="1" x14ac:dyDescent="0.2">
      <c r="B143" s="137"/>
      <c r="D143" s="126" t="s">
        <v>112</v>
      </c>
      <c r="E143" s="138" t="s">
        <v>1</v>
      </c>
      <c r="F143" s="139" t="s">
        <v>127</v>
      </c>
      <c r="H143" s="140">
        <v>304.82600000000002</v>
      </c>
      <c r="L143" s="137"/>
      <c r="M143" s="141"/>
      <c r="T143" s="142"/>
      <c r="W143"/>
      <c r="X143"/>
      <c r="Y143"/>
      <c r="AR143" s="138" t="s">
        <v>112</v>
      </c>
      <c r="AS143" s="138" t="s">
        <v>65</v>
      </c>
      <c r="AT143" s="14" t="s">
        <v>108</v>
      </c>
      <c r="AU143" s="14" t="s">
        <v>30</v>
      </c>
      <c r="AV143" s="14" t="s">
        <v>63</v>
      </c>
      <c r="AW143" s="138" t="s">
        <v>101</v>
      </c>
    </row>
    <row r="144" spans="2:63" s="14" customFormat="1" x14ac:dyDescent="0.2">
      <c r="B144" s="137"/>
      <c r="D144" s="126"/>
      <c r="E144" s="138"/>
      <c r="F144" s="139" t="s">
        <v>1853</v>
      </c>
      <c r="H144" s="140">
        <f>H143*0.82</f>
        <v>249.95732000000001</v>
      </c>
      <c r="L144" s="137"/>
      <c r="M144" s="141"/>
      <c r="T144" s="142"/>
      <c r="W144"/>
      <c r="X144"/>
      <c r="Y144"/>
      <c r="AR144" s="138"/>
      <c r="AS144" s="138"/>
      <c r="AW144" s="138"/>
    </row>
    <row r="145" spans="2:63" s="1" customFormat="1" ht="44.25" customHeight="1" x14ac:dyDescent="0.2">
      <c r="B145" s="109"/>
      <c r="C145" s="110" t="s">
        <v>153</v>
      </c>
      <c r="D145" s="110" t="s">
        <v>103</v>
      </c>
      <c r="E145" s="111" t="s">
        <v>1153</v>
      </c>
      <c r="F145" s="112" t="s">
        <v>1154</v>
      </c>
      <c r="G145" s="113" t="s">
        <v>130</v>
      </c>
      <c r="H145" s="114">
        <f>40.671*0.82</f>
        <v>33.35022</v>
      </c>
      <c r="I145" s="115">
        <v>0</v>
      </c>
      <c r="J145" s="115">
        <f>ROUND(I145*H145,2)</f>
        <v>0</v>
      </c>
      <c r="K145" s="112" t="s">
        <v>107</v>
      </c>
      <c r="L145" s="28"/>
      <c r="M145" s="116" t="s">
        <v>1</v>
      </c>
      <c r="N145" s="117" t="s">
        <v>39</v>
      </c>
      <c r="O145" s="118">
        <v>0.124</v>
      </c>
      <c r="P145" s="118">
        <f>O145*H145</f>
        <v>4.13542728</v>
      </c>
      <c r="Q145" s="118">
        <v>0</v>
      </c>
      <c r="R145" s="118">
        <f>Q145*H145</f>
        <v>0</v>
      </c>
      <c r="S145" s="118">
        <v>0</v>
      </c>
      <c r="T145" s="119">
        <f>S145*H145</f>
        <v>0</v>
      </c>
      <c r="W145"/>
      <c r="X145"/>
      <c r="Y145"/>
      <c r="AP145" s="120" t="s">
        <v>108</v>
      </c>
      <c r="AR145" s="120" t="s">
        <v>103</v>
      </c>
      <c r="AS145" s="120" t="s">
        <v>65</v>
      </c>
      <c r="AW145" s="17" t="s">
        <v>101</v>
      </c>
      <c r="BC145" s="121">
        <f>IF(N145="základní",J145,0)</f>
        <v>0</v>
      </c>
      <c r="BD145" s="121">
        <f>IF(N145="snížená",J145,0)</f>
        <v>0</v>
      </c>
      <c r="BE145" s="121">
        <f>IF(N145="zákl. přenesená",J145,0)</f>
        <v>0</v>
      </c>
      <c r="BF145" s="121">
        <f>IF(N145="sníž. přenesená",J145,0)</f>
        <v>0</v>
      </c>
      <c r="BG145" s="121">
        <f>IF(N145="nulová",J145,0)</f>
        <v>0</v>
      </c>
      <c r="BH145" s="17" t="s">
        <v>63</v>
      </c>
      <c r="BI145" s="121">
        <f>ROUND(I145*H145,2)</f>
        <v>0</v>
      </c>
      <c r="BJ145" s="17" t="s">
        <v>108</v>
      </c>
      <c r="BK145" s="120" t="s">
        <v>1155</v>
      </c>
    </row>
    <row r="146" spans="2:63" s="1" customFormat="1" x14ac:dyDescent="0.2">
      <c r="B146" s="28"/>
      <c r="D146" s="122" t="s">
        <v>110</v>
      </c>
      <c r="F146" s="123" t="s">
        <v>1156</v>
      </c>
      <c r="L146" s="28"/>
      <c r="M146" s="124"/>
      <c r="T146" s="48"/>
      <c r="W146"/>
      <c r="X146"/>
      <c r="Y146"/>
      <c r="AR146" s="17" t="s">
        <v>110</v>
      </c>
      <c r="AS146" s="17" t="s">
        <v>65</v>
      </c>
    </row>
    <row r="147" spans="2:63" s="12" customFormat="1" ht="22.5" x14ac:dyDescent="0.2">
      <c r="B147" s="125"/>
      <c r="D147" s="126" t="s">
        <v>112</v>
      </c>
      <c r="E147" s="127" t="s">
        <v>1</v>
      </c>
      <c r="F147" s="128" t="s">
        <v>1145</v>
      </c>
      <c r="H147" s="127" t="s">
        <v>1</v>
      </c>
      <c r="L147" s="125"/>
      <c r="M147" s="129"/>
      <c r="T147" s="130"/>
      <c r="W147"/>
      <c r="X147"/>
      <c r="Y147"/>
      <c r="AR147" s="127" t="s">
        <v>112</v>
      </c>
      <c r="AS147" s="127" t="s">
        <v>65</v>
      </c>
      <c r="AT147" s="12" t="s">
        <v>63</v>
      </c>
      <c r="AU147" s="12" t="s">
        <v>30</v>
      </c>
      <c r="AV147" s="12" t="s">
        <v>55</v>
      </c>
      <c r="AW147" s="127" t="s">
        <v>101</v>
      </c>
    </row>
    <row r="148" spans="2:63" s="13" customFormat="1" x14ac:dyDescent="0.2">
      <c r="B148" s="131"/>
      <c r="D148" s="126" t="s">
        <v>112</v>
      </c>
      <c r="E148" s="132" t="s">
        <v>1</v>
      </c>
      <c r="F148" s="133" t="s">
        <v>1157</v>
      </c>
      <c r="H148" s="134">
        <v>26.132999999999999</v>
      </c>
      <c r="L148" s="131"/>
      <c r="M148" s="135"/>
      <c r="T148" s="136"/>
      <c r="W148"/>
      <c r="X148"/>
      <c r="Y148"/>
      <c r="AR148" s="132" t="s">
        <v>112</v>
      </c>
      <c r="AS148" s="132" t="s">
        <v>65</v>
      </c>
      <c r="AT148" s="13" t="s">
        <v>65</v>
      </c>
      <c r="AU148" s="13" t="s">
        <v>30</v>
      </c>
      <c r="AV148" s="13" t="s">
        <v>55</v>
      </c>
      <c r="AW148" s="132" t="s">
        <v>101</v>
      </c>
    </row>
    <row r="149" spans="2:63" s="13" customFormat="1" x14ac:dyDescent="0.2">
      <c r="B149" s="131"/>
      <c r="D149" s="126" t="s">
        <v>112</v>
      </c>
      <c r="E149" s="132" t="s">
        <v>1</v>
      </c>
      <c r="F149" s="133" t="s">
        <v>1158</v>
      </c>
      <c r="H149" s="134">
        <v>14.538</v>
      </c>
      <c r="L149" s="131"/>
      <c r="M149" s="135"/>
      <c r="T149" s="136"/>
      <c r="W149"/>
      <c r="X149"/>
      <c r="Y149"/>
      <c r="AR149" s="132" t="s">
        <v>112</v>
      </c>
      <c r="AS149" s="132" t="s">
        <v>65</v>
      </c>
      <c r="AT149" s="13" t="s">
        <v>65</v>
      </c>
      <c r="AU149" s="13" t="s">
        <v>30</v>
      </c>
      <c r="AV149" s="13" t="s">
        <v>55</v>
      </c>
      <c r="AW149" s="132" t="s">
        <v>101</v>
      </c>
    </row>
    <row r="150" spans="2:63" s="14" customFormat="1" x14ac:dyDescent="0.2">
      <c r="B150" s="137"/>
      <c r="D150" s="126" t="s">
        <v>112</v>
      </c>
      <c r="E150" s="138" t="s">
        <v>1</v>
      </c>
      <c r="F150" s="139" t="s">
        <v>127</v>
      </c>
      <c r="H150" s="140">
        <v>40.670999999999999</v>
      </c>
      <c r="L150" s="137"/>
      <c r="M150" s="141"/>
      <c r="T150" s="142"/>
      <c r="W150"/>
      <c r="X150"/>
      <c r="Y150"/>
      <c r="AR150" s="138" t="s">
        <v>112</v>
      </c>
      <c r="AS150" s="138" t="s">
        <v>65</v>
      </c>
      <c r="AT150" s="14" t="s">
        <v>108</v>
      </c>
      <c r="AU150" s="14" t="s">
        <v>30</v>
      </c>
      <c r="AV150" s="14" t="s">
        <v>63</v>
      </c>
      <c r="AW150" s="138" t="s">
        <v>101</v>
      </c>
    </row>
    <row r="151" spans="2:63" s="14" customFormat="1" x14ac:dyDescent="0.2">
      <c r="B151" s="137"/>
      <c r="D151" s="126"/>
      <c r="E151" s="138"/>
      <c r="F151" s="139" t="s">
        <v>1853</v>
      </c>
      <c r="H151" s="140">
        <f>H150*0.82</f>
        <v>33.35022</v>
      </c>
      <c r="L151" s="137"/>
      <c r="M151" s="141"/>
      <c r="T151" s="142"/>
      <c r="W151"/>
      <c r="X151"/>
      <c r="Y151"/>
      <c r="AR151" s="138"/>
      <c r="AS151" s="138"/>
      <c r="AW151" s="138"/>
    </row>
    <row r="152" spans="2:63" s="1" customFormat="1" ht="49.15" customHeight="1" x14ac:dyDescent="0.2">
      <c r="B152" s="109"/>
      <c r="C152" s="110" t="s">
        <v>165</v>
      </c>
      <c r="D152" s="110" t="s">
        <v>103</v>
      </c>
      <c r="E152" s="111" t="s">
        <v>1159</v>
      </c>
      <c r="F152" s="112" t="s">
        <v>1160</v>
      </c>
      <c r="G152" s="113" t="s">
        <v>130</v>
      </c>
      <c r="H152" s="114">
        <f>655.605*0.82</f>
        <v>537.59609999999998</v>
      </c>
      <c r="I152" s="115">
        <v>0</v>
      </c>
      <c r="J152" s="115">
        <f>ROUND(I152*H152,2)</f>
        <v>0</v>
      </c>
      <c r="K152" s="112" t="s">
        <v>107</v>
      </c>
      <c r="L152" s="28"/>
      <c r="M152" s="116" t="s">
        <v>1</v>
      </c>
      <c r="N152" s="117" t="s">
        <v>39</v>
      </c>
      <c r="O152" s="118">
        <v>0.11899999999999999</v>
      </c>
      <c r="P152" s="118">
        <f>O152*H152</f>
        <v>63.973935899999994</v>
      </c>
      <c r="Q152" s="118">
        <v>0</v>
      </c>
      <c r="R152" s="118">
        <f>Q152*H152</f>
        <v>0</v>
      </c>
      <c r="S152" s="118">
        <v>0</v>
      </c>
      <c r="T152" s="119">
        <f>S152*H152</f>
        <v>0</v>
      </c>
      <c r="W152"/>
      <c r="X152"/>
      <c r="Y152"/>
      <c r="AP152" s="120" t="s">
        <v>108</v>
      </c>
      <c r="AR152" s="120" t="s">
        <v>103</v>
      </c>
      <c r="AS152" s="120" t="s">
        <v>65</v>
      </c>
      <c r="AW152" s="17" t="s">
        <v>101</v>
      </c>
      <c r="BC152" s="121">
        <f>IF(N152="základní",J152,0)</f>
        <v>0</v>
      </c>
      <c r="BD152" s="121">
        <f>IF(N152="snížená",J152,0)</f>
        <v>0</v>
      </c>
      <c r="BE152" s="121">
        <f>IF(N152="zákl. přenesená",J152,0)</f>
        <v>0</v>
      </c>
      <c r="BF152" s="121">
        <f>IF(N152="sníž. přenesená",J152,0)</f>
        <v>0</v>
      </c>
      <c r="BG152" s="121">
        <f>IF(N152="nulová",J152,0)</f>
        <v>0</v>
      </c>
      <c r="BH152" s="17" t="s">
        <v>63</v>
      </c>
      <c r="BI152" s="121">
        <f>ROUND(I152*H152,2)</f>
        <v>0</v>
      </c>
      <c r="BJ152" s="17" t="s">
        <v>108</v>
      </c>
      <c r="BK152" s="120" t="s">
        <v>1161</v>
      </c>
    </row>
    <row r="153" spans="2:63" s="1" customFormat="1" x14ac:dyDescent="0.2">
      <c r="B153" s="28"/>
      <c r="D153" s="122" t="s">
        <v>110</v>
      </c>
      <c r="F153" s="123" t="s">
        <v>1162</v>
      </c>
      <c r="L153" s="28"/>
      <c r="M153" s="124"/>
      <c r="T153" s="48"/>
      <c r="W153"/>
      <c r="X153"/>
      <c r="Y153"/>
      <c r="AR153" s="17" t="s">
        <v>110</v>
      </c>
      <c r="AS153" s="17" t="s">
        <v>65</v>
      </c>
    </row>
    <row r="154" spans="2:63" s="12" customFormat="1" ht="22.5" x14ac:dyDescent="0.2">
      <c r="B154" s="125"/>
      <c r="D154" s="126" t="s">
        <v>112</v>
      </c>
      <c r="E154" s="127" t="s">
        <v>1</v>
      </c>
      <c r="F154" s="128" t="s">
        <v>1145</v>
      </c>
      <c r="H154" s="127" t="s">
        <v>1</v>
      </c>
      <c r="L154" s="125"/>
      <c r="M154" s="129"/>
      <c r="T154" s="130"/>
      <c r="W154"/>
      <c r="X154"/>
      <c r="Y154"/>
      <c r="AR154" s="127" t="s">
        <v>112</v>
      </c>
      <c r="AS154" s="127" t="s">
        <v>65</v>
      </c>
      <c r="AT154" s="12" t="s">
        <v>63</v>
      </c>
      <c r="AU154" s="12" t="s">
        <v>30</v>
      </c>
      <c r="AV154" s="12" t="s">
        <v>55</v>
      </c>
      <c r="AW154" s="127" t="s">
        <v>101</v>
      </c>
    </row>
    <row r="155" spans="2:63" s="13" customFormat="1" x14ac:dyDescent="0.2">
      <c r="B155" s="131"/>
      <c r="D155" s="126" t="s">
        <v>112</v>
      </c>
      <c r="E155" s="132" t="s">
        <v>1</v>
      </c>
      <c r="F155" s="133" t="s">
        <v>1163</v>
      </c>
      <c r="H155" s="134">
        <v>150.49600000000001</v>
      </c>
      <c r="L155" s="131"/>
      <c r="M155" s="135"/>
      <c r="T155" s="136"/>
      <c r="W155"/>
      <c r="X155"/>
      <c r="Y155"/>
      <c r="AR155" s="132" t="s">
        <v>112</v>
      </c>
      <c r="AS155" s="132" t="s">
        <v>65</v>
      </c>
      <c r="AT155" s="13" t="s">
        <v>65</v>
      </c>
      <c r="AU155" s="13" t="s">
        <v>30</v>
      </c>
      <c r="AV155" s="13" t="s">
        <v>55</v>
      </c>
      <c r="AW155" s="132" t="s">
        <v>101</v>
      </c>
    </row>
    <row r="156" spans="2:63" s="13" customFormat="1" x14ac:dyDescent="0.2">
      <c r="B156" s="131"/>
      <c r="D156" s="126" t="s">
        <v>112</v>
      </c>
      <c r="E156" s="132" t="s">
        <v>1</v>
      </c>
      <c r="F156" s="133" t="s">
        <v>1164</v>
      </c>
      <c r="H156" s="134">
        <v>51.533000000000001</v>
      </c>
      <c r="L156" s="131"/>
      <c r="M156" s="135"/>
      <c r="T156" s="136"/>
      <c r="W156"/>
      <c r="X156"/>
      <c r="Y156"/>
      <c r="AR156" s="132" t="s">
        <v>112</v>
      </c>
      <c r="AS156" s="132" t="s">
        <v>65</v>
      </c>
      <c r="AT156" s="13" t="s">
        <v>65</v>
      </c>
      <c r="AU156" s="13" t="s">
        <v>30</v>
      </c>
      <c r="AV156" s="13" t="s">
        <v>55</v>
      </c>
      <c r="AW156" s="132" t="s">
        <v>101</v>
      </c>
    </row>
    <row r="157" spans="2:63" s="13" customFormat="1" x14ac:dyDescent="0.2">
      <c r="B157" s="131"/>
      <c r="D157" s="126" t="s">
        <v>112</v>
      </c>
      <c r="E157" s="132" t="s">
        <v>1</v>
      </c>
      <c r="F157" s="133" t="s">
        <v>1165</v>
      </c>
      <c r="H157" s="134">
        <v>87.129000000000005</v>
      </c>
      <c r="L157" s="131"/>
      <c r="M157" s="135"/>
      <c r="T157" s="136"/>
      <c r="W157"/>
      <c r="X157"/>
      <c r="Y157"/>
      <c r="AR157" s="132" t="s">
        <v>112</v>
      </c>
      <c r="AS157" s="132" t="s">
        <v>65</v>
      </c>
      <c r="AT157" s="13" t="s">
        <v>65</v>
      </c>
      <c r="AU157" s="13" t="s">
        <v>30</v>
      </c>
      <c r="AV157" s="13" t="s">
        <v>55</v>
      </c>
      <c r="AW157" s="132" t="s">
        <v>101</v>
      </c>
    </row>
    <row r="158" spans="2:63" s="13" customFormat="1" x14ac:dyDescent="0.2">
      <c r="B158" s="131"/>
      <c r="D158" s="126" t="s">
        <v>112</v>
      </c>
      <c r="E158" s="132" t="s">
        <v>1</v>
      </c>
      <c r="F158" s="133" t="s">
        <v>1166</v>
      </c>
      <c r="H158" s="134">
        <v>85.031000000000006</v>
      </c>
      <c r="L158" s="131"/>
      <c r="M158" s="135"/>
      <c r="T158" s="136"/>
      <c r="W158"/>
      <c r="X158"/>
      <c r="Y158"/>
      <c r="AR158" s="132" t="s">
        <v>112</v>
      </c>
      <c r="AS158" s="132" t="s">
        <v>65</v>
      </c>
      <c r="AT158" s="13" t="s">
        <v>65</v>
      </c>
      <c r="AU158" s="13" t="s">
        <v>30</v>
      </c>
      <c r="AV158" s="13" t="s">
        <v>55</v>
      </c>
      <c r="AW158" s="132" t="s">
        <v>101</v>
      </c>
    </row>
    <row r="159" spans="2:63" s="13" customFormat="1" x14ac:dyDescent="0.2">
      <c r="B159" s="131"/>
      <c r="D159" s="126" t="s">
        <v>112</v>
      </c>
      <c r="E159" s="132" t="s">
        <v>1</v>
      </c>
      <c r="F159" s="133" t="s">
        <v>1167</v>
      </c>
      <c r="H159" s="134">
        <v>96.39</v>
      </c>
      <c r="L159" s="131"/>
      <c r="M159" s="135"/>
      <c r="T159" s="136"/>
      <c r="W159"/>
      <c r="X159"/>
      <c r="Y159"/>
      <c r="AR159" s="132" t="s">
        <v>112</v>
      </c>
      <c r="AS159" s="132" t="s">
        <v>65</v>
      </c>
      <c r="AT159" s="13" t="s">
        <v>65</v>
      </c>
      <c r="AU159" s="13" t="s">
        <v>30</v>
      </c>
      <c r="AV159" s="13" t="s">
        <v>55</v>
      </c>
      <c r="AW159" s="132" t="s">
        <v>101</v>
      </c>
    </row>
    <row r="160" spans="2:63" s="13" customFormat="1" x14ac:dyDescent="0.2">
      <c r="B160" s="131"/>
      <c r="D160" s="126" t="s">
        <v>112</v>
      </c>
      <c r="E160" s="132" t="s">
        <v>1</v>
      </c>
      <c r="F160" s="133" t="s">
        <v>1168</v>
      </c>
      <c r="H160" s="134">
        <v>29.135999999999999</v>
      </c>
      <c r="L160" s="131"/>
      <c r="M160" s="135"/>
      <c r="T160" s="136"/>
      <c r="W160"/>
      <c r="X160"/>
      <c r="Y160"/>
      <c r="AR160" s="132" t="s">
        <v>112</v>
      </c>
      <c r="AS160" s="132" t="s">
        <v>65</v>
      </c>
      <c r="AT160" s="13" t="s">
        <v>65</v>
      </c>
      <c r="AU160" s="13" t="s">
        <v>30</v>
      </c>
      <c r="AV160" s="13" t="s">
        <v>55</v>
      </c>
      <c r="AW160" s="132" t="s">
        <v>101</v>
      </c>
    </row>
    <row r="161" spans="2:63" s="13" customFormat="1" x14ac:dyDescent="0.2">
      <c r="B161" s="131"/>
      <c r="D161" s="126" t="s">
        <v>112</v>
      </c>
      <c r="E161" s="132" t="s">
        <v>1</v>
      </c>
      <c r="F161" s="133" t="s">
        <v>1169</v>
      </c>
      <c r="H161" s="134">
        <v>155.88999999999999</v>
      </c>
      <c r="L161" s="131"/>
      <c r="M161" s="135"/>
      <c r="T161" s="136"/>
      <c r="W161"/>
      <c r="X161"/>
      <c r="Y161"/>
      <c r="AR161" s="132" t="s">
        <v>112</v>
      </c>
      <c r="AS161" s="132" t="s">
        <v>65</v>
      </c>
      <c r="AT161" s="13" t="s">
        <v>65</v>
      </c>
      <c r="AU161" s="13" t="s">
        <v>30</v>
      </c>
      <c r="AV161" s="13" t="s">
        <v>55</v>
      </c>
      <c r="AW161" s="132" t="s">
        <v>101</v>
      </c>
    </row>
    <row r="162" spans="2:63" s="14" customFormat="1" x14ac:dyDescent="0.2">
      <c r="B162" s="137"/>
      <c r="D162" s="126" t="s">
        <v>112</v>
      </c>
      <c r="E162" s="138" t="s">
        <v>1</v>
      </c>
      <c r="F162" s="139" t="s">
        <v>127</v>
      </c>
      <c r="H162" s="140">
        <v>655.60500000000002</v>
      </c>
      <c r="L162" s="137"/>
      <c r="M162" s="141"/>
      <c r="T162" s="142"/>
      <c r="W162"/>
      <c r="X162"/>
      <c r="Y162"/>
      <c r="AR162" s="138" t="s">
        <v>112</v>
      </c>
      <c r="AS162" s="138" t="s">
        <v>65</v>
      </c>
      <c r="AT162" s="14" t="s">
        <v>108</v>
      </c>
      <c r="AU162" s="14" t="s">
        <v>30</v>
      </c>
      <c r="AV162" s="14" t="s">
        <v>63</v>
      </c>
      <c r="AW162" s="138" t="s">
        <v>101</v>
      </c>
    </row>
    <row r="163" spans="2:63" s="14" customFormat="1" x14ac:dyDescent="0.2">
      <c r="B163" s="137"/>
      <c r="D163" s="126"/>
      <c r="E163" s="138"/>
      <c r="F163" s="139" t="s">
        <v>1853</v>
      </c>
      <c r="H163" s="140">
        <f>H162*0.82</f>
        <v>537.59609999999998</v>
      </c>
      <c r="L163" s="137"/>
      <c r="M163" s="141"/>
      <c r="T163" s="142"/>
      <c r="W163"/>
      <c r="X163"/>
      <c r="Y163"/>
      <c r="AR163" s="138"/>
      <c r="AS163" s="138"/>
      <c r="AW163" s="138"/>
    </row>
    <row r="164" spans="2:63" s="1" customFormat="1" ht="44.25" customHeight="1" x14ac:dyDescent="0.2">
      <c r="B164" s="109"/>
      <c r="C164" s="110" t="s">
        <v>171</v>
      </c>
      <c r="D164" s="110" t="s">
        <v>103</v>
      </c>
      <c r="E164" s="111" t="s">
        <v>1170</v>
      </c>
      <c r="F164" s="112" t="s">
        <v>1171</v>
      </c>
      <c r="G164" s="113" t="s">
        <v>130</v>
      </c>
      <c r="H164" s="114">
        <f>87.443*0.82</f>
        <v>71.70326</v>
      </c>
      <c r="I164" s="115">
        <v>0</v>
      </c>
      <c r="J164" s="115">
        <f>ROUND(I164*H164,2)</f>
        <v>0</v>
      </c>
      <c r="K164" s="112" t="s">
        <v>107</v>
      </c>
      <c r="L164" s="28"/>
      <c r="M164" s="116" t="s">
        <v>1</v>
      </c>
      <c r="N164" s="117" t="s">
        <v>39</v>
      </c>
      <c r="O164" s="118">
        <v>0.23</v>
      </c>
      <c r="P164" s="118">
        <f>O164*H164</f>
        <v>16.491749800000001</v>
      </c>
      <c r="Q164" s="118">
        <v>0</v>
      </c>
      <c r="R164" s="118">
        <f>Q164*H164</f>
        <v>0</v>
      </c>
      <c r="S164" s="118">
        <v>0</v>
      </c>
      <c r="T164" s="119">
        <f>S164*H164</f>
        <v>0</v>
      </c>
      <c r="W164"/>
      <c r="X164"/>
      <c r="Y164"/>
      <c r="AP164" s="120" t="s">
        <v>108</v>
      </c>
      <c r="AR164" s="120" t="s">
        <v>103</v>
      </c>
      <c r="AS164" s="120" t="s">
        <v>65</v>
      </c>
      <c r="AW164" s="17" t="s">
        <v>101</v>
      </c>
      <c r="BC164" s="121">
        <f>IF(N164="základní",J164,0)</f>
        <v>0</v>
      </c>
      <c r="BD164" s="121">
        <f>IF(N164="snížená",J164,0)</f>
        <v>0</v>
      </c>
      <c r="BE164" s="121">
        <f>IF(N164="zákl. přenesená",J164,0)</f>
        <v>0</v>
      </c>
      <c r="BF164" s="121">
        <f>IF(N164="sníž. přenesená",J164,0)</f>
        <v>0</v>
      </c>
      <c r="BG164" s="121">
        <f>IF(N164="nulová",J164,0)</f>
        <v>0</v>
      </c>
      <c r="BH164" s="17" t="s">
        <v>63</v>
      </c>
      <c r="BI164" s="121">
        <f>ROUND(I164*H164,2)</f>
        <v>0</v>
      </c>
      <c r="BJ164" s="17" t="s">
        <v>108</v>
      </c>
      <c r="BK164" s="120" t="s">
        <v>1172</v>
      </c>
    </row>
    <row r="165" spans="2:63" s="1" customFormat="1" x14ac:dyDescent="0.2">
      <c r="B165" s="28"/>
      <c r="D165" s="122" t="s">
        <v>110</v>
      </c>
      <c r="F165" s="123" t="s">
        <v>1173</v>
      </c>
      <c r="L165" s="28"/>
      <c r="M165" s="124"/>
      <c r="T165" s="48"/>
      <c r="W165"/>
      <c r="X165"/>
      <c r="Y165"/>
      <c r="AR165" s="17" t="s">
        <v>110</v>
      </c>
      <c r="AS165" s="17" t="s">
        <v>65</v>
      </c>
    </row>
    <row r="166" spans="2:63" s="12" customFormat="1" ht="22.5" x14ac:dyDescent="0.2">
      <c r="B166" s="125"/>
      <c r="D166" s="126" t="s">
        <v>112</v>
      </c>
      <c r="E166" s="127" t="s">
        <v>1</v>
      </c>
      <c r="F166" s="128" t="s">
        <v>1145</v>
      </c>
      <c r="H166" s="127" t="s">
        <v>1</v>
      </c>
      <c r="L166" s="125"/>
      <c r="M166" s="129"/>
      <c r="T166" s="130"/>
      <c r="W166"/>
      <c r="X166"/>
      <c r="Y166"/>
      <c r="AR166" s="127" t="s">
        <v>112</v>
      </c>
      <c r="AS166" s="127" t="s">
        <v>65</v>
      </c>
      <c r="AT166" s="12" t="s">
        <v>63</v>
      </c>
      <c r="AU166" s="12" t="s">
        <v>30</v>
      </c>
      <c r="AV166" s="12" t="s">
        <v>55</v>
      </c>
      <c r="AW166" s="127" t="s">
        <v>101</v>
      </c>
    </row>
    <row r="167" spans="2:63" s="13" customFormat="1" x14ac:dyDescent="0.2">
      <c r="B167" s="131"/>
      <c r="D167" s="126" t="s">
        <v>112</v>
      </c>
      <c r="E167" s="132" t="s">
        <v>1</v>
      </c>
      <c r="F167" s="133" t="s">
        <v>1174</v>
      </c>
      <c r="H167" s="134">
        <v>56.186</v>
      </c>
      <c r="L167" s="131"/>
      <c r="M167" s="135"/>
      <c r="T167" s="136"/>
      <c r="W167"/>
      <c r="X167"/>
      <c r="Y167"/>
      <c r="AR167" s="132" t="s">
        <v>112</v>
      </c>
      <c r="AS167" s="132" t="s">
        <v>65</v>
      </c>
      <c r="AT167" s="13" t="s">
        <v>65</v>
      </c>
      <c r="AU167" s="13" t="s">
        <v>30</v>
      </c>
      <c r="AV167" s="13" t="s">
        <v>55</v>
      </c>
      <c r="AW167" s="132" t="s">
        <v>101</v>
      </c>
    </row>
    <row r="168" spans="2:63" s="13" customFormat="1" x14ac:dyDescent="0.2">
      <c r="B168" s="131"/>
      <c r="D168" s="126" t="s">
        <v>112</v>
      </c>
      <c r="E168" s="132" t="s">
        <v>1</v>
      </c>
      <c r="F168" s="133" t="s">
        <v>1175</v>
      </c>
      <c r="H168" s="134">
        <v>31.257000000000001</v>
      </c>
      <c r="L168" s="131"/>
      <c r="M168" s="135"/>
      <c r="T168" s="136"/>
      <c r="W168"/>
      <c r="X168"/>
      <c r="Y168"/>
      <c r="AR168" s="132" t="s">
        <v>112</v>
      </c>
      <c r="AS168" s="132" t="s">
        <v>65</v>
      </c>
      <c r="AT168" s="13" t="s">
        <v>65</v>
      </c>
      <c r="AU168" s="13" t="s">
        <v>30</v>
      </c>
      <c r="AV168" s="13" t="s">
        <v>55</v>
      </c>
      <c r="AW168" s="132" t="s">
        <v>101</v>
      </c>
    </row>
    <row r="169" spans="2:63" s="14" customFormat="1" x14ac:dyDescent="0.2">
      <c r="B169" s="137"/>
      <c r="D169" s="126" t="s">
        <v>112</v>
      </c>
      <c r="E169" s="138" t="s">
        <v>1</v>
      </c>
      <c r="F169" s="139" t="s">
        <v>127</v>
      </c>
      <c r="H169" s="140">
        <v>87.442999999999998</v>
      </c>
      <c r="L169" s="137"/>
      <c r="M169" s="141"/>
      <c r="T169" s="142"/>
      <c r="W169"/>
      <c r="X169"/>
      <c r="Y169"/>
      <c r="AR169" s="138" t="s">
        <v>112</v>
      </c>
      <c r="AS169" s="138" t="s">
        <v>65</v>
      </c>
      <c r="AT169" s="14" t="s">
        <v>108</v>
      </c>
      <c r="AU169" s="14" t="s">
        <v>30</v>
      </c>
      <c r="AV169" s="14" t="s">
        <v>63</v>
      </c>
      <c r="AW169" s="138" t="s">
        <v>101</v>
      </c>
    </row>
    <row r="170" spans="2:63" s="14" customFormat="1" x14ac:dyDescent="0.2">
      <c r="B170" s="137"/>
      <c r="D170" s="126"/>
      <c r="E170" s="138"/>
      <c r="F170" s="139" t="s">
        <v>1853</v>
      </c>
      <c r="H170" s="140">
        <f>H169*0.82</f>
        <v>71.70326</v>
      </c>
      <c r="L170" s="137"/>
      <c r="M170" s="141"/>
      <c r="T170" s="142"/>
      <c r="W170"/>
      <c r="X170"/>
      <c r="Y170"/>
      <c r="AR170" s="138"/>
      <c r="AS170" s="138"/>
      <c r="AW170" s="138"/>
    </row>
    <row r="171" spans="2:63" s="1" customFormat="1" ht="49.15" customHeight="1" x14ac:dyDescent="0.2">
      <c r="B171" s="109"/>
      <c r="C171" s="110" t="s">
        <v>180</v>
      </c>
      <c r="D171" s="110" t="s">
        <v>103</v>
      </c>
      <c r="E171" s="111" t="s">
        <v>1176</v>
      </c>
      <c r="F171" s="112" t="s">
        <v>1177</v>
      </c>
      <c r="G171" s="113" t="s">
        <v>130</v>
      </c>
      <c r="H171" s="114">
        <f>564.064*0.82</f>
        <v>462.53247999999996</v>
      </c>
      <c r="I171" s="115">
        <v>0</v>
      </c>
      <c r="J171" s="115">
        <f>ROUND(I171*H171,2)</f>
        <v>0</v>
      </c>
      <c r="K171" s="112" t="s">
        <v>107</v>
      </c>
      <c r="L171" s="28"/>
      <c r="M171" s="116" t="s">
        <v>1</v>
      </c>
      <c r="N171" s="117" t="s">
        <v>39</v>
      </c>
      <c r="O171" s="118">
        <v>0.191</v>
      </c>
      <c r="P171" s="118">
        <f>O171*H171</f>
        <v>88.34370367999999</v>
      </c>
      <c r="Q171" s="118">
        <v>0</v>
      </c>
      <c r="R171" s="118">
        <f>Q171*H171</f>
        <v>0</v>
      </c>
      <c r="S171" s="118">
        <v>0</v>
      </c>
      <c r="T171" s="119">
        <f>S171*H171</f>
        <v>0</v>
      </c>
      <c r="W171"/>
      <c r="X171"/>
      <c r="Y171"/>
      <c r="AP171" s="120" t="s">
        <v>108</v>
      </c>
      <c r="AR171" s="120" t="s">
        <v>103</v>
      </c>
      <c r="AS171" s="120" t="s">
        <v>65</v>
      </c>
      <c r="AW171" s="17" t="s">
        <v>101</v>
      </c>
      <c r="BC171" s="121">
        <f>IF(N171="základní",J171,0)</f>
        <v>0</v>
      </c>
      <c r="BD171" s="121">
        <f>IF(N171="snížená",J171,0)</f>
        <v>0</v>
      </c>
      <c r="BE171" s="121">
        <f>IF(N171="zákl. přenesená",J171,0)</f>
        <v>0</v>
      </c>
      <c r="BF171" s="121">
        <f>IF(N171="sníž. přenesená",J171,0)</f>
        <v>0</v>
      </c>
      <c r="BG171" s="121">
        <f>IF(N171="nulová",J171,0)</f>
        <v>0</v>
      </c>
      <c r="BH171" s="17" t="s">
        <v>63</v>
      </c>
      <c r="BI171" s="121">
        <f>ROUND(I171*H171,2)</f>
        <v>0</v>
      </c>
      <c r="BJ171" s="17" t="s">
        <v>108</v>
      </c>
      <c r="BK171" s="120" t="s">
        <v>1178</v>
      </c>
    </row>
    <row r="172" spans="2:63" s="1" customFormat="1" x14ac:dyDescent="0.2">
      <c r="B172" s="28"/>
      <c r="D172" s="122" t="s">
        <v>110</v>
      </c>
      <c r="F172" s="123" t="s">
        <v>1179</v>
      </c>
      <c r="L172" s="28"/>
      <c r="M172" s="124"/>
      <c r="T172" s="48"/>
      <c r="W172"/>
      <c r="X172"/>
      <c r="Y172"/>
      <c r="AR172" s="17" t="s">
        <v>110</v>
      </c>
      <c r="AS172" s="17" t="s">
        <v>65</v>
      </c>
    </row>
    <row r="173" spans="2:63" s="12" customFormat="1" ht="22.5" x14ac:dyDescent="0.2">
      <c r="B173" s="125"/>
      <c r="D173" s="126" t="s">
        <v>112</v>
      </c>
      <c r="E173" s="127" t="s">
        <v>1</v>
      </c>
      <c r="F173" s="128" t="s">
        <v>1145</v>
      </c>
      <c r="H173" s="127" t="s">
        <v>1</v>
      </c>
      <c r="L173" s="125"/>
      <c r="M173" s="129"/>
      <c r="T173" s="130"/>
      <c r="W173"/>
      <c r="X173"/>
      <c r="Y173"/>
      <c r="AR173" s="127" t="s">
        <v>112</v>
      </c>
      <c r="AS173" s="127" t="s">
        <v>65</v>
      </c>
      <c r="AT173" s="12" t="s">
        <v>63</v>
      </c>
      <c r="AU173" s="12" t="s">
        <v>30</v>
      </c>
      <c r="AV173" s="12" t="s">
        <v>55</v>
      </c>
      <c r="AW173" s="127" t="s">
        <v>101</v>
      </c>
    </row>
    <row r="174" spans="2:63" s="13" customFormat="1" x14ac:dyDescent="0.2">
      <c r="B174" s="131"/>
      <c r="D174" s="126" t="s">
        <v>112</v>
      </c>
      <c r="E174" s="132" t="s">
        <v>1</v>
      </c>
      <c r="F174" s="133" t="s">
        <v>1180</v>
      </c>
      <c r="H174" s="134">
        <v>129.49700000000001</v>
      </c>
      <c r="L174" s="131"/>
      <c r="M174" s="135"/>
      <c r="T174" s="136"/>
      <c r="W174"/>
      <c r="X174"/>
      <c r="Y174"/>
      <c r="AR174" s="132" t="s">
        <v>112</v>
      </c>
      <c r="AS174" s="132" t="s">
        <v>65</v>
      </c>
      <c r="AT174" s="13" t="s">
        <v>65</v>
      </c>
      <c r="AU174" s="13" t="s">
        <v>30</v>
      </c>
      <c r="AV174" s="13" t="s">
        <v>55</v>
      </c>
      <c r="AW174" s="132" t="s">
        <v>101</v>
      </c>
    </row>
    <row r="175" spans="2:63" s="13" customFormat="1" x14ac:dyDescent="0.2">
      <c r="B175" s="131"/>
      <c r="D175" s="126" t="s">
        <v>112</v>
      </c>
      <c r="E175" s="132" t="s">
        <v>1</v>
      </c>
      <c r="F175" s="133" t="s">
        <v>1181</v>
      </c>
      <c r="H175" s="134">
        <v>44.343000000000004</v>
      </c>
      <c r="L175" s="131"/>
      <c r="M175" s="135"/>
      <c r="T175" s="136"/>
      <c r="W175"/>
      <c r="X175"/>
      <c r="Y175"/>
      <c r="AR175" s="132" t="s">
        <v>112</v>
      </c>
      <c r="AS175" s="132" t="s">
        <v>65</v>
      </c>
      <c r="AT175" s="13" t="s">
        <v>65</v>
      </c>
      <c r="AU175" s="13" t="s">
        <v>30</v>
      </c>
      <c r="AV175" s="13" t="s">
        <v>55</v>
      </c>
      <c r="AW175" s="132" t="s">
        <v>101</v>
      </c>
    </row>
    <row r="176" spans="2:63" s="13" customFormat="1" x14ac:dyDescent="0.2">
      <c r="B176" s="131"/>
      <c r="D176" s="126" t="s">
        <v>112</v>
      </c>
      <c r="E176" s="132" t="s">
        <v>1</v>
      </c>
      <c r="F176" s="133" t="s">
        <v>1182</v>
      </c>
      <c r="H176" s="134">
        <v>74.971000000000004</v>
      </c>
      <c r="L176" s="131"/>
      <c r="M176" s="135"/>
      <c r="T176" s="136"/>
      <c r="W176"/>
      <c r="X176"/>
      <c r="Y176"/>
      <c r="AR176" s="132" t="s">
        <v>112</v>
      </c>
      <c r="AS176" s="132" t="s">
        <v>65</v>
      </c>
      <c r="AT176" s="13" t="s">
        <v>65</v>
      </c>
      <c r="AU176" s="13" t="s">
        <v>30</v>
      </c>
      <c r="AV176" s="13" t="s">
        <v>55</v>
      </c>
      <c r="AW176" s="132" t="s">
        <v>101</v>
      </c>
    </row>
    <row r="177" spans="2:63" s="13" customFormat="1" x14ac:dyDescent="0.2">
      <c r="B177" s="131"/>
      <c r="D177" s="126" t="s">
        <v>112</v>
      </c>
      <c r="E177" s="132" t="s">
        <v>1</v>
      </c>
      <c r="F177" s="133" t="s">
        <v>1183</v>
      </c>
      <c r="H177" s="134">
        <v>73.165999999999997</v>
      </c>
      <c r="L177" s="131"/>
      <c r="M177" s="135"/>
      <c r="T177" s="136"/>
      <c r="W177"/>
      <c r="X177"/>
      <c r="Y177"/>
      <c r="AR177" s="132" t="s">
        <v>112</v>
      </c>
      <c r="AS177" s="132" t="s">
        <v>65</v>
      </c>
      <c r="AT177" s="13" t="s">
        <v>65</v>
      </c>
      <c r="AU177" s="13" t="s">
        <v>30</v>
      </c>
      <c r="AV177" s="13" t="s">
        <v>55</v>
      </c>
      <c r="AW177" s="132" t="s">
        <v>101</v>
      </c>
    </row>
    <row r="178" spans="2:63" s="13" customFormat="1" x14ac:dyDescent="0.2">
      <c r="B178" s="131"/>
      <c r="D178" s="126" t="s">
        <v>112</v>
      </c>
      <c r="E178" s="132" t="s">
        <v>1</v>
      </c>
      <c r="F178" s="133" t="s">
        <v>1184</v>
      </c>
      <c r="H178" s="134">
        <v>82.879000000000005</v>
      </c>
      <c r="L178" s="131"/>
      <c r="M178" s="135"/>
      <c r="T178" s="136"/>
      <c r="W178"/>
      <c r="X178"/>
      <c r="Y178"/>
      <c r="AR178" s="132" t="s">
        <v>112</v>
      </c>
      <c r="AS178" s="132" t="s">
        <v>65</v>
      </c>
      <c r="AT178" s="13" t="s">
        <v>65</v>
      </c>
      <c r="AU178" s="13" t="s">
        <v>30</v>
      </c>
      <c r="AV178" s="13" t="s">
        <v>55</v>
      </c>
      <c r="AW178" s="132" t="s">
        <v>101</v>
      </c>
    </row>
    <row r="179" spans="2:63" s="13" customFormat="1" x14ac:dyDescent="0.2">
      <c r="B179" s="131"/>
      <c r="D179" s="126" t="s">
        <v>112</v>
      </c>
      <c r="E179" s="132" t="s">
        <v>1</v>
      </c>
      <c r="F179" s="133" t="s">
        <v>1185</v>
      </c>
      <c r="H179" s="134">
        <v>25.07</v>
      </c>
      <c r="L179" s="131"/>
      <c r="M179" s="135"/>
      <c r="T179" s="136"/>
      <c r="W179"/>
      <c r="X179"/>
      <c r="Y179"/>
      <c r="AR179" s="132" t="s">
        <v>112</v>
      </c>
      <c r="AS179" s="132" t="s">
        <v>65</v>
      </c>
      <c r="AT179" s="13" t="s">
        <v>65</v>
      </c>
      <c r="AU179" s="13" t="s">
        <v>30</v>
      </c>
      <c r="AV179" s="13" t="s">
        <v>55</v>
      </c>
      <c r="AW179" s="132" t="s">
        <v>101</v>
      </c>
    </row>
    <row r="180" spans="2:63" s="13" customFormat="1" x14ac:dyDescent="0.2">
      <c r="B180" s="131"/>
      <c r="D180" s="126" t="s">
        <v>112</v>
      </c>
      <c r="E180" s="132" t="s">
        <v>1</v>
      </c>
      <c r="F180" s="133" t="s">
        <v>1186</v>
      </c>
      <c r="H180" s="134">
        <v>134.13800000000001</v>
      </c>
      <c r="L180" s="131"/>
      <c r="M180" s="135"/>
      <c r="T180" s="136"/>
      <c r="W180"/>
      <c r="X180"/>
      <c r="Y180"/>
      <c r="AR180" s="132" t="s">
        <v>112</v>
      </c>
      <c r="AS180" s="132" t="s">
        <v>65</v>
      </c>
      <c r="AT180" s="13" t="s">
        <v>65</v>
      </c>
      <c r="AU180" s="13" t="s">
        <v>30</v>
      </c>
      <c r="AV180" s="13" t="s">
        <v>55</v>
      </c>
      <c r="AW180" s="132" t="s">
        <v>101</v>
      </c>
    </row>
    <row r="181" spans="2:63" s="14" customFormat="1" x14ac:dyDescent="0.2">
      <c r="B181" s="137"/>
      <c r="D181" s="126" t="s">
        <v>112</v>
      </c>
      <c r="E181" s="138" t="s">
        <v>1</v>
      </c>
      <c r="F181" s="139" t="s">
        <v>127</v>
      </c>
      <c r="H181" s="140">
        <v>564.06399999999996</v>
      </c>
      <c r="L181" s="137"/>
      <c r="M181" s="141"/>
      <c r="T181" s="142"/>
      <c r="W181"/>
      <c r="X181"/>
      <c r="Y181"/>
      <c r="AR181" s="138" t="s">
        <v>112</v>
      </c>
      <c r="AS181" s="138" t="s">
        <v>65</v>
      </c>
      <c r="AT181" s="14" t="s">
        <v>108</v>
      </c>
      <c r="AU181" s="14" t="s">
        <v>30</v>
      </c>
      <c r="AV181" s="14" t="s">
        <v>63</v>
      </c>
      <c r="AW181" s="138" t="s">
        <v>101</v>
      </c>
    </row>
    <row r="182" spans="2:63" s="14" customFormat="1" x14ac:dyDescent="0.2">
      <c r="B182" s="137"/>
      <c r="D182" s="126"/>
      <c r="E182" s="138"/>
      <c r="F182" s="139" t="s">
        <v>1853</v>
      </c>
      <c r="H182" s="140">
        <f>H181*0.82</f>
        <v>462.53247999999996</v>
      </c>
      <c r="L182" s="137"/>
      <c r="M182" s="141"/>
      <c r="T182" s="142"/>
      <c r="W182"/>
      <c r="X182"/>
      <c r="Y182"/>
      <c r="AR182" s="138"/>
      <c r="AS182" s="138"/>
      <c r="AW182" s="138"/>
    </row>
    <row r="183" spans="2:63" s="1" customFormat="1" ht="44.25" customHeight="1" x14ac:dyDescent="0.2">
      <c r="B183" s="109"/>
      <c r="C183" s="110" t="s">
        <v>185</v>
      </c>
      <c r="D183" s="110" t="s">
        <v>103</v>
      </c>
      <c r="E183" s="111" t="s">
        <v>1187</v>
      </c>
      <c r="F183" s="112" t="s">
        <v>1188</v>
      </c>
      <c r="G183" s="113" t="s">
        <v>130</v>
      </c>
      <c r="H183" s="114">
        <f>75.242*0.82</f>
        <v>61.698439999999998</v>
      </c>
      <c r="I183" s="115">
        <v>0</v>
      </c>
      <c r="J183" s="115">
        <f>ROUND(I183*H183,2)</f>
        <v>0</v>
      </c>
      <c r="K183" s="112" t="s">
        <v>107</v>
      </c>
      <c r="L183" s="28"/>
      <c r="M183" s="116" t="s">
        <v>1</v>
      </c>
      <c r="N183" s="117" t="s">
        <v>39</v>
      </c>
      <c r="O183" s="118">
        <v>0.318</v>
      </c>
      <c r="P183" s="118">
        <f>O183*H183</f>
        <v>19.620103919999998</v>
      </c>
      <c r="Q183" s="118">
        <v>0</v>
      </c>
      <c r="R183" s="118">
        <f>Q183*H183</f>
        <v>0</v>
      </c>
      <c r="S183" s="118">
        <v>0</v>
      </c>
      <c r="T183" s="119">
        <f>S183*H183</f>
        <v>0</v>
      </c>
      <c r="W183"/>
      <c r="X183"/>
      <c r="Y183"/>
      <c r="AP183" s="120" t="s">
        <v>108</v>
      </c>
      <c r="AR183" s="120" t="s">
        <v>103</v>
      </c>
      <c r="AS183" s="120" t="s">
        <v>65</v>
      </c>
      <c r="AW183" s="17" t="s">
        <v>101</v>
      </c>
      <c r="BC183" s="121">
        <f>IF(N183="základní",J183,0)</f>
        <v>0</v>
      </c>
      <c r="BD183" s="121">
        <f>IF(N183="snížená",J183,0)</f>
        <v>0</v>
      </c>
      <c r="BE183" s="121">
        <f>IF(N183="zákl. přenesená",J183,0)</f>
        <v>0</v>
      </c>
      <c r="BF183" s="121">
        <f>IF(N183="sníž. přenesená",J183,0)</f>
        <v>0</v>
      </c>
      <c r="BG183" s="121">
        <f>IF(N183="nulová",J183,0)</f>
        <v>0</v>
      </c>
      <c r="BH183" s="17" t="s">
        <v>63</v>
      </c>
      <c r="BI183" s="121">
        <f>ROUND(I183*H183,2)</f>
        <v>0</v>
      </c>
      <c r="BJ183" s="17" t="s">
        <v>108</v>
      </c>
      <c r="BK183" s="120" t="s">
        <v>1189</v>
      </c>
    </row>
    <row r="184" spans="2:63" s="1" customFormat="1" x14ac:dyDescent="0.2">
      <c r="B184" s="28"/>
      <c r="D184" s="122" t="s">
        <v>110</v>
      </c>
      <c r="F184" s="123" t="s">
        <v>1190</v>
      </c>
      <c r="L184" s="28"/>
      <c r="M184" s="124"/>
      <c r="T184" s="48"/>
      <c r="W184"/>
      <c r="X184"/>
      <c r="Y184"/>
      <c r="AR184" s="17" t="s">
        <v>110</v>
      </c>
      <c r="AS184" s="17" t="s">
        <v>65</v>
      </c>
    </row>
    <row r="185" spans="2:63" s="12" customFormat="1" ht="22.5" x14ac:dyDescent="0.2">
      <c r="B185" s="125"/>
      <c r="D185" s="126" t="s">
        <v>112</v>
      </c>
      <c r="E185" s="127" t="s">
        <v>1</v>
      </c>
      <c r="F185" s="128" t="s">
        <v>1145</v>
      </c>
      <c r="H185" s="127" t="s">
        <v>1</v>
      </c>
      <c r="L185" s="125"/>
      <c r="M185" s="129"/>
      <c r="T185" s="130"/>
      <c r="W185"/>
      <c r="X185"/>
      <c r="Y185"/>
      <c r="AR185" s="127" t="s">
        <v>112</v>
      </c>
      <c r="AS185" s="127" t="s">
        <v>65</v>
      </c>
      <c r="AT185" s="12" t="s">
        <v>63</v>
      </c>
      <c r="AU185" s="12" t="s">
        <v>30</v>
      </c>
      <c r="AV185" s="12" t="s">
        <v>55</v>
      </c>
      <c r="AW185" s="127" t="s">
        <v>101</v>
      </c>
    </row>
    <row r="186" spans="2:63" s="13" customFormat="1" x14ac:dyDescent="0.2">
      <c r="B186" s="131"/>
      <c r="D186" s="126" t="s">
        <v>112</v>
      </c>
      <c r="E186" s="132" t="s">
        <v>1</v>
      </c>
      <c r="F186" s="133" t="s">
        <v>1191</v>
      </c>
      <c r="H186" s="134">
        <v>48.345999999999997</v>
      </c>
      <c r="L186" s="131"/>
      <c r="M186" s="135"/>
      <c r="T186" s="136"/>
      <c r="W186"/>
      <c r="X186"/>
      <c r="Y186"/>
      <c r="AR186" s="132" t="s">
        <v>112</v>
      </c>
      <c r="AS186" s="132" t="s">
        <v>65</v>
      </c>
      <c r="AT186" s="13" t="s">
        <v>65</v>
      </c>
      <c r="AU186" s="13" t="s">
        <v>30</v>
      </c>
      <c r="AV186" s="13" t="s">
        <v>55</v>
      </c>
      <c r="AW186" s="132" t="s">
        <v>101</v>
      </c>
    </row>
    <row r="187" spans="2:63" s="13" customFormat="1" x14ac:dyDescent="0.2">
      <c r="B187" s="131"/>
      <c r="D187" s="126" t="s">
        <v>112</v>
      </c>
      <c r="E187" s="132" t="s">
        <v>1</v>
      </c>
      <c r="F187" s="133" t="s">
        <v>1192</v>
      </c>
      <c r="H187" s="134">
        <v>26.896000000000001</v>
      </c>
      <c r="L187" s="131"/>
      <c r="M187" s="135"/>
      <c r="T187" s="136"/>
      <c r="W187"/>
      <c r="X187"/>
      <c r="Y187"/>
      <c r="AR187" s="132" t="s">
        <v>112</v>
      </c>
      <c r="AS187" s="132" t="s">
        <v>65</v>
      </c>
      <c r="AT187" s="13" t="s">
        <v>65</v>
      </c>
      <c r="AU187" s="13" t="s">
        <v>30</v>
      </c>
      <c r="AV187" s="13" t="s">
        <v>55</v>
      </c>
      <c r="AW187" s="132" t="s">
        <v>101</v>
      </c>
    </row>
    <row r="188" spans="2:63" s="14" customFormat="1" x14ac:dyDescent="0.2">
      <c r="B188" s="137"/>
      <c r="D188" s="126" t="s">
        <v>112</v>
      </c>
      <c r="E188" s="138" t="s">
        <v>1</v>
      </c>
      <c r="F188" s="139" t="s">
        <v>127</v>
      </c>
      <c r="H188" s="140">
        <v>75.242000000000004</v>
      </c>
      <c r="L188" s="137"/>
      <c r="M188" s="141"/>
      <c r="T188" s="142"/>
      <c r="W188"/>
      <c r="X188"/>
      <c r="Y188"/>
      <c r="AR188" s="138" t="s">
        <v>112</v>
      </c>
      <c r="AS188" s="138" t="s">
        <v>65</v>
      </c>
      <c r="AT188" s="14" t="s">
        <v>108</v>
      </c>
      <c r="AU188" s="14" t="s">
        <v>30</v>
      </c>
      <c r="AV188" s="14" t="s">
        <v>63</v>
      </c>
      <c r="AW188" s="138" t="s">
        <v>101</v>
      </c>
    </row>
    <row r="189" spans="2:63" s="14" customFormat="1" x14ac:dyDescent="0.2">
      <c r="B189" s="137"/>
      <c r="D189" s="126"/>
      <c r="E189" s="138"/>
      <c r="F189" s="139" t="s">
        <v>1853</v>
      </c>
      <c r="H189" s="140">
        <f>H188*0.82</f>
        <v>61.698439999999998</v>
      </c>
      <c r="L189" s="137"/>
      <c r="M189" s="141"/>
      <c r="T189" s="142"/>
      <c r="W189"/>
      <c r="X189"/>
      <c r="Y189"/>
      <c r="AR189" s="138"/>
      <c r="AS189" s="138"/>
      <c r="AW189" s="138"/>
    </row>
    <row r="190" spans="2:63" s="1" customFormat="1" ht="55.5" customHeight="1" x14ac:dyDescent="0.2">
      <c r="B190" s="109"/>
      <c r="C190" s="110" t="s">
        <v>193</v>
      </c>
      <c r="D190" s="110" t="s">
        <v>103</v>
      </c>
      <c r="E190" s="111" t="s">
        <v>128</v>
      </c>
      <c r="F190" s="112" t="s">
        <v>129</v>
      </c>
      <c r="G190" s="113" t="s">
        <v>130</v>
      </c>
      <c r="H190" s="114">
        <f>6.8*0.82</f>
        <v>5.5759999999999996</v>
      </c>
      <c r="I190" s="115">
        <v>0</v>
      </c>
      <c r="J190" s="115">
        <f>ROUND(I190*H190,2)</f>
        <v>0</v>
      </c>
      <c r="K190" s="112" t="s">
        <v>107</v>
      </c>
      <c r="L190" s="28"/>
      <c r="M190" s="116" t="s">
        <v>1</v>
      </c>
      <c r="N190" s="117" t="s">
        <v>39</v>
      </c>
      <c r="O190" s="118">
        <v>0.23400000000000001</v>
      </c>
      <c r="P190" s="118">
        <f>O190*H190</f>
        <v>1.3047839999999999</v>
      </c>
      <c r="Q190" s="118">
        <v>0</v>
      </c>
      <c r="R190" s="118">
        <f>Q190*H190</f>
        <v>0</v>
      </c>
      <c r="S190" s="118">
        <v>0</v>
      </c>
      <c r="T190" s="119">
        <f>S190*H190</f>
        <v>0</v>
      </c>
      <c r="W190"/>
      <c r="X190"/>
      <c r="Y190"/>
      <c r="AP190" s="120" t="s">
        <v>108</v>
      </c>
      <c r="AR190" s="120" t="s">
        <v>103</v>
      </c>
      <c r="AS190" s="120" t="s">
        <v>65</v>
      </c>
      <c r="AW190" s="17" t="s">
        <v>101</v>
      </c>
      <c r="BC190" s="121">
        <f>IF(N190="základní",J190,0)</f>
        <v>0</v>
      </c>
      <c r="BD190" s="121">
        <f>IF(N190="snížená",J190,0)</f>
        <v>0</v>
      </c>
      <c r="BE190" s="121">
        <f>IF(N190="zákl. přenesená",J190,0)</f>
        <v>0</v>
      </c>
      <c r="BF190" s="121">
        <f>IF(N190="sníž. přenesená",J190,0)</f>
        <v>0</v>
      </c>
      <c r="BG190" s="121">
        <f>IF(N190="nulová",J190,0)</f>
        <v>0</v>
      </c>
      <c r="BH190" s="17" t="s">
        <v>63</v>
      </c>
      <c r="BI190" s="121">
        <f>ROUND(I190*H190,2)</f>
        <v>0</v>
      </c>
      <c r="BJ190" s="17" t="s">
        <v>108</v>
      </c>
      <c r="BK190" s="120" t="s">
        <v>1193</v>
      </c>
    </row>
    <row r="191" spans="2:63" s="1" customFormat="1" x14ac:dyDescent="0.2">
      <c r="B191" s="28"/>
      <c r="D191" s="122" t="s">
        <v>110</v>
      </c>
      <c r="F191" s="123" t="s">
        <v>132</v>
      </c>
      <c r="L191" s="28"/>
      <c r="M191" s="124"/>
      <c r="T191" s="48"/>
      <c r="W191"/>
      <c r="X191"/>
      <c r="Y191"/>
      <c r="AR191" s="17" t="s">
        <v>110</v>
      </c>
      <c r="AS191" s="17" t="s">
        <v>65</v>
      </c>
    </row>
    <row r="192" spans="2:63" s="12" customFormat="1" x14ac:dyDescent="0.2">
      <c r="B192" s="125"/>
      <c r="D192" s="126" t="s">
        <v>112</v>
      </c>
      <c r="E192" s="127" t="s">
        <v>1</v>
      </c>
      <c r="F192" s="128" t="s">
        <v>1194</v>
      </c>
      <c r="H192" s="127" t="s">
        <v>1</v>
      </c>
      <c r="L192" s="125"/>
      <c r="M192" s="129"/>
      <c r="T192" s="130"/>
      <c r="W192"/>
      <c r="X192"/>
      <c r="Y192"/>
      <c r="AR192" s="127" t="s">
        <v>112</v>
      </c>
      <c r="AS192" s="127" t="s">
        <v>65</v>
      </c>
      <c r="AT192" s="12" t="s">
        <v>63</v>
      </c>
      <c r="AU192" s="12" t="s">
        <v>30</v>
      </c>
      <c r="AV192" s="12" t="s">
        <v>55</v>
      </c>
      <c r="AW192" s="127" t="s">
        <v>101</v>
      </c>
    </row>
    <row r="193" spans="2:63" s="12" customFormat="1" ht="22.5" x14ac:dyDescent="0.2">
      <c r="B193" s="125"/>
      <c r="D193" s="126" t="s">
        <v>112</v>
      </c>
      <c r="E193" s="127" t="s">
        <v>1</v>
      </c>
      <c r="F193" s="128" t="s">
        <v>669</v>
      </c>
      <c r="H193" s="127" t="s">
        <v>1</v>
      </c>
      <c r="L193" s="125"/>
      <c r="M193" s="129"/>
      <c r="T193" s="130"/>
      <c r="W193"/>
      <c r="X193"/>
      <c r="Y193"/>
      <c r="AR193" s="127" t="s">
        <v>112</v>
      </c>
      <c r="AS193" s="127" t="s">
        <v>65</v>
      </c>
      <c r="AT193" s="12" t="s">
        <v>63</v>
      </c>
      <c r="AU193" s="12" t="s">
        <v>30</v>
      </c>
      <c r="AV193" s="12" t="s">
        <v>55</v>
      </c>
      <c r="AW193" s="127" t="s">
        <v>101</v>
      </c>
    </row>
    <row r="194" spans="2:63" s="13" customFormat="1" x14ac:dyDescent="0.2">
      <c r="B194" s="131"/>
      <c r="D194" s="126" t="s">
        <v>112</v>
      </c>
      <c r="E194" s="132" t="s">
        <v>1</v>
      </c>
      <c r="F194" s="133" t="s">
        <v>1195</v>
      </c>
      <c r="H194" s="134">
        <v>5.5359999999999996</v>
      </c>
      <c r="L194" s="131"/>
      <c r="M194" s="135"/>
      <c r="T194" s="136"/>
      <c r="W194"/>
      <c r="X194"/>
      <c r="Y194"/>
      <c r="AR194" s="132" t="s">
        <v>112</v>
      </c>
      <c r="AS194" s="132" t="s">
        <v>65</v>
      </c>
      <c r="AT194" s="13" t="s">
        <v>65</v>
      </c>
      <c r="AU194" s="13" t="s">
        <v>30</v>
      </c>
      <c r="AV194" s="13" t="s">
        <v>55</v>
      </c>
      <c r="AW194" s="132" t="s">
        <v>101</v>
      </c>
    </row>
    <row r="195" spans="2:63" s="12" customFormat="1" x14ac:dyDescent="0.2">
      <c r="B195" s="125"/>
      <c r="D195" s="126" t="s">
        <v>112</v>
      </c>
      <c r="E195" s="127" t="s">
        <v>1</v>
      </c>
      <c r="F195" s="128" t="s">
        <v>672</v>
      </c>
      <c r="H195" s="127" t="s">
        <v>1</v>
      </c>
      <c r="L195" s="125"/>
      <c r="M195" s="129"/>
      <c r="T195" s="130"/>
      <c r="W195"/>
      <c r="X195"/>
      <c r="Y195"/>
      <c r="AR195" s="127" t="s">
        <v>112</v>
      </c>
      <c r="AS195" s="127" t="s">
        <v>65</v>
      </c>
      <c r="AT195" s="12" t="s">
        <v>63</v>
      </c>
      <c r="AU195" s="12" t="s">
        <v>30</v>
      </c>
      <c r="AV195" s="12" t="s">
        <v>55</v>
      </c>
      <c r="AW195" s="127" t="s">
        <v>101</v>
      </c>
    </row>
    <row r="196" spans="2:63" s="12" customFormat="1" ht="33.75" x14ac:dyDescent="0.2">
      <c r="B196" s="125"/>
      <c r="D196" s="126" t="s">
        <v>112</v>
      </c>
      <c r="E196" s="127" t="s">
        <v>1</v>
      </c>
      <c r="F196" s="128" t="s">
        <v>666</v>
      </c>
      <c r="H196" s="127" t="s">
        <v>1</v>
      </c>
      <c r="L196" s="125"/>
      <c r="M196" s="129"/>
      <c r="T196" s="130"/>
      <c r="W196"/>
      <c r="X196"/>
      <c r="Y196"/>
      <c r="AR196" s="127" t="s">
        <v>112</v>
      </c>
      <c r="AS196" s="127" t="s">
        <v>65</v>
      </c>
      <c r="AT196" s="12" t="s">
        <v>63</v>
      </c>
      <c r="AU196" s="12" t="s">
        <v>30</v>
      </c>
      <c r="AV196" s="12" t="s">
        <v>55</v>
      </c>
      <c r="AW196" s="127" t="s">
        <v>101</v>
      </c>
    </row>
    <row r="197" spans="2:63" s="13" customFormat="1" x14ac:dyDescent="0.2">
      <c r="B197" s="131"/>
      <c r="D197" s="126" t="s">
        <v>112</v>
      </c>
      <c r="E197" s="132" t="s">
        <v>1</v>
      </c>
      <c r="F197" s="133" t="s">
        <v>1196</v>
      </c>
      <c r="H197" s="134">
        <v>1.264</v>
      </c>
      <c r="L197" s="131"/>
      <c r="M197" s="135"/>
      <c r="T197" s="136"/>
      <c r="W197"/>
      <c r="X197"/>
      <c r="Y197"/>
      <c r="AR197" s="132" t="s">
        <v>112</v>
      </c>
      <c r="AS197" s="132" t="s">
        <v>65</v>
      </c>
      <c r="AT197" s="13" t="s">
        <v>65</v>
      </c>
      <c r="AU197" s="13" t="s">
        <v>30</v>
      </c>
      <c r="AV197" s="13" t="s">
        <v>55</v>
      </c>
      <c r="AW197" s="132" t="s">
        <v>101</v>
      </c>
    </row>
    <row r="198" spans="2:63" s="14" customFormat="1" x14ac:dyDescent="0.2">
      <c r="B198" s="137"/>
      <c r="D198" s="126" t="s">
        <v>112</v>
      </c>
      <c r="E198" s="138" t="s">
        <v>1</v>
      </c>
      <c r="F198" s="139" t="s">
        <v>127</v>
      </c>
      <c r="H198" s="140">
        <v>6.8</v>
      </c>
      <c r="L198" s="137"/>
      <c r="M198" s="141"/>
      <c r="T198" s="142"/>
      <c r="W198"/>
      <c r="X198"/>
      <c r="Y198"/>
      <c r="AR198" s="138" t="s">
        <v>112</v>
      </c>
      <c r="AS198" s="138" t="s">
        <v>65</v>
      </c>
      <c r="AT198" s="14" t="s">
        <v>108</v>
      </c>
      <c r="AU198" s="14" t="s">
        <v>30</v>
      </c>
      <c r="AV198" s="14" t="s">
        <v>63</v>
      </c>
      <c r="AW198" s="138" t="s">
        <v>101</v>
      </c>
    </row>
    <row r="199" spans="2:63" s="14" customFormat="1" x14ac:dyDescent="0.2">
      <c r="B199" s="137"/>
      <c r="D199" s="126"/>
      <c r="E199" s="138"/>
      <c r="F199" s="139" t="s">
        <v>1853</v>
      </c>
      <c r="H199" s="140">
        <f>H198*0.82</f>
        <v>5.5759999999999996</v>
      </c>
      <c r="L199" s="137"/>
      <c r="M199" s="141"/>
      <c r="T199" s="142"/>
      <c r="W199"/>
      <c r="X199"/>
      <c r="Y199"/>
      <c r="AR199" s="138"/>
      <c r="AS199" s="138"/>
      <c r="AW199" s="138"/>
    </row>
    <row r="200" spans="2:63" s="1" customFormat="1" ht="55.5" customHeight="1" x14ac:dyDescent="0.2">
      <c r="B200" s="109"/>
      <c r="C200" s="110" t="s">
        <v>198</v>
      </c>
      <c r="D200" s="110" t="s">
        <v>103</v>
      </c>
      <c r="E200" s="111" t="s">
        <v>142</v>
      </c>
      <c r="F200" s="112" t="s">
        <v>143</v>
      </c>
      <c r="G200" s="113" t="s">
        <v>130</v>
      </c>
      <c r="H200" s="114">
        <f>14.123*0.82</f>
        <v>11.580859999999999</v>
      </c>
      <c r="I200" s="115">
        <v>0</v>
      </c>
      <c r="J200" s="115">
        <f>ROUND(I200*H200,2)</f>
        <v>0</v>
      </c>
      <c r="K200" s="112" t="s">
        <v>107</v>
      </c>
      <c r="L200" s="28"/>
      <c r="M200" s="116" t="s">
        <v>1</v>
      </c>
      <c r="N200" s="117" t="s">
        <v>39</v>
      </c>
      <c r="O200" s="118">
        <v>0.36199999999999999</v>
      </c>
      <c r="P200" s="118">
        <f>O200*H200</f>
        <v>4.1922713199999997</v>
      </c>
      <c r="Q200" s="118">
        <v>0</v>
      </c>
      <c r="R200" s="118">
        <f>Q200*H200</f>
        <v>0</v>
      </c>
      <c r="S200" s="118">
        <v>0</v>
      </c>
      <c r="T200" s="119">
        <f>S200*H200</f>
        <v>0</v>
      </c>
      <c r="W200"/>
      <c r="X200"/>
      <c r="Y200"/>
      <c r="AP200" s="120" t="s">
        <v>108</v>
      </c>
      <c r="AR200" s="120" t="s">
        <v>103</v>
      </c>
      <c r="AS200" s="120" t="s">
        <v>65</v>
      </c>
      <c r="AW200" s="17" t="s">
        <v>101</v>
      </c>
      <c r="BC200" s="121">
        <f>IF(N200="základní",J200,0)</f>
        <v>0</v>
      </c>
      <c r="BD200" s="121">
        <f>IF(N200="snížená",J200,0)</f>
        <v>0</v>
      </c>
      <c r="BE200" s="121">
        <f>IF(N200="zákl. přenesená",J200,0)</f>
        <v>0</v>
      </c>
      <c r="BF200" s="121">
        <f>IF(N200="sníž. přenesená",J200,0)</f>
        <v>0</v>
      </c>
      <c r="BG200" s="121">
        <f>IF(N200="nulová",J200,0)</f>
        <v>0</v>
      </c>
      <c r="BH200" s="17" t="s">
        <v>63</v>
      </c>
      <c r="BI200" s="121">
        <f>ROUND(I200*H200,2)</f>
        <v>0</v>
      </c>
      <c r="BJ200" s="17" t="s">
        <v>108</v>
      </c>
      <c r="BK200" s="120" t="s">
        <v>1197</v>
      </c>
    </row>
    <row r="201" spans="2:63" s="1" customFormat="1" x14ac:dyDescent="0.2">
      <c r="B201" s="28"/>
      <c r="D201" s="122" t="s">
        <v>110</v>
      </c>
      <c r="F201" s="123" t="s">
        <v>145</v>
      </c>
      <c r="L201" s="28"/>
      <c r="M201" s="124"/>
      <c r="T201" s="48"/>
      <c r="W201"/>
      <c r="X201"/>
      <c r="Y201"/>
      <c r="AR201" s="17" t="s">
        <v>110</v>
      </c>
      <c r="AS201" s="17" t="s">
        <v>65</v>
      </c>
    </row>
    <row r="202" spans="2:63" s="12" customFormat="1" x14ac:dyDescent="0.2">
      <c r="B202" s="125"/>
      <c r="D202" s="126" t="s">
        <v>112</v>
      </c>
      <c r="E202" s="127" t="s">
        <v>1</v>
      </c>
      <c r="F202" s="128" t="s">
        <v>1194</v>
      </c>
      <c r="H202" s="127" t="s">
        <v>1</v>
      </c>
      <c r="L202" s="125"/>
      <c r="M202" s="129"/>
      <c r="T202" s="130"/>
      <c r="W202"/>
      <c r="X202"/>
      <c r="Y202"/>
      <c r="AR202" s="127" t="s">
        <v>112</v>
      </c>
      <c r="AS202" s="127" t="s">
        <v>65</v>
      </c>
      <c r="AT202" s="12" t="s">
        <v>63</v>
      </c>
      <c r="AU202" s="12" t="s">
        <v>30</v>
      </c>
      <c r="AV202" s="12" t="s">
        <v>55</v>
      </c>
      <c r="AW202" s="127" t="s">
        <v>101</v>
      </c>
    </row>
    <row r="203" spans="2:63" s="12" customFormat="1" ht="22.5" x14ac:dyDescent="0.2">
      <c r="B203" s="125"/>
      <c r="D203" s="126" t="s">
        <v>112</v>
      </c>
      <c r="E203" s="127" t="s">
        <v>1</v>
      </c>
      <c r="F203" s="128" t="s">
        <v>669</v>
      </c>
      <c r="H203" s="127" t="s">
        <v>1</v>
      </c>
      <c r="L203" s="125"/>
      <c r="M203" s="129"/>
      <c r="T203" s="130"/>
      <c r="W203"/>
      <c r="X203"/>
      <c r="Y203"/>
      <c r="AR203" s="127" t="s">
        <v>112</v>
      </c>
      <c r="AS203" s="127" t="s">
        <v>65</v>
      </c>
      <c r="AT203" s="12" t="s">
        <v>63</v>
      </c>
      <c r="AU203" s="12" t="s">
        <v>30</v>
      </c>
      <c r="AV203" s="12" t="s">
        <v>55</v>
      </c>
      <c r="AW203" s="127" t="s">
        <v>101</v>
      </c>
    </row>
    <row r="204" spans="2:63" s="13" customFormat="1" x14ac:dyDescent="0.2">
      <c r="B204" s="131"/>
      <c r="D204" s="126" t="s">
        <v>112</v>
      </c>
      <c r="E204" s="132" t="s">
        <v>1</v>
      </c>
      <c r="F204" s="133" t="s">
        <v>1198</v>
      </c>
      <c r="H204" s="134">
        <v>11.499000000000001</v>
      </c>
      <c r="L204" s="131"/>
      <c r="M204" s="135"/>
      <c r="T204" s="136"/>
      <c r="W204"/>
      <c r="X204"/>
      <c r="Y204"/>
      <c r="AR204" s="132" t="s">
        <v>112</v>
      </c>
      <c r="AS204" s="132" t="s">
        <v>65</v>
      </c>
      <c r="AT204" s="13" t="s">
        <v>65</v>
      </c>
      <c r="AU204" s="13" t="s">
        <v>30</v>
      </c>
      <c r="AV204" s="13" t="s">
        <v>55</v>
      </c>
      <c r="AW204" s="132" t="s">
        <v>101</v>
      </c>
    </row>
    <row r="205" spans="2:63" s="12" customFormat="1" x14ac:dyDescent="0.2">
      <c r="B205" s="125"/>
      <c r="D205" s="126" t="s">
        <v>112</v>
      </c>
      <c r="E205" s="127" t="s">
        <v>1</v>
      </c>
      <c r="F205" s="128" t="s">
        <v>672</v>
      </c>
      <c r="H205" s="127" t="s">
        <v>1</v>
      </c>
      <c r="L205" s="125"/>
      <c r="M205" s="129"/>
      <c r="T205" s="130"/>
      <c r="W205"/>
      <c r="X205"/>
      <c r="Y205"/>
      <c r="AR205" s="127" t="s">
        <v>112</v>
      </c>
      <c r="AS205" s="127" t="s">
        <v>65</v>
      </c>
      <c r="AT205" s="12" t="s">
        <v>63</v>
      </c>
      <c r="AU205" s="12" t="s">
        <v>30</v>
      </c>
      <c r="AV205" s="12" t="s">
        <v>55</v>
      </c>
      <c r="AW205" s="127" t="s">
        <v>101</v>
      </c>
    </row>
    <row r="206" spans="2:63" s="12" customFormat="1" ht="33.75" x14ac:dyDescent="0.2">
      <c r="B206" s="125"/>
      <c r="D206" s="126" t="s">
        <v>112</v>
      </c>
      <c r="E206" s="127" t="s">
        <v>1</v>
      </c>
      <c r="F206" s="128" t="s">
        <v>666</v>
      </c>
      <c r="H206" s="127" t="s">
        <v>1</v>
      </c>
      <c r="L206" s="125"/>
      <c r="M206" s="129"/>
      <c r="T206" s="130"/>
      <c r="W206"/>
      <c r="X206"/>
      <c r="Y206"/>
      <c r="AR206" s="127" t="s">
        <v>112</v>
      </c>
      <c r="AS206" s="127" t="s">
        <v>65</v>
      </c>
      <c r="AT206" s="12" t="s">
        <v>63</v>
      </c>
      <c r="AU206" s="12" t="s">
        <v>30</v>
      </c>
      <c r="AV206" s="12" t="s">
        <v>55</v>
      </c>
      <c r="AW206" s="127" t="s">
        <v>101</v>
      </c>
    </row>
    <row r="207" spans="2:63" s="13" customFormat="1" x14ac:dyDescent="0.2">
      <c r="B207" s="131"/>
      <c r="D207" s="126" t="s">
        <v>112</v>
      </c>
      <c r="E207" s="132" t="s">
        <v>1</v>
      </c>
      <c r="F207" s="133" t="s">
        <v>1199</v>
      </c>
      <c r="H207" s="134">
        <v>2.6240000000000001</v>
      </c>
      <c r="L207" s="131"/>
      <c r="M207" s="135"/>
      <c r="T207" s="136"/>
      <c r="W207"/>
      <c r="X207"/>
      <c r="Y207"/>
      <c r="AR207" s="132" t="s">
        <v>112</v>
      </c>
      <c r="AS207" s="132" t="s">
        <v>65</v>
      </c>
      <c r="AT207" s="13" t="s">
        <v>65</v>
      </c>
      <c r="AU207" s="13" t="s">
        <v>30</v>
      </c>
      <c r="AV207" s="13" t="s">
        <v>55</v>
      </c>
      <c r="AW207" s="132" t="s">
        <v>101</v>
      </c>
    </row>
    <row r="208" spans="2:63" s="14" customFormat="1" x14ac:dyDescent="0.2">
      <c r="B208" s="137"/>
      <c r="D208" s="126" t="s">
        <v>112</v>
      </c>
      <c r="E208" s="138" t="s">
        <v>1</v>
      </c>
      <c r="F208" s="139" t="s">
        <v>127</v>
      </c>
      <c r="H208" s="140">
        <v>14.122999999999999</v>
      </c>
      <c r="L208" s="137"/>
      <c r="M208" s="141"/>
      <c r="T208" s="142"/>
      <c r="W208"/>
      <c r="X208"/>
      <c r="Y208"/>
      <c r="AR208" s="138" t="s">
        <v>112</v>
      </c>
      <c r="AS208" s="138" t="s">
        <v>65</v>
      </c>
      <c r="AT208" s="14" t="s">
        <v>108</v>
      </c>
      <c r="AU208" s="14" t="s">
        <v>30</v>
      </c>
      <c r="AV208" s="14" t="s">
        <v>63</v>
      </c>
      <c r="AW208" s="138" t="s">
        <v>101</v>
      </c>
    </row>
    <row r="209" spans="2:63" s="14" customFormat="1" x14ac:dyDescent="0.2">
      <c r="B209" s="137"/>
      <c r="D209" s="126"/>
      <c r="E209" s="138"/>
      <c r="F209" s="139" t="s">
        <v>1853</v>
      </c>
      <c r="H209" s="140">
        <f>H208*0.82</f>
        <v>11.580859999999999</v>
      </c>
      <c r="L209" s="137"/>
      <c r="M209" s="141"/>
      <c r="T209" s="142"/>
      <c r="W209"/>
      <c r="X209"/>
      <c r="Y209"/>
      <c r="AR209" s="138"/>
      <c r="AS209" s="138"/>
      <c r="AW209" s="138"/>
    </row>
    <row r="210" spans="2:63" s="1" customFormat="1" ht="55.5" customHeight="1" x14ac:dyDescent="0.2">
      <c r="B210" s="109"/>
      <c r="C210" s="110" t="s">
        <v>203</v>
      </c>
      <c r="D210" s="110" t="s">
        <v>103</v>
      </c>
      <c r="E210" s="111" t="s">
        <v>154</v>
      </c>
      <c r="F210" s="112" t="s">
        <v>155</v>
      </c>
      <c r="G210" s="113" t="s">
        <v>130</v>
      </c>
      <c r="H210" s="114">
        <f>31.385*0.82</f>
        <v>25.735700000000001</v>
      </c>
      <c r="I210" s="115">
        <v>0</v>
      </c>
      <c r="J210" s="115">
        <f>ROUND(I210*H210,2)</f>
        <v>0</v>
      </c>
      <c r="K210" s="112" t="s">
        <v>107</v>
      </c>
      <c r="L210" s="28"/>
      <c r="M210" s="116" t="s">
        <v>1</v>
      </c>
      <c r="N210" s="117" t="s">
        <v>39</v>
      </c>
      <c r="O210" s="118">
        <v>0.505</v>
      </c>
      <c r="P210" s="118">
        <f>O210*H210</f>
        <v>12.9965285</v>
      </c>
      <c r="Q210" s="118">
        <v>0</v>
      </c>
      <c r="R210" s="118">
        <f>Q210*H210</f>
        <v>0</v>
      </c>
      <c r="S210" s="118">
        <v>0</v>
      </c>
      <c r="T210" s="119">
        <f>S210*H210</f>
        <v>0</v>
      </c>
      <c r="W210"/>
      <c r="X210"/>
      <c r="Y210"/>
      <c r="AP210" s="120" t="s">
        <v>108</v>
      </c>
      <c r="AR210" s="120" t="s">
        <v>103</v>
      </c>
      <c r="AS210" s="120" t="s">
        <v>65</v>
      </c>
      <c r="AW210" s="17" t="s">
        <v>101</v>
      </c>
      <c r="BC210" s="121">
        <f>IF(N210="základní",J210,0)</f>
        <v>0</v>
      </c>
      <c r="BD210" s="121">
        <f>IF(N210="snížená",J210,0)</f>
        <v>0</v>
      </c>
      <c r="BE210" s="121">
        <f>IF(N210="zákl. přenesená",J210,0)</f>
        <v>0</v>
      </c>
      <c r="BF210" s="121">
        <f>IF(N210="sníž. přenesená",J210,0)</f>
        <v>0</v>
      </c>
      <c r="BG210" s="121">
        <f>IF(N210="nulová",J210,0)</f>
        <v>0</v>
      </c>
      <c r="BH210" s="17" t="s">
        <v>63</v>
      </c>
      <c r="BI210" s="121">
        <f>ROUND(I210*H210,2)</f>
        <v>0</v>
      </c>
      <c r="BJ210" s="17" t="s">
        <v>108</v>
      </c>
      <c r="BK210" s="120" t="s">
        <v>1200</v>
      </c>
    </row>
    <row r="211" spans="2:63" s="1" customFormat="1" x14ac:dyDescent="0.2">
      <c r="B211" s="28"/>
      <c r="D211" s="122" t="s">
        <v>110</v>
      </c>
      <c r="F211" s="123" t="s">
        <v>157</v>
      </c>
      <c r="L211" s="28"/>
      <c r="M211" s="124"/>
      <c r="T211" s="48"/>
      <c r="W211"/>
      <c r="X211"/>
      <c r="Y211"/>
      <c r="AR211" s="17" t="s">
        <v>110</v>
      </c>
      <c r="AS211" s="17" t="s">
        <v>65</v>
      </c>
    </row>
    <row r="212" spans="2:63" s="12" customFormat="1" x14ac:dyDescent="0.2">
      <c r="B212" s="125"/>
      <c r="D212" s="126" t="s">
        <v>112</v>
      </c>
      <c r="E212" s="127" t="s">
        <v>1</v>
      </c>
      <c r="F212" s="128" t="s">
        <v>1194</v>
      </c>
      <c r="H212" s="127" t="s">
        <v>1</v>
      </c>
      <c r="L212" s="125"/>
      <c r="M212" s="129"/>
      <c r="T212" s="130"/>
      <c r="W212"/>
      <c r="X212"/>
      <c r="Y212"/>
      <c r="AR212" s="127" t="s">
        <v>112</v>
      </c>
      <c r="AS212" s="127" t="s">
        <v>65</v>
      </c>
      <c r="AT212" s="12" t="s">
        <v>63</v>
      </c>
      <c r="AU212" s="12" t="s">
        <v>30</v>
      </c>
      <c r="AV212" s="12" t="s">
        <v>55</v>
      </c>
      <c r="AW212" s="127" t="s">
        <v>101</v>
      </c>
    </row>
    <row r="213" spans="2:63" s="12" customFormat="1" ht="22.5" x14ac:dyDescent="0.2">
      <c r="B213" s="125"/>
      <c r="D213" s="126" t="s">
        <v>112</v>
      </c>
      <c r="E213" s="127" t="s">
        <v>1</v>
      </c>
      <c r="F213" s="128" t="s">
        <v>669</v>
      </c>
      <c r="H213" s="127" t="s">
        <v>1</v>
      </c>
      <c r="L213" s="125"/>
      <c r="M213" s="129"/>
      <c r="T213" s="130"/>
      <c r="W213"/>
      <c r="X213"/>
      <c r="Y213"/>
      <c r="AR213" s="127" t="s">
        <v>112</v>
      </c>
      <c r="AS213" s="127" t="s">
        <v>65</v>
      </c>
      <c r="AT213" s="12" t="s">
        <v>63</v>
      </c>
      <c r="AU213" s="12" t="s">
        <v>30</v>
      </c>
      <c r="AV213" s="12" t="s">
        <v>55</v>
      </c>
      <c r="AW213" s="127" t="s">
        <v>101</v>
      </c>
    </row>
    <row r="214" spans="2:63" s="13" customFormat="1" x14ac:dyDescent="0.2">
      <c r="B214" s="131"/>
      <c r="D214" s="126" t="s">
        <v>112</v>
      </c>
      <c r="E214" s="132" t="s">
        <v>1</v>
      </c>
      <c r="F214" s="133" t="s">
        <v>1201</v>
      </c>
      <c r="H214" s="134">
        <v>25.553000000000001</v>
      </c>
      <c r="L214" s="131"/>
      <c r="M214" s="135"/>
      <c r="T214" s="136"/>
      <c r="W214"/>
      <c r="X214"/>
      <c r="Y214"/>
      <c r="AR214" s="132" t="s">
        <v>112</v>
      </c>
      <c r="AS214" s="132" t="s">
        <v>65</v>
      </c>
      <c r="AT214" s="13" t="s">
        <v>65</v>
      </c>
      <c r="AU214" s="13" t="s">
        <v>30</v>
      </c>
      <c r="AV214" s="13" t="s">
        <v>55</v>
      </c>
      <c r="AW214" s="132" t="s">
        <v>101</v>
      </c>
    </row>
    <row r="215" spans="2:63" s="12" customFormat="1" x14ac:dyDescent="0.2">
      <c r="B215" s="125"/>
      <c r="D215" s="126" t="s">
        <v>112</v>
      </c>
      <c r="E215" s="127" t="s">
        <v>1</v>
      </c>
      <c r="F215" s="128" t="s">
        <v>672</v>
      </c>
      <c r="H215" s="127" t="s">
        <v>1</v>
      </c>
      <c r="L215" s="125"/>
      <c r="M215" s="129"/>
      <c r="T215" s="130"/>
      <c r="W215"/>
      <c r="X215"/>
      <c r="Y215"/>
      <c r="AR215" s="127" t="s">
        <v>112</v>
      </c>
      <c r="AS215" s="127" t="s">
        <v>65</v>
      </c>
      <c r="AT215" s="12" t="s">
        <v>63</v>
      </c>
      <c r="AU215" s="12" t="s">
        <v>30</v>
      </c>
      <c r="AV215" s="12" t="s">
        <v>55</v>
      </c>
      <c r="AW215" s="127" t="s">
        <v>101</v>
      </c>
    </row>
    <row r="216" spans="2:63" s="12" customFormat="1" ht="33.75" x14ac:dyDescent="0.2">
      <c r="B216" s="125"/>
      <c r="D216" s="126" t="s">
        <v>112</v>
      </c>
      <c r="E216" s="127" t="s">
        <v>1</v>
      </c>
      <c r="F216" s="128" t="s">
        <v>666</v>
      </c>
      <c r="H216" s="127" t="s">
        <v>1</v>
      </c>
      <c r="L216" s="125"/>
      <c r="M216" s="129"/>
      <c r="T216" s="130"/>
      <c r="W216"/>
      <c r="X216"/>
      <c r="Y216"/>
      <c r="AR216" s="127" t="s">
        <v>112</v>
      </c>
      <c r="AS216" s="127" t="s">
        <v>65</v>
      </c>
      <c r="AT216" s="12" t="s">
        <v>63</v>
      </c>
      <c r="AU216" s="12" t="s">
        <v>30</v>
      </c>
      <c r="AV216" s="12" t="s">
        <v>55</v>
      </c>
      <c r="AW216" s="127" t="s">
        <v>101</v>
      </c>
    </row>
    <row r="217" spans="2:63" s="13" customFormat="1" x14ac:dyDescent="0.2">
      <c r="B217" s="131"/>
      <c r="D217" s="126" t="s">
        <v>112</v>
      </c>
      <c r="E217" s="132" t="s">
        <v>1</v>
      </c>
      <c r="F217" s="133" t="s">
        <v>1202</v>
      </c>
      <c r="H217" s="134">
        <v>5.8319999999999999</v>
      </c>
      <c r="L217" s="131"/>
      <c r="M217" s="135"/>
      <c r="T217" s="136"/>
      <c r="W217"/>
      <c r="X217"/>
      <c r="Y217"/>
      <c r="AR217" s="132" t="s">
        <v>112</v>
      </c>
      <c r="AS217" s="132" t="s">
        <v>65</v>
      </c>
      <c r="AT217" s="13" t="s">
        <v>65</v>
      </c>
      <c r="AU217" s="13" t="s">
        <v>30</v>
      </c>
      <c r="AV217" s="13" t="s">
        <v>55</v>
      </c>
      <c r="AW217" s="132" t="s">
        <v>101</v>
      </c>
    </row>
    <row r="218" spans="2:63" s="14" customFormat="1" x14ac:dyDescent="0.2">
      <c r="B218" s="137"/>
      <c r="D218" s="126" t="s">
        <v>112</v>
      </c>
      <c r="E218" s="138" t="s">
        <v>1</v>
      </c>
      <c r="F218" s="139" t="s">
        <v>127</v>
      </c>
      <c r="H218" s="140">
        <v>31.385000000000002</v>
      </c>
      <c r="L218" s="137"/>
      <c r="M218" s="141"/>
      <c r="T218" s="142"/>
      <c r="W218"/>
      <c r="X218"/>
      <c r="Y218"/>
      <c r="AR218" s="138" t="s">
        <v>112</v>
      </c>
      <c r="AS218" s="138" t="s">
        <v>65</v>
      </c>
      <c r="AT218" s="14" t="s">
        <v>108</v>
      </c>
      <c r="AU218" s="14" t="s">
        <v>30</v>
      </c>
      <c r="AV218" s="14" t="s">
        <v>63</v>
      </c>
      <c r="AW218" s="138" t="s">
        <v>101</v>
      </c>
    </row>
    <row r="219" spans="2:63" s="14" customFormat="1" x14ac:dyDescent="0.2">
      <c r="B219" s="137"/>
      <c r="D219" s="126"/>
      <c r="E219" s="138"/>
      <c r="F219" s="139" t="s">
        <v>1853</v>
      </c>
      <c r="H219" s="140">
        <f>H218*0.82</f>
        <v>25.735700000000001</v>
      </c>
      <c r="L219" s="137"/>
      <c r="M219" s="141"/>
      <c r="T219" s="142"/>
      <c r="W219"/>
      <c r="X219"/>
      <c r="Y219"/>
      <c r="AR219" s="138"/>
      <c r="AS219" s="138"/>
      <c r="AW219" s="138"/>
    </row>
    <row r="220" spans="2:63" s="1" customFormat="1" ht="37.9" customHeight="1" x14ac:dyDescent="0.2">
      <c r="B220" s="109"/>
      <c r="C220" s="110" t="s">
        <v>208</v>
      </c>
      <c r="D220" s="110" t="s">
        <v>103</v>
      </c>
      <c r="E220" s="111" t="s">
        <v>166</v>
      </c>
      <c r="F220" s="112" t="s">
        <v>167</v>
      </c>
      <c r="G220" s="113" t="s">
        <v>130</v>
      </c>
      <c r="H220" s="114">
        <f>4*0.82</f>
        <v>3.28</v>
      </c>
      <c r="I220" s="115">
        <v>0</v>
      </c>
      <c r="J220" s="115">
        <f>ROUND(I220*H220,2)</f>
        <v>0</v>
      </c>
      <c r="K220" s="112" t="s">
        <v>107</v>
      </c>
      <c r="L220" s="28"/>
      <c r="M220" s="116" t="s">
        <v>1</v>
      </c>
      <c r="N220" s="117" t="s">
        <v>39</v>
      </c>
      <c r="O220" s="118">
        <v>1.7629999999999999</v>
      </c>
      <c r="P220" s="118">
        <f>O220*H220</f>
        <v>5.7826399999999989</v>
      </c>
      <c r="Q220" s="118">
        <v>0</v>
      </c>
      <c r="R220" s="118">
        <f>Q220*H220</f>
        <v>0</v>
      </c>
      <c r="S220" s="118">
        <v>0</v>
      </c>
      <c r="T220" s="119">
        <f>S220*H220</f>
        <v>0</v>
      </c>
      <c r="W220"/>
      <c r="X220"/>
      <c r="Y220"/>
      <c r="AP220" s="120" t="s">
        <v>108</v>
      </c>
      <c r="AR220" s="120" t="s">
        <v>103</v>
      </c>
      <c r="AS220" s="120" t="s">
        <v>65</v>
      </c>
      <c r="AW220" s="17" t="s">
        <v>101</v>
      </c>
      <c r="BC220" s="121">
        <f>IF(N220="základní",J220,0)</f>
        <v>0</v>
      </c>
      <c r="BD220" s="121">
        <f>IF(N220="snížená",J220,0)</f>
        <v>0</v>
      </c>
      <c r="BE220" s="121">
        <f>IF(N220="zákl. přenesená",J220,0)</f>
        <v>0</v>
      </c>
      <c r="BF220" s="121">
        <f>IF(N220="sníž. přenesená",J220,0)</f>
        <v>0</v>
      </c>
      <c r="BG220" s="121">
        <f>IF(N220="nulová",J220,0)</f>
        <v>0</v>
      </c>
      <c r="BH220" s="17" t="s">
        <v>63</v>
      </c>
      <c r="BI220" s="121">
        <f>ROUND(I220*H220,2)</f>
        <v>0</v>
      </c>
      <c r="BJ220" s="17" t="s">
        <v>108</v>
      </c>
      <c r="BK220" s="120" t="s">
        <v>1203</v>
      </c>
    </row>
    <row r="221" spans="2:63" s="1" customFormat="1" x14ac:dyDescent="0.2">
      <c r="B221" s="28"/>
      <c r="D221" s="122" t="s">
        <v>110</v>
      </c>
      <c r="F221" s="123" t="s">
        <v>169</v>
      </c>
      <c r="L221" s="28"/>
      <c r="M221" s="124"/>
      <c r="T221" s="48"/>
      <c r="W221"/>
      <c r="X221"/>
      <c r="Y221"/>
      <c r="AR221" s="17" t="s">
        <v>110</v>
      </c>
      <c r="AS221" s="17" t="s">
        <v>65</v>
      </c>
    </row>
    <row r="222" spans="2:63" s="12" customFormat="1" ht="22.5" x14ac:dyDescent="0.2">
      <c r="B222" s="125"/>
      <c r="D222" s="126" t="s">
        <v>112</v>
      </c>
      <c r="E222" s="127" t="s">
        <v>1</v>
      </c>
      <c r="F222" s="128" t="s">
        <v>170</v>
      </c>
      <c r="H222" s="127" t="s">
        <v>1</v>
      </c>
      <c r="L222" s="125"/>
      <c r="M222" s="129"/>
      <c r="T222" s="130"/>
      <c r="W222"/>
      <c r="X222"/>
      <c r="Y222"/>
      <c r="AR222" s="127" t="s">
        <v>112</v>
      </c>
      <c r="AS222" s="127" t="s">
        <v>65</v>
      </c>
      <c r="AT222" s="12" t="s">
        <v>63</v>
      </c>
      <c r="AU222" s="12" t="s">
        <v>30</v>
      </c>
      <c r="AV222" s="12" t="s">
        <v>55</v>
      </c>
      <c r="AW222" s="127" t="s">
        <v>101</v>
      </c>
    </row>
    <row r="223" spans="2:63" s="13" customFormat="1" x14ac:dyDescent="0.2">
      <c r="B223" s="131"/>
      <c r="D223" s="126" t="s">
        <v>112</v>
      </c>
      <c r="E223" s="132" t="s">
        <v>1</v>
      </c>
      <c r="F223" s="133" t="s">
        <v>1874</v>
      </c>
      <c r="H223" s="134">
        <f>4*0.82</f>
        <v>3.28</v>
      </c>
      <c r="L223" s="131"/>
      <c r="M223" s="135"/>
      <c r="T223" s="136"/>
      <c r="W223"/>
      <c r="X223"/>
      <c r="Y223"/>
      <c r="AR223" s="132" t="s">
        <v>112</v>
      </c>
      <c r="AS223" s="132" t="s">
        <v>65</v>
      </c>
      <c r="AT223" s="13" t="s">
        <v>65</v>
      </c>
      <c r="AU223" s="13" t="s">
        <v>30</v>
      </c>
      <c r="AV223" s="13" t="s">
        <v>63</v>
      </c>
      <c r="AW223" s="132" t="s">
        <v>101</v>
      </c>
    </row>
    <row r="224" spans="2:63" s="1" customFormat="1" ht="37.9" customHeight="1" x14ac:dyDescent="0.2">
      <c r="B224" s="109"/>
      <c r="C224" s="110" t="s">
        <v>7</v>
      </c>
      <c r="D224" s="110" t="s">
        <v>103</v>
      </c>
      <c r="E224" s="111" t="s">
        <v>172</v>
      </c>
      <c r="F224" s="112" t="s">
        <v>173</v>
      </c>
      <c r="G224" s="113" t="s">
        <v>174</v>
      </c>
      <c r="H224" s="114">
        <f>248.546*0.82</f>
        <v>203.80771999999999</v>
      </c>
      <c r="I224" s="115">
        <v>0</v>
      </c>
      <c r="J224" s="115">
        <f>ROUND(I224*H224,2)</f>
        <v>0</v>
      </c>
      <c r="K224" s="112" t="s">
        <v>107</v>
      </c>
      <c r="L224" s="28"/>
      <c r="M224" s="116" t="s">
        <v>1</v>
      </c>
      <c r="N224" s="117" t="s">
        <v>39</v>
      </c>
      <c r="O224" s="118">
        <v>0.23599999999999999</v>
      </c>
      <c r="P224" s="118">
        <f>O224*H224</f>
        <v>48.098621919999992</v>
      </c>
      <c r="Q224" s="118">
        <v>8.4000000000000003E-4</v>
      </c>
      <c r="R224" s="118">
        <f>Q224*H224</f>
        <v>0.17119848479999999</v>
      </c>
      <c r="S224" s="118">
        <v>0</v>
      </c>
      <c r="T224" s="119">
        <f>S224*H224</f>
        <v>0</v>
      </c>
      <c r="W224"/>
      <c r="X224"/>
      <c r="Y224"/>
      <c r="AP224" s="120" t="s">
        <v>108</v>
      </c>
      <c r="AR224" s="120" t="s">
        <v>103</v>
      </c>
      <c r="AS224" s="120" t="s">
        <v>65</v>
      </c>
      <c r="AW224" s="17" t="s">
        <v>101</v>
      </c>
      <c r="BC224" s="121">
        <f>IF(N224="základní",J224,0)</f>
        <v>0</v>
      </c>
      <c r="BD224" s="121">
        <f>IF(N224="snížená",J224,0)</f>
        <v>0</v>
      </c>
      <c r="BE224" s="121">
        <f>IF(N224="zákl. přenesená",J224,0)</f>
        <v>0</v>
      </c>
      <c r="BF224" s="121">
        <f>IF(N224="sníž. přenesená",J224,0)</f>
        <v>0</v>
      </c>
      <c r="BG224" s="121">
        <f>IF(N224="nulová",J224,0)</f>
        <v>0</v>
      </c>
      <c r="BH224" s="17" t="s">
        <v>63</v>
      </c>
      <c r="BI224" s="121">
        <f>ROUND(I224*H224,2)</f>
        <v>0</v>
      </c>
      <c r="BJ224" s="17" t="s">
        <v>108</v>
      </c>
      <c r="BK224" s="120" t="s">
        <v>1204</v>
      </c>
    </row>
    <row r="225" spans="2:63" s="1" customFormat="1" x14ac:dyDescent="0.2">
      <c r="B225" s="28"/>
      <c r="D225" s="122" t="s">
        <v>110</v>
      </c>
      <c r="F225" s="123" t="s">
        <v>176</v>
      </c>
      <c r="L225" s="28"/>
      <c r="M225" s="124"/>
      <c r="T225" s="48"/>
      <c r="W225"/>
      <c r="X225"/>
      <c r="Y225"/>
      <c r="AR225" s="17" t="s">
        <v>110</v>
      </c>
      <c r="AS225" s="17" t="s">
        <v>65</v>
      </c>
    </row>
    <row r="226" spans="2:63" s="12" customFormat="1" x14ac:dyDescent="0.2">
      <c r="B226" s="125"/>
      <c r="D226" s="126" t="s">
        <v>112</v>
      </c>
      <c r="E226" s="127" t="s">
        <v>1</v>
      </c>
      <c r="F226" s="128" t="s">
        <v>177</v>
      </c>
      <c r="H226" s="127" t="s">
        <v>1</v>
      </c>
      <c r="L226" s="125"/>
      <c r="M226" s="129"/>
      <c r="T226" s="130"/>
      <c r="W226"/>
      <c r="X226"/>
      <c r="Y226"/>
      <c r="AR226" s="127" t="s">
        <v>112</v>
      </c>
      <c r="AS226" s="127" t="s">
        <v>65</v>
      </c>
      <c r="AT226" s="12" t="s">
        <v>63</v>
      </c>
      <c r="AU226" s="12" t="s">
        <v>30</v>
      </c>
      <c r="AV226" s="12" t="s">
        <v>55</v>
      </c>
      <c r="AW226" s="127" t="s">
        <v>101</v>
      </c>
    </row>
    <row r="227" spans="2:63" s="13" customFormat="1" x14ac:dyDescent="0.2">
      <c r="B227" s="131"/>
      <c r="D227" s="126" t="s">
        <v>112</v>
      </c>
      <c r="E227" s="132" t="s">
        <v>1</v>
      </c>
      <c r="F227" s="133" t="s">
        <v>1205</v>
      </c>
      <c r="H227" s="134">
        <v>85.176000000000002</v>
      </c>
      <c r="L227" s="131"/>
      <c r="M227" s="135"/>
      <c r="T227" s="136"/>
      <c r="W227"/>
      <c r="X227"/>
      <c r="Y227"/>
      <c r="AR227" s="132" t="s">
        <v>112</v>
      </c>
      <c r="AS227" s="132" t="s">
        <v>65</v>
      </c>
      <c r="AT227" s="13" t="s">
        <v>65</v>
      </c>
      <c r="AU227" s="13" t="s">
        <v>30</v>
      </c>
      <c r="AV227" s="13" t="s">
        <v>55</v>
      </c>
      <c r="AW227" s="132" t="s">
        <v>101</v>
      </c>
    </row>
    <row r="228" spans="2:63" s="13" customFormat="1" x14ac:dyDescent="0.2">
      <c r="B228" s="131"/>
      <c r="D228" s="126" t="s">
        <v>112</v>
      </c>
      <c r="E228" s="132" t="s">
        <v>1</v>
      </c>
      <c r="F228" s="133" t="s">
        <v>1206</v>
      </c>
      <c r="H228" s="134">
        <v>87.11</v>
      </c>
      <c r="L228" s="131"/>
      <c r="M228" s="135"/>
      <c r="T228" s="136"/>
      <c r="W228"/>
      <c r="X228"/>
      <c r="Y228"/>
      <c r="AR228" s="132" t="s">
        <v>112</v>
      </c>
      <c r="AS228" s="132" t="s">
        <v>65</v>
      </c>
      <c r="AT228" s="13" t="s">
        <v>65</v>
      </c>
      <c r="AU228" s="13" t="s">
        <v>30</v>
      </c>
      <c r="AV228" s="13" t="s">
        <v>55</v>
      </c>
      <c r="AW228" s="132" t="s">
        <v>101</v>
      </c>
    </row>
    <row r="229" spans="2:63" s="13" customFormat="1" x14ac:dyDescent="0.2">
      <c r="B229" s="131"/>
      <c r="D229" s="126" t="s">
        <v>112</v>
      </c>
      <c r="E229" s="132" t="s">
        <v>1</v>
      </c>
      <c r="F229" s="133" t="s">
        <v>1207</v>
      </c>
      <c r="H229" s="134">
        <v>76.260000000000005</v>
      </c>
      <c r="L229" s="131"/>
      <c r="M229" s="135"/>
      <c r="T229" s="136"/>
      <c r="W229"/>
      <c r="X229"/>
      <c r="Y229"/>
      <c r="AR229" s="132" t="s">
        <v>112</v>
      </c>
      <c r="AS229" s="132" t="s">
        <v>65</v>
      </c>
      <c r="AT229" s="13" t="s">
        <v>65</v>
      </c>
      <c r="AU229" s="13" t="s">
        <v>30</v>
      </c>
      <c r="AV229" s="13" t="s">
        <v>55</v>
      </c>
      <c r="AW229" s="132" t="s">
        <v>101</v>
      </c>
    </row>
    <row r="230" spans="2:63" s="14" customFormat="1" x14ac:dyDescent="0.2">
      <c r="B230" s="137"/>
      <c r="D230" s="126" t="s">
        <v>112</v>
      </c>
      <c r="E230" s="138" t="s">
        <v>1</v>
      </c>
      <c r="F230" s="139" t="s">
        <v>127</v>
      </c>
      <c r="H230" s="140">
        <v>248.54599999999999</v>
      </c>
      <c r="L230" s="137"/>
      <c r="M230" s="141"/>
      <c r="T230" s="142"/>
      <c r="W230"/>
      <c r="X230"/>
      <c r="Y230"/>
      <c r="AR230" s="138" t="s">
        <v>112</v>
      </c>
      <c r="AS230" s="138" t="s">
        <v>65</v>
      </c>
      <c r="AT230" s="14" t="s">
        <v>108</v>
      </c>
      <c r="AU230" s="14" t="s">
        <v>30</v>
      </c>
      <c r="AV230" s="14" t="s">
        <v>63</v>
      </c>
      <c r="AW230" s="138" t="s">
        <v>101</v>
      </c>
    </row>
    <row r="231" spans="2:63" s="14" customFormat="1" x14ac:dyDescent="0.2">
      <c r="B231" s="137"/>
      <c r="D231" s="126"/>
      <c r="E231" s="138"/>
      <c r="F231" s="139" t="s">
        <v>1853</v>
      </c>
      <c r="H231" s="140">
        <f>H230*0.82</f>
        <v>203.80771999999999</v>
      </c>
      <c r="L231" s="137"/>
      <c r="M231" s="141"/>
      <c r="T231" s="142"/>
      <c r="W231"/>
      <c r="X231"/>
      <c r="Y231"/>
      <c r="AR231" s="138"/>
      <c r="AS231" s="138"/>
      <c r="AW231" s="138"/>
    </row>
    <row r="232" spans="2:63" s="1" customFormat="1" ht="44.25" customHeight="1" x14ac:dyDescent="0.2">
      <c r="B232" s="109"/>
      <c r="C232" s="110" t="s">
        <v>218</v>
      </c>
      <c r="D232" s="110" t="s">
        <v>103</v>
      </c>
      <c r="E232" s="111" t="s">
        <v>181</v>
      </c>
      <c r="F232" s="112" t="s">
        <v>182</v>
      </c>
      <c r="G232" s="113" t="s">
        <v>174</v>
      </c>
      <c r="H232" s="114">
        <f>248.546*0.82</f>
        <v>203.80771999999999</v>
      </c>
      <c r="I232" s="115">
        <v>0</v>
      </c>
      <c r="J232" s="115">
        <f>ROUND(I232*H232,2)</f>
        <v>0</v>
      </c>
      <c r="K232" s="112" t="s">
        <v>107</v>
      </c>
      <c r="L232" s="28"/>
      <c r="M232" s="116" t="s">
        <v>1</v>
      </c>
      <c r="N232" s="117" t="s">
        <v>39</v>
      </c>
      <c r="O232" s="118">
        <v>0.216</v>
      </c>
      <c r="P232" s="118">
        <f>O232*H232</f>
        <v>44.022467519999999</v>
      </c>
      <c r="Q232" s="118">
        <v>0</v>
      </c>
      <c r="R232" s="118">
        <f>Q232*H232</f>
        <v>0</v>
      </c>
      <c r="S232" s="118">
        <v>0</v>
      </c>
      <c r="T232" s="119">
        <f>S232*H232</f>
        <v>0</v>
      </c>
      <c r="W232"/>
      <c r="X232"/>
      <c r="Y232"/>
      <c r="AP232" s="120" t="s">
        <v>108</v>
      </c>
      <c r="AR232" s="120" t="s">
        <v>103</v>
      </c>
      <c r="AS232" s="120" t="s">
        <v>65</v>
      </c>
      <c r="AW232" s="17" t="s">
        <v>101</v>
      </c>
      <c r="BC232" s="121">
        <f>IF(N232="základní",J232,0)</f>
        <v>0</v>
      </c>
      <c r="BD232" s="121">
        <f>IF(N232="snížená",J232,0)</f>
        <v>0</v>
      </c>
      <c r="BE232" s="121">
        <f>IF(N232="zákl. přenesená",J232,0)</f>
        <v>0</v>
      </c>
      <c r="BF232" s="121">
        <f>IF(N232="sníž. přenesená",J232,0)</f>
        <v>0</v>
      </c>
      <c r="BG232" s="121">
        <f>IF(N232="nulová",J232,0)</f>
        <v>0</v>
      </c>
      <c r="BH232" s="17" t="s">
        <v>63</v>
      </c>
      <c r="BI232" s="121">
        <f>ROUND(I232*H232,2)</f>
        <v>0</v>
      </c>
      <c r="BJ232" s="17" t="s">
        <v>108</v>
      </c>
      <c r="BK232" s="120" t="s">
        <v>1208</v>
      </c>
    </row>
    <row r="233" spans="2:63" s="1" customFormat="1" x14ac:dyDescent="0.2">
      <c r="B233" s="28"/>
      <c r="D233" s="122" t="s">
        <v>110</v>
      </c>
      <c r="F233" s="123" t="s">
        <v>184</v>
      </c>
      <c r="L233" s="28"/>
      <c r="M233" s="124"/>
      <c r="T233" s="48"/>
      <c r="W233"/>
      <c r="X233"/>
      <c r="Y233"/>
      <c r="AR233" s="17" t="s">
        <v>110</v>
      </c>
      <c r="AS233" s="17" t="s">
        <v>65</v>
      </c>
    </row>
    <row r="234" spans="2:63" s="1" customFormat="1" ht="62.65" customHeight="1" x14ac:dyDescent="0.2">
      <c r="B234" s="109"/>
      <c r="C234" s="110" t="s">
        <v>223</v>
      </c>
      <c r="D234" s="110" t="s">
        <v>103</v>
      </c>
      <c r="E234" s="111" t="s">
        <v>186</v>
      </c>
      <c r="F234" s="112" t="s">
        <v>187</v>
      </c>
      <c r="G234" s="113" t="s">
        <v>130</v>
      </c>
      <c r="H234" s="114">
        <f>2846.153*0.82</f>
        <v>2333.8454599999995</v>
      </c>
      <c r="I234" s="115">
        <v>0</v>
      </c>
      <c r="J234" s="115">
        <f>ROUND(I234*H234,2)</f>
        <v>0</v>
      </c>
      <c r="K234" s="112" t="s">
        <v>107</v>
      </c>
      <c r="L234" s="28"/>
      <c r="M234" s="116" t="s">
        <v>1</v>
      </c>
      <c r="N234" s="117" t="s">
        <v>39</v>
      </c>
      <c r="O234" s="118">
        <v>4.5999999999999999E-2</v>
      </c>
      <c r="P234" s="118">
        <f>O234*H234</f>
        <v>107.35689115999998</v>
      </c>
      <c r="Q234" s="118">
        <v>0</v>
      </c>
      <c r="R234" s="118">
        <f>Q234*H234</f>
        <v>0</v>
      </c>
      <c r="S234" s="118">
        <v>0</v>
      </c>
      <c r="T234" s="119">
        <f>S234*H234</f>
        <v>0</v>
      </c>
      <c r="W234"/>
      <c r="X234"/>
      <c r="Y234"/>
      <c r="AP234" s="120" t="s">
        <v>108</v>
      </c>
      <c r="AR234" s="120" t="s">
        <v>103</v>
      </c>
      <c r="AS234" s="120" t="s">
        <v>65</v>
      </c>
      <c r="AW234" s="17" t="s">
        <v>101</v>
      </c>
      <c r="BC234" s="121">
        <f>IF(N234="základní",J234,0)</f>
        <v>0</v>
      </c>
      <c r="BD234" s="121">
        <f>IF(N234="snížená",J234,0)</f>
        <v>0</v>
      </c>
      <c r="BE234" s="121">
        <f>IF(N234="zákl. přenesená",J234,0)</f>
        <v>0</v>
      </c>
      <c r="BF234" s="121">
        <f>IF(N234="sníž. přenesená",J234,0)</f>
        <v>0</v>
      </c>
      <c r="BG234" s="121">
        <f>IF(N234="nulová",J234,0)</f>
        <v>0</v>
      </c>
      <c r="BH234" s="17" t="s">
        <v>63</v>
      </c>
      <c r="BI234" s="121">
        <f>ROUND(I234*H234,2)</f>
        <v>0</v>
      </c>
      <c r="BJ234" s="17" t="s">
        <v>108</v>
      </c>
      <c r="BK234" s="120" t="s">
        <v>1209</v>
      </c>
    </row>
    <row r="235" spans="2:63" s="1" customFormat="1" x14ac:dyDescent="0.2">
      <c r="B235" s="28"/>
      <c r="D235" s="122" t="s">
        <v>110</v>
      </c>
      <c r="F235" s="123" t="s">
        <v>189</v>
      </c>
      <c r="L235" s="28"/>
      <c r="M235" s="124"/>
      <c r="T235" s="48"/>
      <c r="W235"/>
      <c r="X235"/>
      <c r="Y235"/>
      <c r="AR235" s="17" t="s">
        <v>110</v>
      </c>
      <c r="AS235" s="17" t="s">
        <v>65</v>
      </c>
    </row>
    <row r="236" spans="2:63" s="13" customFormat="1" x14ac:dyDescent="0.2">
      <c r="B236" s="131"/>
      <c r="D236" s="126" t="s">
        <v>112</v>
      </c>
      <c r="E236" s="132" t="s">
        <v>1</v>
      </c>
      <c r="F236" s="133" t="s">
        <v>1210</v>
      </c>
      <c r="H236" s="134">
        <v>1109.4680000000001</v>
      </c>
      <c r="L236" s="131"/>
      <c r="M236" s="135"/>
      <c r="T236" s="136"/>
      <c r="W236"/>
      <c r="X236"/>
      <c r="Y236"/>
      <c r="AR236" s="132" t="s">
        <v>112</v>
      </c>
      <c r="AS236" s="132" t="s">
        <v>65</v>
      </c>
      <c r="AT236" s="13" t="s">
        <v>65</v>
      </c>
      <c r="AU236" s="13" t="s">
        <v>30</v>
      </c>
      <c r="AV236" s="13" t="s">
        <v>55</v>
      </c>
      <c r="AW236" s="132" t="s">
        <v>101</v>
      </c>
    </row>
    <row r="237" spans="2:63" s="13" customFormat="1" x14ac:dyDescent="0.2">
      <c r="B237" s="131"/>
      <c r="D237" s="126" t="s">
        <v>112</v>
      </c>
      <c r="E237" s="132" t="s">
        <v>1</v>
      </c>
      <c r="F237" s="133" t="s">
        <v>1211</v>
      </c>
      <c r="H237" s="134">
        <v>101.26</v>
      </c>
      <c r="L237" s="131"/>
      <c r="M237" s="135"/>
      <c r="T237" s="136"/>
      <c r="W237"/>
      <c r="X237"/>
      <c r="Y237"/>
      <c r="AR237" s="132" t="s">
        <v>112</v>
      </c>
      <c r="AS237" s="132" t="s">
        <v>65</v>
      </c>
      <c r="AT237" s="13" t="s">
        <v>65</v>
      </c>
      <c r="AU237" s="13" t="s">
        <v>30</v>
      </c>
      <c r="AV237" s="13" t="s">
        <v>55</v>
      </c>
      <c r="AW237" s="132" t="s">
        <v>101</v>
      </c>
    </row>
    <row r="238" spans="2:63" s="13" customFormat="1" x14ac:dyDescent="0.2">
      <c r="B238" s="131"/>
      <c r="D238" s="126" t="s">
        <v>112</v>
      </c>
      <c r="E238" s="132" t="s">
        <v>1</v>
      </c>
      <c r="F238" s="133" t="s">
        <v>1212</v>
      </c>
      <c r="H238" s="134">
        <v>229.33</v>
      </c>
      <c r="L238" s="131"/>
      <c r="M238" s="135"/>
      <c r="T238" s="136"/>
      <c r="W238"/>
      <c r="X238"/>
      <c r="Y238"/>
      <c r="AR238" s="132" t="s">
        <v>112</v>
      </c>
      <c r="AS238" s="132" t="s">
        <v>65</v>
      </c>
      <c r="AT238" s="13" t="s">
        <v>65</v>
      </c>
      <c r="AU238" s="13" t="s">
        <v>30</v>
      </c>
      <c r="AV238" s="13" t="s">
        <v>55</v>
      </c>
      <c r="AW238" s="132" t="s">
        <v>101</v>
      </c>
    </row>
    <row r="239" spans="2:63" s="13" customFormat="1" x14ac:dyDescent="0.2">
      <c r="B239" s="131"/>
      <c r="D239" s="126" t="s">
        <v>112</v>
      </c>
      <c r="E239" s="132" t="s">
        <v>1</v>
      </c>
      <c r="F239" s="133" t="s">
        <v>1213</v>
      </c>
      <c r="H239" s="134">
        <v>286.67</v>
      </c>
      <c r="L239" s="131"/>
      <c r="M239" s="135"/>
      <c r="T239" s="136"/>
      <c r="W239"/>
      <c r="X239"/>
      <c r="Y239"/>
      <c r="AR239" s="132" t="s">
        <v>112</v>
      </c>
      <c r="AS239" s="132" t="s">
        <v>65</v>
      </c>
      <c r="AT239" s="13" t="s">
        <v>65</v>
      </c>
      <c r="AU239" s="13" t="s">
        <v>30</v>
      </c>
      <c r="AV239" s="13" t="s">
        <v>55</v>
      </c>
      <c r="AW239" s="132" t="s">
        <v>101</v>
      </c>
    </row>
    <row r="240" spans="2:63" s="13" customFormat="1" x14ac:dyDescent="0.2">
      <c r="B240" s="131"/>
      <c r="D240" s="126" t="s">
        <v>112</v>
      </c>
      <c r="E240" s="132" t="s">
        <v>1</v>
      </c>
      <c r="F240" s="133" t="s">
        <v>1214</v>
      </c>
      <c r="H240" s="134">
        <v>29.032</v>
      </c>
      <c r="L240" s="131"/>
      <c r="M240" s="135"/>
      <c r="T240" s="136"/>
      <c r="W240"/>
      <c r="X240"/>
      <c r="Y240"/>
      <c r="AR240" s="132" t="s">
        <v>112</v>
      </c>
      <c r="AS240" s="132" t="s">
        <v>65</v>
      </c>
      <c r="AT240" s="13" t="s">
        <v>65</v>
      </c>
      <c r="AU240" s="13" t="s">
        <v>30</v>
      </c>
      <c r="AV240" s="13" t="s">
        <v>55</v>
      </c>
      <c r="AW240" s="132" t="s">
        <v>101</v>
      </c>
    </row>
    <row r="241" spans="2:63" s="13" customFormat="1" x14ac:dyDescent="0.2">
      <c r="B241" s="131"/>
      <c r="D241" s="126" t="s">
        <v>112</v>
      </c>
      <c r="E241" s="132" t="s">
        <v>1</v>
      </c>
      <c r="F241" s="133" t="s">
        <v>1215</v>
      </c>
      <c r="H241" s="134">
        <v>734.00599999999997</v>
      </c>
      <c r="L241" s="131"/>
      <c r="M241" s="135"/>
      <c r="T241" s="136"/>
      <c r="W241"/>
      <c r="X241"/>
      <c r="Y241"/>
      <c r="AR241" s="132" t="s">
        <v>112</v>
      </c>
      <c r="AS241" s="132" t="s">
        <v>65</v>
      </c>
      <c r="AT241" s="13" t="s">
        <v>65</v>
      </c>
      <c r="AU241" s="13" t="s">
        <v>30</v>
      </c>
      <c r="AV241" s="13" t="s">
        <v>55</v>
      </c>
      <c r="AW241" s="132" t="s">
        <v>101</v>
      </c>
    </row>
    <row r="242" spans="2:63" s="13" customFormat="1" x14ac:dyDescent="0.2">
      <c r="B242" s="131"/>
      <c r="D242" s="126" t="s">
        <v>112</v>
      </c>
      <c r="E242" s="132" t="s">
        <v>1</v>
      </c>
      <c r="F242" s="133" t="s">
        <v>1216</v>
      </c>
      <c r="H242" s="134">
        <v>12.387</v>
      </c>
      <c r="L242" s="131"/>
      <c r="M242" s="135"/>
      <c r="T242" s="136"/>
      <c r="W242"/>
      <c r="X242"/>
      <c r="Y242"/>
      <c r="AR242" s="132" t="s">
        <v>112</v>
      </c>
      <c r="AS242" s="132" t="s">
        <v>65</v>
      </c>
      <c r="AT242" s="13" t="s">
        <v>65</v>
      </c>
      <c r="AU242" s="13" t="s">
        <v>30</v>
      </c>
      <c r="AV242" s="13" t="s">
        <v>55</v>
      </c>
      <c r="AW242" s="132" t="s">
        <v>101</v>
      </c>
    </row>
    <row r="243" spans="2:63" s="13" customFormat="1" x14ac:dyDescent="0.2">
      <c r="B243" s="131"/>
      <c r="D243" s="126" t="s">
        <v>112</v>
      </c>
      <c r="E243" s="132" t="s">
        <v>1</v>
      </c>
      <c r="F243" s="133" t="s">
        <v>1217</v>
      </c>
      <c r="H243" s="134">
        <v>344</v>
      </c>
      <c r="L243" s="131"/>
      <c r="M243" s="135"/>
      <c r="T243" s="136"/>
      <c r="W243"/>
      <c r="X243"/>
      <c r="Y243"/>
      <c r="AR243" s="132" t="s">
        <v>112</v>
      </c>
      <c r="AS243" s="132" t="s">
        <v>65</v>
      </c>
      <c r="AT243" s="13" t="s">
        <v>65</v>
      </c>
      <c r="AU243" s="13" t="s">
        <v>30</v>
      </c>
      <c r="AV243" s="13" t="s">
        <v>55</v>
      </c>
      <c r="AW243" s="132" t="s">
        <v>101</v>
      </c>
    </row>
    <row r="244" spans="2:63" s="14" customFormat="1" x14ac:dyDescent="0.2">
      <c r="B244" s="137"/>
      <c r="D244" s="126" t="s">
        <v>112</v>
      </c>
      <c r="E244" s="138" t="s">
        <v>1</v>
      </c>
      <c r="F244" s="139" t="s">
        <v>127</v>
      </c>
      <c r="H244" s="140">
        <v>2846.1529999999998</v>
      </c>
      <c r="L244" s="137"/>
      <c r="M244" s="141"/>
      <c r="T244" s="142"/>
      <c r="W244"/>
      <c r="X244"/>
      <c r="Y244"/>
      <c r="AR244" s="138" t="s">
        <v>112</v>
      </c>
      <c r="AS244" s="138" t="s">
        <v>65</v>
      </c>
      <c r="AT244" s="14" t="s">
        <v>108</v>
      </c>
      <c r="AU244" s="14" t="s">
        <v>30</v>
      </c>
      <c r="AV244" s="14" t="s">
        <v>63</v>
      </c>
      <c r="AW244" s="138" t="s">
        <v>101</v>
      </c>
    </row>
    <row r="245" spans="2:63" s="14" customFormat="1" x14ac:dyDescent="0.2">
      <c r="B245" s="137"/>
      <c r="D245" s="126"/>
      <c r="E245" s="138"/>
      <c r="F245" s="139" t="s">
        <v>1853</v>
      </c>
      <c r="H245" s="140">
        <f>H244*0.82</f>
        <v>2333.8454599999995</v>
      </c>
      <c r="L245" s="137"/>
      <c r="M245" s="141"/>
      <c r="T245" s="142"/>
      <c r="W245"/>
      <c r="X245"/>
      <c r="Y245"/>
      <c r="AR245" s="138"/>
      <c r="AS245" s="138"/>
      <c r="AW245" s="138"/>
    </row>
    <row r="246" spans="2:63" s="1" customFormat="1" ht="62.65" customHeight="1" x14ac:dyDescent="0.2">
      <c r="B246" s="109"/>
      <c r="C246" s="110" t="s">
        <v>228</v>
      </c>
      <c r="D246" s="110" t="s">
        <v>103</v>
      </c>
      <c r="E246" s="111" t="s">
        <v>194</v>
      </c>
      <c r="F246" s="112" t="s">
        <v>195</v>
      </c>
      <c r="G246" s="113" t="s">
        <v>130</v>
      </c>
      <c r="H246" s="114">
        <f>670.691*0.82</f>
        <v>549.96662000000003</v>
      </c>
      <c r="I246" s="115">
        <v>0</v>
      </c>
      <c r="J246" s="115">
        <f>ROUND(I246*H246,2)</f>
        <v>0</v>
      </c>
      <c r="K246" s="112" t="s">
        <v>107</v>
      </c>
      <c r="L246" s="28"/>
      <c r="M246" s="116" t="s">
        <v>1</v>
      </c>
      <c r="N246" s="117" t="s">
        <v>39</v>
      </c>
      <c r="O246" s="118">
        <v>5.0999999999999997E-2</v>
      </c>
      <c r="P246" s="118">
        <f>O246*H246</f>
        <v>28.04829762</v>
      </c>
      <c r="Q246" s="118">
        <v>0</v>
      </c>
      <c r="R246" s="118">
        <f>Q246*H246</f>
        <v>0</v>
      </c>
      <c r="S246" s="118">
        <v>0</v>
      </c>
      <c r="T246" s="119">
        <f>S246*H246</f>
        <v>0</v>
      </c>
      <c r="W246"/>
      <c r="X246"/>
      <c r="Y246"/>
      <c r="AP246" s="120" t="s">
        <v>108</v>
      </c>
      <c r="AR246" s="120" t="s">
        <v>103</v>
      </c>
      <c r="AS246" s="120" t="s">
        <v>65</v>
      </c>
      <c r="AW246" s="17" t="s">
        <v>101</v>
      </c>
      <c r="BC246" s="121">
        <f>IF(N246="základní",J246,0)</f>
        <v>0</v>
      </c>
      <c r="BD246" s="121">
        <f>IF(N246="snížená",J246,0)</f>
        <v>0</v>
      </c>
      <c r="BE246" s="121">
        <f>IF(N246="zákl. přenesená",J246,0)</f>
        <v>0</v>
      </c>
      <c r="BF246" s="121">
        <f>IF(N246="sníž. přenesená",J246,0)</f>
        <v>0</v>
      </c>
      <c r="BG246" s="121">
        <f>IF(N246="nulová",J246,0)</f>
        <v>0</v>
      </c>
      <c r="BH246" s="17" t="s">
        <v>63</v>
      </c>
      <c r="BI246" s="121">
        <f>ROUND(I246*H246,2)</f>
        <v>0</v>
      </c>
      <c r="BJ246" s="17" t="s">
        <v>108</v>
      </c>
      <c r="BK246" s="120" t="s">
        <v>1218</v>
      </c>
    </row>
    <row r="247" spans="2:63" s="1" customFormat="1" x14ac:dyDescent="0.2">
      <c r="B247" s="28"/>
      <c r="D247" s="122" t="s">
        <v>110</v>
      </c>
      <c r="F247" s="123" t="s">
        <v>197</v>
      </c>
      <c r="L247" s="28"/>
      <c r="M247" s="124"/>
      <c r="T247" s="48"/>
      <c r="W247"/>
      <c r="X247"/>
      <c r="Y247"/>
      <c r="AR247" s="17" t="s">
        <v>110</v>
      </c>
      <c r="AS247" s="17" t="s">
        <v>65</v>
      </c>
    </row>
    <row r="248" spans="2:63" s="1" customFormat="1" ht="62.65" customHeight="1" x14ac:dyDescent="0.2">
      <c r="B248" s="109"/>
      <c r="C248" s="110" t="s">
        <v>234</v>
      </c>
      <c r="D248" s="110" t="s">
        <v>103</v>
      </c>
      <c r="E248" s="111" t="s">
        <v>199</v>
      </c>
      <c r="F248" s="112" t="s">
        <v>200</v>
      </c>
      <c r="G248" s="113" t="s">
        <v>130</v>
      </c>
      <c r="H248" s="114">
        <f>549.539*0.82</f>
        <v>450.62197999999995</v>
      </c>
      <c r="I248" s="115">
        <v>0</v>
      </c>
      <c r="J248" s="115">
        <f>ROUND(I248*H248,2)</f>
        <v>0</v>
      </c>
      <c r="K248" s="112" t="s">
        <v>107</v>
      </c>
      <c r="L248" s="28"/>
      <c r="M248" s="116" t="s">
        <v>1</v>
      </c>
      <c r="N248" s="117" t="s">
        <v>39</v>
      </c>
      <c r="O248" s="118">
        <v>8.6999999999999994E-2</v>
      </c>
      <c r="P248" s="118">
        <f>O248*H248</f>
        <v>39.204112259999995</v>
      </c>
      <c r="Q248" s="118">
        <v>0</v>
      </c>
      <c r="R248" s="118">
        <f>Q248*H248</f>
        <v>0</v>
      </c>
      <c r="S248" s="118">
        <v>0</v>
      </c>
      <c r="T248" s="119">
        <f>S248*H248</f>
        <v>0</v>
      </c>
      <c r="W248"/>
      <c r="X248"/>
      <c r="Y248"/>
      <c r="AP248" s="120" t="s">
        <v>108</v>
      </c>
      <c r="AR248" s="120" t="s">
        <v>103</v>
      </c>
      <c r="AS248" s="120" t="s">
        <v>65</v>
      </c>
      <c r="AW248" s="17" t="s">
        <v>101</v>
      </c>
      <c r="BC248" s="121">
        <f>IF(N248="základní",J248,0)</f>
        <v>0</v>
      </c>
      <c r="BD248" s="121">
        <f>IF(N248="snížená",J248,0)</f>
        <v>0</v>
      </c>
      <c r="BE248" s="121">
        <f>IF(N248="zákl. přenesená",J248,0)</f>
        <v>0</v>
      </c>
      <c r="BF248" s="121">
        <f>IF(N248="sníž. přenesená",J248,0)</f>
        <v>0</v>
      </c>
      <c r="BG248" s="121">
        <f>IF(N248="nulová",J248,0)</f>
        <v>0</v>
      </c>
      <c r="BH248" s="17" t="s">
        <v>63</v>
      </c>
      <c r="BI248" s="121">
        <f>ROUND(I248*H248,2)</f>
        <v>0</v>
      </c>
      <c r="BJ248" s="17" t="s">
        <v>108</v>
      </c>
      <c r="BK248" s="120" t="s">
        <v>1219</v>
      </c>
    </row>
    <row r="249" spans="2:63" s="1" customFormat="1" x14ac:dyDescent="0.2">
      <c r="B249" s="28"/>
      <c r="D249" s="122" t="s">
        <v>110</v>
      </c>
      <c r="F249" s="123" t="s">
        <v>202</v>
      </c>
      <c r="L249" s="28"/>
      <c r="M249" s="124"/>
      <c r="T249" s="48"/>
      <c r="W249"/>
      <c r="X249"/>
      <c r="Y249"/>
      <c r="AR249" s="17" t="s">
        <v>110</v>
      </c>
      <c r="AS249" s="17" t="s">
        <v>65</v>
      </c>
    </row>
    <row r="250" spans="2:63" s="13" customFormat="1" x14ac:dyDescent="0.2">
      <c r="B250" s="131"/>
      <c r="D250" s="126" t="s">
        <v>112</v>
      </c>
      <c r="E250" s="132" t="s">
        <v>1</v>
      </c>
      <c r="F250" s="133" t="s">
        <v>1875</v>
      </c>
      <c r="H250" s="134">
        <f>549.539*0.82</f>
        <v>450.62197999999995</v>
      </c>
      <c r="L250" s="131"/>
      <c r="M250" s="135"/>
      <c r="T250" s="136"/>
      <c r="W250"/>
      <c r="X250"/>
      <c r="Y250"/>
      <c r="AR250" s="132" t="s">
        <v>112</v>
      </c>
      <c r="AS250" s="132" t="s">
        <v>65</v>
      </c>
      <c r="AT250" s="13" t="s">
        <v>65</v>
      </c>
      <c r="AU250" s="13" t="s">
        <v>30</v>
      </c>
      <c r="AV250" s="13" t="s">
        <v>63</v>
      </c>
      <c r="AW250" s="132" t="s">
        <v>101</v>
      </c>
    </row>
    <row r="251" spans="2:63" s="1" customFormat="1" ht="66.75" customHeight="1" x14ac:dyDescent="0.2">
      <c r="B251" s="109"/>
      <c r="C251" s="110" t="s">
        <v>239</v>
      </c>
      <c r="D251" s="110" t="s">
        <v>103</v>
      </c>
      <c r="E251" s="111" t="s">
        <v>204</v>
      </c>
      <c r="F251" s="112" t="s">
        <v>205</v>
      </c>
      <c r="G251" s="113" t="s">
        <v>130</v>
      </c>
      <c r="H251" s="114">
        <f>1648.617*0.82</f>
        <v>1351.8659399999999</v>
      </c>
      <c r="I251" s="115">
        <v>0</v>
      </c>
      <c r="J251" s="115">
        <f>ROUND(I251*H251,2)</f>
        <v>0</v>
      </c>
      <c r="K251" s="112" t="s">
        <v>107</v>
      </c>
      <c r="L251" s="28"/>
      <c r="M251" s="116" t="s">
        <v>1</v>
      </c>
      <c r="N251" s="117" t="s">
        <v>39</v>
      </c>
      <c r="O251" s="118">
        <v>5.0000000000000001E-3</v>
      </c>
      <c r="P251" s="118">
        <f>O251*H251</f>
        <v>6.7593296999999994</v>
      </c>
      <c r="Q251" s="118">
        <v>0</v>
      </c>
      <c r="R251" s="118">
        <f>Q251*H251</f>
        <v>0</v>
      </c>
      <c r="S251" s="118">
        <v>0</v>
      </c>
      <c r="T251" s="119">
        <f>S251*H251</f>
        <v>0</v>
      </c>
      <c r="W251"/>
      <c r="X251"/>
      <c r="Y251"/>
      <c r="AP251" s="120" t="s">
        <v>108</v>
      </c>
      <c r="AR251" s="120" t="s">
        <v>103</v>
      </c>
      <c r="AS251" s="120" t="s">
        <v>65</v>
      </c>
      <c r="AW251" s="17" t="s">
        <v>101</v>
      </c>
      <c r="BC251" s="121">
        <f>IF(N251="základní",J251,0)</f>
        <v>0</v>
      </c>
      <c r="BD251" s="121">
        <f>IF(N251="snížená",J251,0)</f>
        <v>0</v>
      </c>
      <c r="BE251" s="121">
        <f>IF(N251="zákl. přenesená",J251,0)</f>
        <v>0</v>
      </c>
      <c r="BF251" s="121">
        <f>IF(N251="sníž. přenesená",J251,0)</f>
        <v>0</v>
      </c>
      <c r="BG251" s="121">
        <f>IF(N251="nulová",J251,0)</f>
        <v>0</v>
      </c>
      <c r="BH251" s="17" t="s">
        <v>63</v>
      </c>
      <c r="BI251" s="121">
        <f>ROUND(I251*H251,2)</f>
        <v>0</v>
      </c>
      <c r="BJ251" s="17" t="s">
        <v>108</v>
      </c>
      <c r="BK251" s="120" t="s">
        <v>1220</v>
      </c>
    </row>
    <row r="252" spans="2:63" s="1" customFormat="1" x14ac:dyDescent="0.2">
      <c r="B252" s="28"/>
      <c r="D252" s="122" t="s">
        <v>110</v>
      </c>
      <c r="F252" s="123" t="s">
        <v>207</v>
      </c>
      <c r="L252" s="28"/>
      <c r="M252" s="124"/>
      <c r="T252" s="48"/>
      <c r="W252"/>
      <c r="X252"/>
      <c r="Y252"/>
      <c r="AR252" s="17" t="s">
        <v>110</v>
      </c>
      <c r="AS252" s="17" t="s">
        <v>65</v>
      </c>
    </row>
    <row r="253" spans="2:63" s="13" customFormat="1" x14ac:dyDescent="0.2">
      <c r="B253" s="131"/>
      <c r="D253" s="126" t="s">
        <v>112</v>
      </c>
      <c r="E253" s="132" t="s">
        <v>1</v>
      </c>
      <c r="F253" s="133" t="s">
        <v>1876</v>
      </c>
      <c r="H253" s="134">
        <f>1648.617*0.82</f>
        <v>1351.8659399999999</v>
      </c>
      <c r="L253" s="131"/>
      <c r="M253" s="135"/>
      <c r="T253" s="136"/>
      <c r="W253"/>
      <c r="X253"/>
      <c r="Y253"/>
      <c r="AR253" s="132" t="s">
        <v>112</v>
      </c>
      <c r="AS253" s="132" t="s">
        <v>65</v>
      </c>
      <c r="AT253" s="13" t="s">
        <v>65</v>
      </c>
      <c r="AU253" s="13" t="s">
        <v>30</v>
      </c>
      <c r="AV253" s="13" t="s">
        <v>63</v>
      </c>
      <c r="AW253" s="132" t="s">
        <v>101</v>
      </c>
    </row>
    <row r="254" spans="2:63" s="1" customFormat="1" ht="62.65" customHeight="1" x14ac:dyDescent="0.2">
      <c r="B254" s="109"/>
      <c r="C254" s="110" t="s">
        <v>6</v>
      </c>
      <c r="D254" s="110" t="s">
        <v>103</v>
      </c>
      <c r="E254" s="111" t="s">
        <v>209</v>
      </c>
      <c r="F254" s="112" t="s">
        <v>210</v>
      </c>
      <c r="G254" s="113" t="s">
        <v>130</v>
      </c>
      <c r="H254" s="114">
        <f>670.691*0.82</f>
        <v>549.96662000000003</v>
      </c>
      <c r="I254" s="115">
        <v>0</v>
      </c>
      <c r="J254" s="115">
        <f>ROUND(I254*H254,2)</f>
        <v>0</v>
      </c>
      <c r="K254" s="112" t="s">
        <v>107</v>
      </c>
      <c r="L254" s="28"/>
      <c r="M254" s="116" t="s">
        <v>1</v>
      </c>
      <c r="N254" s="117" t="s">
        <v>39</v>
      </c>
      <c r="O254" s="118">
        <v>9.9000000000000005E-2</v>
      </c>
      <c r="P254" s="118">
        <f>O254*H254</f>
        <v>54.446695380000008</v>
      </c>
      <c r="Q254" s="118">
        <v>0</v>
      </c>
      <c r="R254" s="118">
        <f>Q254*H254</f>
        <v>0</v>
      </c>
      <c r="S254" s="118">
        <v>0</v>
      </c>
      <c r="T254" s="119">
        <f>S254*H254</f>
        <v>0</v>
      </c>
      <c r="W254"/>
      <c r="X254"/>
      <c r="Y254"/>
      <c r="AP254" s="120" t="s">
        <v>108</v>
      </c>
      <c r="AR254" s="120" t="s">
        <v>103</v>
      </c>
      <c r="AS254" s="120" t="s">
        <v>65</v>
      </c>
      <c r="AW254" s="17" t="s">
        <v>101</v>
      </c>
      <c r="BC254" s="121">
        <f>IF(N254="základní",J254,0)</f>
        <v>0</v>
      </c>
      <c r="BD254" s="121">
        <f>IF(N254="snížená",J254,0)</f>
        <v>0</v>
      </c>
      <c r="BE254" s="121">
        <f>IF(N254="zákl. přenesená",J254,0)</f>
        <v>0</v>
      </c>
      <c r="BF254" s="121">
        <f>IF(N254="sníž. přenesená",J254,0)</f>
        <v>0</v>
      </c>
      <c r="BG254" s="121">
        <f>IF(N254="nulová",J254,0)</f>
        <v>0</v>
      </c>
      <c r="BH254" s="17" t="s">
        <v>63</v>
      </c>
      <c r="BI254" s="121">
        <f>ROUND(I254*H254,2)</f>
        <v>0</v>
      </c>
      <c r="BJ254" s="17" t="s">
        <v>108</v>
      </c>
      <c r="BK254" s="120" t="s">
        <v>1221</v>
      </c>
    </row>
    <row r="255" spans="2:63" s="1" customFormat="1" x14ac:dyDescent="0.2">
      <c r="B255" s="28"/>
      <c r="D255" s="122" t="s">
        <v>110</v>
      </c>
      <c r="F255" s="123" t="s">
        <v>212</v>
      </c>
      <c r="L255" s="28"/>
      <c r="M255" s="124"/>
      <c r="T255" s="48"/>
      <c r="W255"/>
      <c r="X255"/>
      <c r="Y255"/>
      <c r="AR255" s="17" t="s">
        <v>110</v>
      </c>
      <c r="AS255" s="17" t="s">
        <v>65</v>
      </c>
    </row>
    <row r="256" spans="2:63" s="1" customFormat="1" ht="66.75" customHeight="1" x14ac:dyDescent="0.2">
      <c r="B256" s="109"/>
      <c r="C256" s="110" t="s">
        <v>256</v>
      </c>
      <c r="D256" s="110" t="s">
        <v>103</v>
      </c>
      <c r="E256" s="111" t="s">
        <v>213</v>
      </c>
      <c r="F256" s="112" t="s">
        <v>214</v>
      </c>
      <c r="G256" s="113" t="s">
        <v>130</v>
      </c>
      <c r="H256" s="114">
        <f>2012.073*0.82</f>
        <v>1649.89986</v>
      </c>
      <c r="I256" s="115">
        <v>0</v>
      </c>
      <c r="J256" s="115">
        <f>ROUND(I256*H256,2)</f>
        <v>0</v>
      </c>
      <c r="K256" s="112" t="s">
        <v>107</v>
      </c>
      <c r="L256" s="28"/>
      <c r="M256" s="116" t="s">
        <v>1</v>
      </c>
      <c r="N256" s="117" t="s">
        <v>39</v>
      </c>
      <c r="O256" s="118">
        <v>6.0000000000000001E-3</v>
      </c>
      <c r="P256" s="118">
        <f>O256*H256</f>
        <v>9.8993991599999998</v>
      </c>
      <c r="Q256" s="118">
        <v>0</v>
      </c>
      <c r="R256" s="118">
        <f>Q256*H256</f>
        <v>0</v>
      </c>
      <c r="S256" s="118">
        <v>0</v>
      </c>
      <c r="T256" s="119">
        <f>S256*H256</f>
        <v>0</v>
      </c>
      <c r="W256"/>
      <c r="X256"/>
      <c r="Y256"/>
      <c r="AP256" s="120" t="s">
        <v>108</v>
      </c>
      <c r="AR256" s="120" t="s">
        <v>103</v>
      </c>
      <c r="AS256" s="120" t="s">
        <v>65</v>
      </c>
      <c r="AW256" s="17" t="s">
        <v>101</v>
      </c>
      <c r="BC256" s="121">
        <f>IF(N256="základní",J256,0)</f>
        <v>0</v>
      </c>
      <c r="BD256" s="121">
        <f>IF(N256="snížená",J256,0)</f>
        <v>0</v>
      </c>
      <c r="BE256" s="121">
        <f>IF(N256="zákl. přenesená",J256,0)</f>
        <v>0</v>
      </c>
      <c r="BF256" s="121">
        <f>IF(N256="sníž. přenesená",J256,0)</f>
        <v>0</v>
      </c>
      <c r="BG256" s="121">
        <f>IF(N256="nulová",J256,0)</f>
        <v>0</v>
      </c>
      <c r="BH256" s="17" t="s">
        <v>63</v>
      </c>
      <c r="BI256" s="121">
        <f>ROUND(I256*H256,2)</f>
        <v>0</v>
      </c>
      <c r="BJ256" s="17" t="s">
        <v>108</v>
      </c>
      <c r="BK256" s="120" t="s">
        <v>1222</v>
      </c>
    </row>
    <row r="257" spans="2:63" s="1" customFormat="1" x14ac:dyDescent="0.2">
      <c r="B257" s="28"/>
      <c r="D257" s="122" t="s">
        <v>110</v>
      </c>
      <c r="F257" s="123" t="s">
        <v>216</v>
      </c>
      <c r="L257" s="28"/>
      <c r="M257" s="124"/>
      <c r="T257" s="48"/>
      <c r="W257"/>
      <c r="X257"/>
      <c r="Y257"/>
      <c r="AR257" s="17" t="s">
        <v>110</v>
      </c>
      <c r="AS257" s="17" t="s">
        <v>65</v>
      </c>
    </row>
    <row r="258" spans="2:63" s="13" customFormat="1" x14ac:dyDescent="0.2">
      <c r="B258" s="131"/>
      <c r="D258" s="126" t="s">
        <v>112</v>
      </c>
      <c r="E258" s="132" t="s">
        <v>1</v>
      </c>
      <c r="F258" s="133" t="s">
        <v>1877</v>
      </c>
      <c r="H258" s="134">
        <f>2012.073*0.82</f>
        <v>1649.89986</v>
      </c>
      <c r="L258" s="131"/>
      <c r="M258" s="135"/>
      <c r="T258" s="136"/>
      <c r="W258"/>
      <c r="X258"/>
      <c r="Y258"/>
      <c r="AR258" s="132" t="s">
        <v>112</v>
      </c>
      <c r="AS258" s="132" t="s">
        <v>65</v>
      </c>
      <c r="AT258" s="13" t="s">
        <v>65</v>
      </c>
      <c r="AU258" s="13" t="s">
        <v>30</v>
      </c>
      <c r="AV258" s="13" t="s">
        <v>63</v>
      </c>
      <c r="AW258" s="132" t="s">
        <v>101</v>
      </c>
    </row>
    <row r="259" spans="2:63" s="1" customFormat="1" ht="44.25" customHeight="1" x14ac:dyDescent="0.2">
      <c r="B259" s="109"/>
      <c r="C259" s="110" t="s">
        <v>261</v>
      </c>
      <c r="D259" s="110" t="s">
        <v>103</v>
      </c>
      <c r="E259" s="111" t="s">
        <v>219</v>
      </c>
      <c r="F259" s="112" t="s">
        <v>220</v>
      </c>
      <c r="G259" s="113" t="s">
        <v>130</v>
      </c>
      <c r="H259" s="114">
        <f>2515.563*0.82</f>
        <v>2062.7616600000001</v>
      </c>
      <c r="I259" s="115">
        <v>0</v>
      </c>
      <c r="J259" s="115">
        <f>ROUND(I259*H259,2)</f>
        <v>0</v>
      </c>
      <c r="K259" s="112" t="s">
        <v>107</v>
      </c>
      <c r="L259" s="28"/>
      <c r="M259" s="116" t="s">
        <v>1</v>
      </c>
      <c r="N259" s="117" t="s">
        <v>39</v>
      </c>
      <c r="O259" s="118">
        <v>7.1999999999999995E-2</v>
      </c>
      <c r="P259" s="118">
        <f>O259*H259</f>
        <v>148.51883952</v>
      </c>
      <c r="Q259" s="118">
        <v>0</v>
      </c>
      <c r="R259" s="118">
        <f>Q259*H259</f>
        <v>0</v>
      </c>
      <c r="S259" s="118">
        <v>0</v>
      </c>
      <c r="T259" s="119">
        <f>S259*H259</f>
        <v>0</v>
      </c>
      <c r="W259"/>
      <c r="X259"/>
      <c r="Y259"/>
      <c r="AP259" s="120" t="s">
        <v>108</v>
      </c>
      <c r="AR259" s="120" t="s">
        <v>103</v>
      </c>
      <c r="AS259" s="120" t="s">
        <v>65</v>
      </c>
      <c r="AW259" s="17" t="s">
        <v>101</v>
      </c>
      <c r="BC259" s="121">
        <f>IF(N259="základní",J259,0)</f>
        <v>0</v>
      </c>
      <c r="BD259" s="121">
        <f>IF(N259="snížená",J259,0)</f>
        <v>0</v>
      </c>
      <c r="BE259" s="121">
        <f>IF(N259="zákl. přenesená",J259,0)</f>
        <v>0</v>
      </c>
      <c r="BF259" s="121">
        <f>IF(N259="sníž. přenesená",J259,0)</f>
        <v>0</v>
      </c>
      <c r="BG259" s="121">
        <f>IF(N259="nulová",J259,0)</f>
        <v>0</v>
      </c>
      <c r="BH259" s="17" t="s">
        <v>63</v>
      </c>
      <c r="BI259" s="121">
        <f>ROUND(I259*H259,2)</f>
        <v>0</v>
      </c>
      <c r="BJ259" s="17" t="s">
        <v>108</v>
      </c>
      <c r="BK259" s="120" t="s">
        <v>1223</v>
      </c>
    </row>
    <row r="260" spans="2:63" s="1" customFormat="1" x14ac:dyDescent="0.2">
      <c r="B260" s="28"/>
      <c r="D260" s="122" t="s">
        <v>110</v>
      </c>
      <c r="F260" s="123" t="s">
        <v>222</v>
      </c>
      <c r="L260" s="28"/>
      <c r="M260" s="124"/>
      <c r="T260" s="48"/>
      <c r="W260"/>
      <c r="X260"/>
      <c r="Y260"/>
      <c r="AR260" s="17" t="s">
        <v>110</v>
      </c>
      <c r="AS260" s="17" t="s">
        <v>65</v>
      </c>
    </row>
    <row r="261" spans="2:63" s="13" customFormat="1" x14ac:dyDescent="0.2">
      <c r="B261" s="131"/>
      <c r="D261" s="126" t="s">
        <v>112</v>
      </c>
      <c r="E261" s="132" t="s">
        <v>1</v>
      </c>
      <c r="F261" s="133" t="s">
        <v>1224</v>
      </c>
      <c r="H261" s="134">
        <v>1109.4680000000001</v>
      </c>
      <c r="L261" s="131"/>
      <c r="M261" s="135"/>
      <c r="T261" s="136"/>
      <c r="W261"/>
      <c r="X261"/>
      <c r="Y261"/>
      <c r="AR261" s="132" t="s">
        <v>112</v>
      </c>
      <c r="AS261" s="132" t="s">
        <v>65</v>
      </c>
      <c r="AT261" s="13" t="s">
        <v>65</v>
      </c>
      <c r="AU261" s="13" t="s">
        <v>30</v>
      </c>
      <c r="AV261" s="13" t="s">
        <v>55</v>
      </c>
      <c r="AW261" s="132" t="s">
        <v>101</v>
      </c>
    </row>
    <row r="262" spans="2:63" s="13" customFormat="1" x14ac:dyDescent="0.2">
      <c r="B262" s="131"/>
      <c r="D262" s="126" t="s">
        <v>112</v>
      </c>
      <c r="E262" s="132" t="s">
        <v>1</v>
      </c>
      <c r="F262" s="133" t="s">
        <v>1213</v>
      </c>
      <c r="H262" s="134">
        <v>286.67</v>
      </c>
      <c r="L262" s="131"/>
      <c r="M262" s="135"/>
      <c r="T262" s="136"/>
      <c r="W262"/>
      <c r="X262"/>
      <c r="Y262"/>
      <c r="AR262" s="132" t="s">
        <v>112</v>
      </c>
      <c r="AS262" s="132" t="s">
        <v>65</v>
      </c>
      <c r="AT262" s="13" t="s">
        <v>65</v>
      </c>
      <c r="AU262" s="13" t="s">
        <v>30</v>
      </c>
      <c r="AV262" s="13" t="s">
        <v>55</v>
      </c>
      <c r="AW262" s="132" t="s">
        <v>101</v>
      </c>
    </row>
    <row r="263" spans="2:63" s="13" customFormat="1" x14ac:dyDescent="0.2">
      <c r="B263" s="131"/>
      <c r="D263" s="126" t="s">
        <v>112</v>
      </c>
      <c r="E263" s="132" t="s">
        <v>1</v>
      </c>
      <c r="F263" s="133" t="s">
        <v>1214</v>
      </c>
      <c r="H263" s="134">
        <v>29.032</v>
      </c>
      <c r="L263" s="131"/>
      <c r="M263" s="135"/>
      <c r="T263" s="136"/>
      <c r="W263"/>
      <c r="X263"/>
      <c r="Y263"/>
      <c r="AR263" s="132" t="s">
        <v>112</v>
      </c>
      <c r="AS263" s="132" t="s">
        <v>65</v>
      </c>
      <c r="AT263" s="13" t="s">
        <v>65</v>
      </c>
      <c r="AU263" s="13" t="s">
        <v>30</v>
      </c>
      <c r="AV263" s="13" t="s">
        <v>55</v>
      </c>
      <c r="AW263" s="132" t="s">
        <v>101</v>
      </c>
    </row>
    <row r="264" spans="2:63" s="13" customFormat="1" x14ac:dyDescent="0.2">
      <c r="B264" s="131"/>
      <c r="D264" s="126" t="s">
        <v>112</v>
      </c>
      <c r="E264" s="132" t="s">
        <v>1</v>
      </c>
      <c r="F264" s="133" t="s">
        <v>1215</v>
      </c>
      <c r="H264" s="134">
        <v>734.00599999999997</v>
      </c>
      <c r="L264" s="131"/>
      <c r="M264" s="135"/>
      <c r="T264" s="136"/>
      <c r="W264"/>
      <c r="X264"/>
      <c r="Y264"/>
      <c r="AR264" s="132" t="s">
        <v>112</v>
      </c>
      <c r="AS264" s="132" t="s">
        <v>65</v>
      </c>
      <c r="AT264" s="13" t="s">
        <v>65</v>
      </c>
      <c r="AU264" s="13" t="s">
        <v>30</v>
      </c>
      <c r="AV264" s="13" t="s">
        <v>55</v>
      </c>
      <c r="AW264" s="132" t="s">
        <v>101</v>
      </c>
    </row>
    <row r="265" spans="2:63" s="13" customFormat="1" x14ac:dyDescent="0.2">
      <c r="B265" s="131"/>
      <c r="D265" s="126" t="s">
        <v>112</v>
      </c>
      <c r="E265" s="132" t="s">
        <v>1</v>
      </c>
      <c r="F265" s="133" t="s">
        <v>1216</v>
      </c>
      <c r="H265" s="134">
        <v>12.387</v>
      </c>
      <c r="L265" s="131"/>
      <c r="M265" s="135"/>
      <c r="T265" s="136"/>
      <c r="W265"/>
      <c r="X265"/>
      <c r="Y265"/>
      <c r="AR265" s="132" t="s">
        <v>112</v>
      </c>
      <c r="AS265" s="132" t="s">
        <v>65</v>
      </c>
      <c r="AT265" s="13" t="s">
        <v>65</v>
      </c>
      <c r="AU265" s="13" t="s">
        <v>30</v>
      </c>
      <c r="AV265" s="13" t="s">
        <v>55</v>
      </c>
      <c r="AW265" s="132" t="s">
        <v>101</v>
      </c>
    </row>
    <row r="266" spans="2:63" s="13" customFormat="1" x14ac:dyDescent="0.2">
      <c r="B266" s="131"/>
      <c r="D266" s="126" t="s">
        <v>112</v>
      </c>
      <c r="E266" s="132" t="s">
        <v>1</v>
      </c>
      <c r="F266" s="133" t="s">
        <v>1217</v>
      </c>
      <c r="H266" s="134">
        <v>344</v>
      </c>
      <c r="L266" s="131"/>
      <c r="M266" s="135"/>
      <c r="T266" s="136"/>
      <c r="W266"/>
      <c r="X266"/>
      <c r="Y266"/>
      <c r="AR266" s="132" t="s">
        <v>112</v>
      </c>
      <c r="AS266" s="132" t="s">
        <v>65</v>
      </c>
      <c r="AT266" s="13" t="s">
        <v>65</v>
      </c>
      <c r="AU266" s="13" t="s">
        <v>30</v>
      </c>
      <c r="AV266" s="13" t="s">
        <v>55</v>
      </c>
      <c r="AW266" s="132" t="s">
        <v>101</v>
      </c>
    </row>
    <row r="267" spans="2:63" s="14" customFormat="1" x14ac:dyDescent="0.2">
      <c r="B267" s="137"/>
      <c r="D267" s="126" t="s">
        <v>112</v>
      </c>
      <c r="E267" s="138" t="s">
        <v>1</v>
      </c>
      <c r="F267" s="139" t="s">
        <v>127</v>
      </c>
      <c r="H267" s="140">
        <v>2515.5630000000001</v>
      </c>
      <c r="L267" s="137"/>
      <c r="M267" s="141"/>
      <c r="T267" s="142"/>
      <c r="W267"/>
      <c r="X267"/>
      <c r="Y267"/>
      <c r="AR267" s="138" t="s">
        <v>112</v>
      </c>
      <c r="AS267" s="138" t="s">
        <v>65</v>
      </c>
      <c r="AT267" s="14" t="s">
        <v>108</v>
      </c>
      <c r="AU267" s="14" t="s">
        <v>30</v>
      </c>
      <c r="AV267" s="14" t="s">
        <v>63</v>
      </c>
      <c r="AW267" s="138" t="s">
        <v>101</v>
      </c>
    </row>
    <row r="268" spans="2:63" s="14" customFormat="1" x14ac:dyDescent="0.2">
      <c r="B268" s="137"/>
      <c r="D268" s="126"/>
      <c r="E268" s="138"/>
      <c r="F268" s="139" t="s">
        <v>1853</v>
      </c>
      <c r="H268" s="140">
        <f>H267*0.82</f>
        <v>2062.7616600000001</v>
      </c>
      <c r="L268" s="137"/>
      <c r="M268" s="141"/>
      <c r="T268" s="142"/>
      <c r="W268"/>
      <c r="X268"/>
      <c r="Y268"/>
      <c r="AR268" s="138"/>
      <c r="AS268" s="138"/>
      <c r="AW268" s="138"/>
    </row>
    <row r="269" spans="2:63" s="1" customFormat="1" ht="44.25" customHeight="1" x14ac:dyDescent="0.2">
      <c r="B269" s="109"/>
      <c r="C269" s="110" t="s">
        <v>275</v>
      </c>
      <c r="D269" s="110" t="s">
        <v>103</v>
      </c>
      <c r="E269" s="111" t="s">
        <v>224</v>
      </c>
      <c r="F269" s="112" t="s">
        <v>225</v>
      </c>
      <c r="G269" s="113" t="s">
        <v>130</v>
      </c>
      <c r="H269" s="114">
        <f>670.691*0.82</f>
        <v>549.96662000000003</v>
      </c>
      <c r="I269" s="115">
        <v>0</v>
      </c>
      <c r="J269" s="115">
        <f>ROUND(I269*H269,2)</f>
        <v>0</v>
      </c>
      <c r="K269" s="112" t="s">
        <v>107</v>
      </c>
      <c r="L269" s="28"/>
      <c r="M269" s="116" t="s">
        <v>1</v>
      </c>
      <c r="N269" s="117" t="s">
        <v>39</v>
      </c>
      <c r="O269" s="118">
        <v>9.6000000000000002E-2</v>
      </c>
      <c r="P269" s="118">
        <f>O269*H269</f>
        <v>52.796795520000003</v>
      </c>
      <c r="Q269" s="118">
        <v>0</v>
      </c>
      <c r="R269" s="118">
        <f>Q269*H269</f>
        <v>0</v>
      </c>
      <c r="S269" s="118">
        <v>0</v>
      </c>
      <c r="T269" s="119">
        <f>S269*H269</f>
        <v>0</v>
      </c>
      <c r="W269"/>
      <c r="X269"/>
      <c r="Y269"/>
      <c r="AP269" s="120" t="s">
        <v>108</v>
      </c>
      <c r="AR269" s="120" t="s">
        <v>103</v>
      </c>
      <c r="AS269" s="120" t="s">
        <v>65</v>
      </c>
      <c r="AW269" s="17" t="s">
        <v>101</v>
      </c>
      <c r="BC269" s="121">
        <f>IF(N269="základní",J269,0)</f>
        <v>0</v>
      </c>
      <c r="BD269" s="121">
        <f>IF(N269="snížená",J269,0)</f>
        <v>0</v>
      </c>
      <c r="BE269" s="121">
        <f>IF(N269="zákl. přenesená",J269,0)</f>
        <v>0</v>
      </c>
      <c r="BF269" s="121">
        <f>IF(N269="sníž. přenesená",J269,0)</f>
        <v>0</v>
      </c>
      <c r="BG269" s="121">
        <f>IF(N269="nulová",J269,0)</f>
        <v>0</v>
      </c>
      <c r="BH269" s="17" t="s">
        <v>63</v>
      </c>
      <c r="BI269" s="121">
        <f>ROUND(I269*H269,2)</f>
        <v>0</v>
      </c>
      <c r="BJ269" s="17" t="s">
        <v>108</v>
      </c>
      <c r="BK269" s="120" t="s">
        <v>1225</v>
      </c>
    </row>
    <row r="270" spans="2:63" s="1" customFormat="1" x14ac:dyDescent="0.2">
      <c r="B270" s="28"/>
      <c r="D270" s="122" t="s">
        <v>110</v>
      </c>
      <c r="F270" s="123" t="s">
        <v>227</v>
      </c>
      <c r="L270" s="28"/>
      <c r="M270" s="124"/>
      <c r="T270" s="48"/>
      <c r="W270"/>
      <c r="X270"/>
      <c r="Y270"/>
      <c r="AR270" s="17" t="s">
        <v>110</v>
      </c>
      <c r="AS270" s="17" t="s">
        <v>65</v>
      </c>
    </row>
    <row r="271" spans="2:63" s="1" customFormat="1" ht="62.65" customHeight="1" x14ac:dyDescent="0.2">
      <c r="B271" s="109"/>
      <c r="C271" s="110" t="s">
        <v>288</v>
      </c>
      <c r="D271" s="110" t="s">
        <v>103</v>
      </c>
      <c r="E271" s="111" t="s">
        <v>1226</v>
      </c>
      <c r="F271" s="112" t="s">
        <v>1227</v>
      </c>
      <c r="G271" s="113" t="s">
        <v>130</v>
      </c>
      <c r="H271" s="114">
        <f>101.262*0.82</f>
        <v>83.034839999999988</v>
      </c>
      <c r="I271" s="115">
        <v>0</v>
      </c>
      <c r="J271" s="115">
        <f>ROUND(I271*H271,2)</f>
        <v>0</v>
      </c>
      <c r="K271" s="112" t="s">
        <v>107</v>
      </c>
      <c r="L271" s="28"/>
      <c r="M271" s="116" t="s">
        <v>1</v>
      </c>
      <c r="N271" s="117" t="s">
        <v>39</v>
      </c>
      <c r="O271" s="118">
        <v>0.39400000000000002</v>
      </c>
      <c r="P271" s="118">
        <f>O271*H271</f>
        <v>32.715726959999998</v>
      </c>
      <c r="Q271" s="118">
        <v>0</v>
      </c>
      <c r="R271" s="118">
        <f>Q271*H271</f>
        <v>0</v>
      </c>
      <c r="S271" s="118">
        <v>0</v>
      </c>
      <c r="T271" s="119">
        <f>S271*H271</f>
        <v>0</v>
      </c>
      <c r="W271"/>
      <c r="X271"/>
      <c r="Y271"/>
      <c r="AP271" s="120" t="s">
        <v>108</v>
      </c>
      <c r="AR271" s="120" t="s">
        <v>103</v>
      </c>
      <c r="AS271" s="120" t="s">
        <v>65</v>
      </c>
      <c r="AW271" s="17" t="s">
        <v>101</v>
      </c>
      <c r="BC271" s="121">
        <f>IF(N271="základní",J271,0)</f>
        <v>0</v>
      </c>
      <c r="BD271" s="121">
        <f>IF(N271="snížená",J271,0)</f>
        <v>0</v>
      </c>
      <c r="BE271" s="121">
        <f>IF(N271="zákl. přenesená",J271,0)</f>
        <v>0</v>
      </c>
      <c r="BF271" s="121">
        <f>IF(N271="sníž. přenesená",J271,0)</f>
        <v>0</v>
      </c>
      <c r="BG271" s="121">
        <f>IF(N271="nulová",J271,0)</f>
        <v>0</v>
      </c>
      <c r="BH271" s="17" t="s">
        <v>63</v>
      </c>
      <c r="BI271" s="121">
        <f>ROUND(I271*H271,2)</f>
        <v>0</v>
      </c>
      <c r="BJ271" s="17" t="s">
        <v>108</v>
      </c>
      <c r="BK271" s="120" t="s">
        <v>1228</v>
      </c>
    </row>
    <row r="272" spans="2:63" s="1" customFormat="1" x14ac:dyDescent="0.2">
      <c r="B272" s="28"/>
      <c r="D272" s="122" t="s">
        <v>110</v>
      </c>
      <c r="F272" s="123" t="s">
        <v>1229</v>
      </c>
      <c r="L272" s="28"/>
      <c r="M272" s="124"/>
      <c r="T272" s="48"/>
      <c r="W272"/>
      <c r="X272"/>
      <c r="Y272"/>
      <c r="AR272" s="17" t="s">
        <v>110</v>
      </c>
      <c r="AS272" s="17" t="s">
        <v>65</v>
      </c>
    </row>
    <row r="273" spans="2:63" s="12" customFormat="1" x14ac:dyDescent="0.2">
      <c r="B273" s="125"/>
      <c r="D273" s="126" t="s">
        <v>112</v>
      </c>
      <c r="E273" s="127" t="s">
        <v>1</v>
      </c>
      <c r="F273" s="128" t="s">
        <v>1230</v>
      </c>
      <c r="H273" s="127" t="s">
        <v>1</v>
      </c>
      <c r="L273" s="125"/>
      <c r="M273" s="129"/>
      <c r="T273" s="130"/>
      <c r="W273"/>
      <c r="X273"/>
      <c r="Y273"/>
      <c r="AR273" s="127" t="s">
        <v>112</v>
      </c>
      <c r="AS273" s="127" t="s">
        <v>65</v>
      </c>
      <c r="AT273" s="12" t="s">
        <v>63</v>
      </c>
      <c r="AU273" s="12" t="s">
        <v>30</v>
      </c>
      <c r="AV273" s="12" t="s">
        <v>55</v>
      </c>
      <c r="AW273" s="127" t="s">
        <v>101</v>
      </c>
    </row>
    <row r="274" spans="2:63" s="12" customFormat="1" x14ac:dyDescent="0.2">
      <c r="B274" s="125"/>
      <c r="D274" s="126" t="s">
        <v>112</v>
      </c>
      <c r="E274" s="127" t="s">
        <v>1</v>
      </c>
      <c r="F274" s="128" t="s">
        <v>1231</v>
      </c>
      <c r="H274" s="127" t="s">
        <v>1</v>
      </c>
      <c r="L274" s="125"/>
      <c r="M274" s="129"/>
      <c r="T274" s="130"/>
      <c r="W274"/>
      <c r="X274"/>
      <c r="Y274"/>
      <c r="AR274" s="127" t="s">
        <v>112</v>
      </c>
      <c r="AS274" s="127" t="s">
        <v>65</v>
      </c>
      <c r="AT274" s="12" t="s">
        <v>63</v>
      </c>
      <c r="AU274" s="12" t="s">
        <v>30</v>
      </c>
      <c r="AV274" s="12" t="s">
        <v>55</v>
      </c>
      <c r="AW274" s="127" t="s">
        <v>101</v>
      </c>
    </row>
    <row r="275" spans="2:63" s="13" customFormat="1" x14ac:dyDescent="0.2">
      <c r="B275" s="131"/>
      <c r="D275" s="126" t="s">
        <v>112</v>
      </c>
      <c r="E275" s="132" t="s">
        <v>1</v>
      </c>
      <c r="F275" s="133" t="s">
        <v>1232</v>
      </c>
      <c r="H275" s="134">
        <v>9</v>
      </c>
      <c r="L275" s="131"/>
      <c r="M275" s="135"/>
      <c r="T275" s="136"/>
      <c r="W275"/>
      <c r="X275"/>
      <c r="Y275"/>
      <c r="AR275" s="132" t="s">
        <v>112</v>
      </c>
      <c r="AS275" s="132" t="s">
        <v>65</v>
      </c>
      <c r="AT275" s="13" t="s">
        <v>65</v>
      </c>
      <c r="AU275" s="13" t="s">
        <v>30</v>
      </c>
      <c r="AV275" s="13" t="s">
        <v>55</v>
      </c>
      <c r="AW275" s="132" t="s">
        <v>101</v>
      </c>
    </row>
    <row r="276" spans="2:63" s="13" customFormat="1" x14ac:dyDescent="0.2">
      <c r="B276" s="131"/>
      <c r="D276" s="126" t="s">
        <v>112</v>
      </c>
      <c r="E276" s="132" t="s">
        <v>1</v>
      </c>
      <c r="F276" s="133" t="s">
        <v>1233</v>
      </c>
      <c r="H276" s="134">
        <v>16.875</v>
      </c>
      <c r="L276" s="131"/>
      <c r="M276" s="135"/>
      <c r="T276" s="136"/>
      <c r="W276"/>
      <c r="X276"/>
      <c r="Y276"/>
      <c r="AR276" s="132" t="s">
        <v>112</v>
      </c>
      <c r="AS276" s="132" t="s">
        <v>65</v>
      </c>
      <c r="AT276" s="13" t="s">
        <v>65</v>
      </c>
      <c r="AU276" s="13" t="s">
        <v>30</v>
      </c>
      <c r="AV276" s="13" t="s">
        <v>55</v>
      </c>
      <c r="AW276" s="132" t="s">
        <v>101</v>
      </c>
    </row>
    <row r="277" spans="2:63" s="13" customFormat="1" x14ac:dyDescent="0.2">
      <c r="B277" s="131"/>
      <c r="D277" s="126" t="s">
        <v>112</v>
      </c>
      <c r="E277" s="132" t="s">
        <v>1</v>
      </c>
      <c r="F277" s="133" t="s">
        <v>1234</v>
      </c>
      <c r="H277" s="134">
        <v>6.9749999999999996</v>
      </c>
      <c r="L277" s="131"/>
      <c r="M277" s="135"/>
      <c r="T277" s="136"/>
      <c r="W277"/>
      <c r="X277"/>
      <c r="Y277"/>
      <c r="AR277" s="132" t="s">
        <v>112</v>
      </c>
      <c r="AS277" s="132" t="s">
        <v>65</v>
      </c>
      <c r="AT277" s="13" t="s">
        <v>65</v>
      </c>
      <c r="AU277" s="13" t="s">
        <v>30</v>
      </c>
      <c r="AV277" s="13" t="s">
        <v>55</v>
      </c>
      <c r="AW277" s="132" t="s">
        <v>101</v>
      </c>
    </row>
    <row r="278" spans="2:63" s="13" customFormat="1" x14ac:dyDescent="0.2">
      <c r="B278" s="131"/>
      <c r="D278" s="126" t="s">
        <v>112</v>
      </c>
      <c r="E278" s="132" t="s">
        <v>1</v>
      </c>
      <c r="F278" s="133" t="s">
        <v>1235</v>
      </c>
      <c r="H278" s="134">
        <v>7.0129999999999999</v>
      </c>
      <c r="L278" s="131"/>
      <c r="M278" s="135"/>
      <c r="T278" s="136"/>
      <c r="W278"/>
      <c r="X278"/>
      <c r="Y278"/>
      <c r="AR278" s="132" t="s">
        <v>112</v>
      </c>
      <c r="AS278" s="132" t="s">
        <v>65</v>
      </c>
      <c r="AT278" s="13" t="s">
        <v>65</v>
      </c>
      <c r="AU278" s="13" t="s">
        <v>30</v>
      </c>
      <c r="AV278" s="13" t="s">
        <v>55</v>
      </c>
      <c r="AW278" s="132" t="s">
        <v>101</v>
      </c>
    </row>
    <row r="279" spans="2:63" s="13" customFormat="1" x14ac:dyDescent="0.2">
      <c r="B279" s="131"/>
      <c r="D279" s="126" t="s">
        <v>112</v>
      </c>
      <c r="E279" s="132" t="s">
        <v>1</v>
      </c>
      <c r="F279" s="133" t="s">
        <v>1236</v>
      </c>
      <c r="H279" s="134">
        <v>10.5</v>
      </c>
      <c r="L279" s="131"/>
      <c r="M279" s="135"/>
      <c r="T279" s="136"/>
      <c r="W279"/>
      <c r="X279"/>
      <c r="Y279"/>
      <c r="AR279" s="132" t="s">
        <v>112</v>
      </c>
      <c r="AS279" s="132" t="s">
        <v>65</v>
      </c>
      <c r="AT279" s="13" t="s">
        <v>65</v>
      </c>
      <c r="AU279" s="13" t="s">
        <v>30</v>
      </c>
      <c r="AV279" s="13" t="s">
        <v>55</v>
      </c>
      <c r="AW279" s="132" t="s">
        <v>101</v>
      </c>
    </row>
    <row r="280" spans="2:63" s="13" customFormat="1" x14ac:dyDescent="0.2">
      <c r="B280" s="131"/>
      <c r="D280" s="126" t="s">
        <v>112</v>
      </c>
      <c r="E280" s="132" t="s">
        <v>1</v>
      </c>
      <c r="F280" s="133" t="s">
        <v>1237</v>
      </c>
      <c r="H280" s="134">
        <v>9.5630000000000006</v>
      </c>
      <c r="L280" s="131"/>
      <c r="M280" s="135"/>
      <c r="T280" s="136"/>
      <c r="W280"/>
      <c r="X280"/>
      <c r="Y280"/>
      <c r="AR280" s="132" t="s">
        <v>112</v>
      </c>
      <c r="AS280" s="132" t="s">
        <v>65</v>
      </c>
      <c r="AT280" s="13" t="s">
        <v>65</v>
      </c>
      <c r="AU280" s="13" t="s">
        <v>30</v>
      </c>
      <c r="AV280" s="13" t="s">
        <v>55</v>
      </c>
      <c r="AW280" s="132" t="s">
        <v>101</v>
      </c>
    </row>
    <row r="281" spans="2:63" s="13" customFormat="1" x14ac:dyDescent="0.2">
      <c r="B281" s="131"/>
      <c r="D281" s="126" t="s">
        <v>112</v>
      </c>
      <c r="E281" s="132" t="s">
        <v>1</v>
      </c>
      <c r="F281" s="133" t="s">
        <v>1238</v>
      </c>
      <c r="H281" s="134">
        <v>13.736000000000001</v>
      </c>
      <c r="L281" s="131"/>
      <c r="M281" s="135"/>
      <c r="T281" s="136"/>
      <c r="W281"/>
      <c r="X281"/>
      <c r="Y281"/>
      <c r="AR281" s="132" t="s">
        <v>112</v>
      </c>
      <c r="AS281" s="132" t="s">
        <v>65</v>
      </c>
      <c r="AT281" s="13" t="s">
        <v>65</v>
      </c>
      <c r="AU281" s="13" t="s">
        <v>30</v>
      </c>
      <c r="AV281" s="13" t="s">
        <v>55</v>
      </c>
      <c r="AW281" s="132" t="s">
        <v>101</v>
      </c>
    </row>
    <row r="282" spans="2:63" s="13" customFormat="1" x14ac:dyDescent="0.2">
      <c r="B282" s="131"/>
      <c r="D282" s="126" t="s">
        <v>112</v>
      </c>
      <c r="E282" s="132" t="s">
        <v>1</v>
      </c>
      <c r="F282" s="133" t="s">
        <v>1239</v>
      </c>
      <c r="H282" s="134">
        <v>3.6</v>
      </c>
      <c r="L282" s="131"/>
      <c r="M282" s="135"/>
      <c r="T282" s="136"/>
      <c r="W282"/>
      <c r="X282"/>
      <c r="Y282"/>
      <c r="AR282" s="132" t="s">
        <v>112</v>
      </c>
      <c r="AS282" s="132" t="s">
        <v>65</v>
      </c>
      <c r="AT282" s="13" t="s">
        <v>65</v>
      </c>
      <c r="AU282" s="13" t="s">
        <v>30</v>
      </c>
      <c r="AV282" s="13" t="s">
        <v>55</v>
      </c>
      <c r="AW282" s="132" t="s">
        <v>101</v>
      </c>
    </row>
    <row r="283" spans="2:63" s="13" customFormat="1" x14ac:dyDescent="0.2">
      <c r="B283" s="131"/>
      <c r="D283" s="126" t="s">
        <v>112</v>
      </c>
      <c r="E283" s="132" t="s">
        <v>1</v>
      </c>
      <c r="F283" s="133" t="s">
        <v>1240</v>
      </c>
      <c r="H283" s="134">
        <v>24</v>
      </c>
      <c r="L283" s="131"/>
      <c r="M283" s="135"/>
      <c r="T283" s="136"/>
      <c r="W283"/>
      <c r="X283"/>
      <c r="Y283"/>
      <c r="AR283" s="132" t="s">
        <v>112</v>
      </c>
      <c r="AS283" s="132" t="s">
        <v>65</v>
      </c>
      <c r="AT283" s="13" t="s">
        <v>65</v>
      </c>
      <c r="AU283" s="13" t="s">
        <v>30</v>
      </c>
      <c r="AV283" s="13" t="s">
        <v>55</v>
      </c>
      <c r="AW283" s="132" t="s">
        <v>101</v>
      </c>
    </row>
    <row r="284" spans="2:63" s="14" customFormat="1" x14ac:dyDescent="0.2">
      <c r="B284" s="137"/>
      <c r="D284" s="126" t="s">
        <v>112</v>
      </c>
      <c r="E284" s="138" t="s">
        <v>1</v>
      </c>
      <c r="F284" s="139" t="s">
        <v>127</v>
      </c>
      <c r="H284" s="140">
        <v>101.262</v>
      </c>
      <c r="L284" s="137"/>
      <c r="M284" s="141"/>
      <c r="T284" s="142"/>
      <c r="W284"/>
      <c r="X284"/>
      <c r="Y284"/>
      <c r="AR284" s="138" t="s">
        <v>112</v>
      </c>
      <c r="AS284" s="138" t="s">
        <v>65</v>
      </c>
      <c r="AT284" s="14" t="s">
        <v>108</v>
      </c>
      <c r="AU284" s="14" t="s">
        <v>30</v>
      </c>
      <c r="AV284" s="14" t="s">
        <v>63</v>
      </c>
      <c r="AW284" s="138" t="s">
        <v>101</v>
      </c>
    </row>
    <row r="285" spans="2:63" s="14" customFormat="1" x14ac:dyDescent="0.2">
      <c r="B285" s="137"/>
      <c r="D285" s="126"/>
      <c r="E285" s="138"/>
      <c r="F285" s="139" t="s">
        <v>1853</v>
      </c>
      <c r="H285" s="140">
        <f>H284*0.82</f>
        <v>83.034839999999988</v>
      </c>
      <c r="L285" s="137"/>
      <c r="M285" s="141"/>
      <c r="T285" s="142"/>
      <c r="W285"/>
      <c r="X285"/>
      <c r="Y285"/>
      <c r="AR285" s="138"/>
      <c r="AS285" s="138"/>
      <c r="AW285" s="138"/>
    </row>
    <row r="286" spans="2:63" s="1" customFormat="1" ht="44.25" customHeight="1" x14ac:dyDescent="0.2">
      <c r="B286" s="109"/>
      <c r="C286" s="110" t="s">
        <v>297</v>
      </c>
      <c r="D286" s="110" t="s">
        <v>103</v>
      </c>
      <c r="E286" s="111" t="s">
        <v>229</v>
      </c>
      <c r="F286" s="112" t="s">
        <v>230</v>
      </c>
      <c r="G286" s="113" t="s">
        <v>231</v>
      </c>
      <c r="H286" s="114">
        <f>2196.414*0.82</f>
        <v>1801.0594800000001</v>
      </c>
      <c r="I286" s="115">
        <v>0</v>
      </c>
      <c r="J286" s="115">
        <f>ROUND(I286*H286,2)</f>
        <v>0</v>
      </c>
      <c r="K286" s="112" t="s">
        <v>107</v>
      </c>
      <c r="L286" s="28"/>
      <c r="M286" s="116" t="s">
        <v>1</v>
      </c>
      <c r="N286" s="117" t="s">
        <v>39</v>
      </c>
      <c r="O286" s="118">
        <v>0</v>
      </c>
      <c r="P286" s="118">
        <f>O286*H286</f>
        <v>0</v>
      </c>
      <c r="Q286" s="118">
        <v>0</v>
      </c>
      <c r="R286" s="118">
        <f>Q286*H286</f>
        <v>0</v>
      </c>
      <c r="S286" s="118">
        <v>0</v>
      </c>
      <c r="T286" s="119">
        <f>S286*H286</f>
        <v>0</v>
      </c>
      <c r="W286"/>
      <c r="X286"/>
      <c r="Y286"/>
      <c r="AP286" s="120" t="s">
        <v>108</v>
      </c>
      <c r="AR286" s="120" t="s">
        <v>103</v>
      </c>
      <c r="AS286" s="120" t="s">
        <v>65</v>
      </c>
      <c r="AW286" s="17" t="s">
        <v>101</v>
      </c>
      <c r="BC286" s="121">
        <f>IF(N286="základní",J286,0)</f>
        <v>0</v>
      </c>
      <c r="BD286" s="121">
        <f>IF(N286="snížená",J286,0)</f>
        <v>0</v>
      </c>
      <c r="BE286" s="121">
        <f>IF(N286="zákl. přenesená",J286,0)</f>
        <v>0</v>
      </c>
      <c r="BF286" s="121">
        <f>IF(N286="sníž. přenesená",J286,0)</f>
        <v>0</v>
      </c>
      <c r="BG286" s="121">
        <f>IF(N286="nulová",J286,0)</f>
        <v>0</v>
      </c>
      <c r="BH286" s="17" t="s">
        <v>63</v>
      </c>
      <c r="BI286" s="121">
        <f>ROUND(I286*H286,2)</f>
        <v>0</v>
      </c>
      <c r="BJ286" s="17" t="s">
        <v>108</v>
      </c>
      <c r="BK286" s="120" t="s">
        <v>1241</v>
      </c>
    </row>
    <row r="287" spans="2:63" s="1" customFormat="1" x14ac:dyDescent="0.2">
      <c r="B287" s="28"/>
      <c r="D287" s="122" t="s">
        <v>110</v>
      </c>
      <c r="F287" s="123" t="s">
        <v>233</v>
      </c>
      <c r="L287" s="28"/>
      <c r="M287" s="124"/>
      <c r="T287" s="48"/>
      <c r="W287"/>
      <c r="X287"/>
      <c r="Y287"/>
      <c r="AR287" s="17" t="s">
        <v>110</v>
      </c>
      <c r="AS287" s="17" t="s">
        <v>65</v>
      </c>
    </row>
    <row r="288" spans="2:63" s="13" customFormat="1" x14ac:dyDescent="0.2">
      <c r="B288" s="131"/>
      <c r="D288" s="126" t="s">
        <v>112</v>
      </c>
      <c r="F288" s="133" t="s">
        <v>1878</v>
      </c>
      <c r="H288" s="134">
        <f>2196.414*0.82</f>
        <v>1801.0594800000001</v>
      </c>
      <c r="L288" s="131"/>
      <c r="M288" s="135"/>
      <c r="T288" s="136"/>
      <c r="W288"/>
      <c r="X288"/>
      <c r="Y288"/>
      <c r="AR288" s="132" t="s">
        <v>112</v>
      </c>
      <c r="AS288" s="132" t="s">
        <v>65</v>
      </c>
      <c r="AT288" s="13" t="s">
        <v>65</v>
      </c>
      <c r="AU288" s="13" t="s">
        <v>2</v>
      </c>
      <c r="AV288" s="13" t="s">
        <v>63</v>
      </c>
      <c r="AW288" s="132" t="s">
        <v>101</v>
      </c>
    </row>
    <row r="289" spans="2:63" s="1" customFormat="1" ht="37.9" customHeight="1" x14ac:dyDescent="0.2">
      <c r="B289" s="109"/>
      <c r="C289" s="110" t="s">
        <v>307</v>
      </c>
      <c r="D289" s="110" t="s">
        <v>103</v>
      </c>
      <c r="E289" s="111" t="s">
        <v>235</v>
      </c>
      <c r="F289" s="112" t="s">
        <v>236</v>
      </c>
      <c r="G289" s="113" t="s">
        <v>130</v>
      </c>
      <c r="H289" s="114">
        <f>1220.236*0.82</f>
        <v>1000.59352</v>
      </c>
      <c r="I289" s="115">
        <v>0</v>
      </c>
      <c r="J289" s="115">
        <f>ROUND(I289*H289,2)</f>
        <v>0</v>
      </c>
      <c r="K289" s="112" t="s">
        <v>107</v>
      </c>
      <c r="L289" s="28"/>
      <c r="M289" s="116" t="s">
        <v>1</v>
      </c>
      <c r="N289" s="117" t="s">
        <v>39</v>
      </c>
      <c r="O289" s="118">
        <v>8.9999999999999993E-3</v>
      </c>
      <c r="P289" s="118">
        <f>O289*H289</f>
        <v>9.005341679999999</v>
      </c>
      <c r="Q289" s="118">
        <v>0</v>
      </c>
      <c r="R289" s="118">
        <f>Q289*H289</f>
        <v>0</v>
      </c>
      <c r="S289" s="118">
        <v>0</v>
      </c>
      <c r="T289" s="119">
        <f>S289*H289</f>
        <v>0</v>
      </c>
      <c r="W289"/>
      <c r="X289"/>
      <c r="Y289"/>
      <c r="AP289" s="120" t="s">
        <v>108</v>
      </c>
      <c r="AR289" s="120" t="s">
        <v>103</v>
      </c>
      <c r="AS289" s="120" t="s">
        <v>65</v>
      </c>
      <c r="AW289" s="17" t="s">
        <v>101</v>
      </c>
      <c r="BC289" s="121">
        <f>IF(N289="základní",J289,0)</f>
        <v>0</v>
      </c>
      <c r="BD289" s="121">
        <f>IF(N289="snížená",J289,0)</f>
        <v>0</v>
      </c>
      <c r="BE289" s="121">
        <f>IF(N289="zákl. přenesená",J289,0)</f>
        <v>0</v>
      </c>
      <c r="BF289" s="121">
        <f>IF(N289="sníž. přenesená",J289,0)</f>
        <v>0</v>
      </c>
      <c r="BG289" s="121">
        <f>IF(N289="nulová",J289,0)</f>
        <v>0</v>
      </c>
      <c r="BH289" s="17" t="s">
        <v>63</v>
      </c>
      <c r="BI289" s="121">
        <f>ROUND(I289*H289,2)</f>
        <v>0</v>
      </c>
      <c r="BJ289" s="17" t="s">
        <v>108</v>
      </c>
      <c r="BK289" s="120" t="s">
        <v>1243</v>
      </c>
    </row>
    <row r="290" spans="2:63" s="1" customFormat="1" x14ac:dyDescent="0.2">
      <c r="B290" s="28"/>
      <c r="D290" s="122" t="s">
        <v>110</v>
      </c>
      <c r="F290" s="123" t="s">
        <v>238</v>
      </c>
      <c r="L290" s="28"/>
      <c r="M290" s="124"/>
      <c r="T290" s="48"/>
      <c r="W290"/>
      <c r="X290"/>
      <c r="Y290"/>
      <c r="AR290" s="17" t="s">
        <v>110</v>
      </c>
      <c r="AS290" s="17" t="s">
        <v>65</v>
      </c>
    </row>
    <row r="291" spans="2:63" s="1" customFormat="1" ht="44.25" customHeight="1" x14ac:dyDescent="0.2">
      <c r="B291" s="109"/>
      <c r="C291" s="110" t="s">
        <v>311</v>
      </c>
      <c r="D291" s="110" t="s">
        <v>103</v>
      </c>
      <c r="E291" s="111" t="s">
        <v>240</v>
      </c>
      <c r="F291" s="112" t="s">
        <v>241</v>
      </c>
      <c r="G291" s="113" t="s">
        <v>130</v>
      </c>
      <c r="H291" s="114">
        <f>992.372*0.82</f>
        <v>813.7450399999999</v>
      </c>
      <c r="I291" s="115">
        <v>0</v>
      </c>
      <c r="J291" s="115">
        <f>ROUND(I291*H291,2)</f>
        <v>0</v>
      </c>
      <c r="K291" s="112" t="s">
        <v>107</v>
      </c>
      <c r="L291" s="28"/>
      <c r="M291" s="116" t="s">
        <v>1</v>
      </c>
      <c r="N291" s="117" t="s">
        <v>39</v>
      </c>
      <c r="O291" s="118">
        <v>0.32800000000000001</v>
      </c>
      <c r="P291" s="118">
        <f>O291*H291</f>
        <v>266.90837311999996</v>
      </c>
      <c r="Q291" s="118">
        <v>0</v>
      </c>
      <c r="R291" s="118">
        <f>Q291*H291</f>
        <v>0</v>
      </c>
      <c r="S291" s="118">
        <v>0</v>
      </c>
      <c r="T291" s="119">
        <f>S291*H291</f>
        <v>0</v>
      </c>
      <c r="W291"/>
      <c r="X291"/>
      <c r="Y291"/>
      <c r="AP291" s="120" t="s">
        <v>108</v>
      </c>
      <c r="AR291" s="120" t="s">
        <v>103</v>
      </c>
      <c r="AS291" s="120" t="s">
        <v>65</v>
      </c>
      <c r="AW291" s="17" t="s">
        <v>101</v>
      </c>
      <c r="BC291" s="121">
        <f>IF(N291="základní",J291,0)</f>
        <v>0</v>
      </c>
      <c r="BD291" s="121">
        <f>IF(N291="snížená",J291,0)</f>
        <v>0</v>
      </c>
      <c r="BE291" s="121">
        <f>IF(N291="zákl. přenesená",J291,0)</f>
        <v>0</v>
      </c>
      <c r="BF291" s="121">
        <f>IF(N291="sníž. přenesená",J291,0)</f>
        <v>0</v>
      </c>
      <c r="BG291" s="121">
        <f>IF(N291="nulová",J291,0)</f>
        <v>0</v>
      </c>
      <c r="BH291" s="17" t="s">
        <v>63</v>
      </c>
      <c r="BI291" s="121">
        <f>ROUND(I291*H291,2)</f>
        <v>0</v>
      </c>
      <c r="BJ291" s="17" t="s">
        <v>108</v>
      </c>
      <c r="BK291" s="120" t="s">
        <v>1244</v>
      </c>
    </row>
    <row r="292" spans="2:63" s="1" customFormat="1" x14ac:dyDescent="0.2">
      <c r="B292" s="28"/>
      <c r="D292" s="122" t="s">
        <v>110</v>
      </c>
      <c r="F292" s="123" t="s">
        <v>243</v>
      </c>
      <c r="L292" s="28"/>
      <c r="M292" s="124"/>
      <c r="T292" s="48"/>
      <c r="W292"/>
      <c r="X292"/>
      <c r="Y292"/>
      <c r="AR292" s="17" t="s">
        <v>110</v>
      </c>
      <c r="AS292" s="17" t="s">
        <v>65</v>
      </c>
    </row>
    <row r="293" spans="2:63" s="12" customFormat="1" x14ac:dyDescent="0.2">
      <c r="B293" s="125"/>
      <c r="D293" s="126" t="s">
        <v>112</v>
      </c>
      <c r="E293" s="127" t="s">
        <v>1</v>
      </c>
      <c r="F293" s="128" t="s">
        <v>1245</v>
      </c>
      <c r="H293" s="127" t="s">
        <v>1</v>
      </c>
      <c r="L293" s="125"/>
      <c r="M293" s="129"/>
      <c r="T293" s="130"/>
      <c r="W293"/>
      <c r="X293"/>
      <c r="Y293"/>
      <c r="AR293" s="127" t="s">
        <v>112</v>
      </c>
      <c r="AS293" s="127" t="s">
        <v>65</v>
      </c>
      <c r="AT293" s="12" t="s">
        <v>63</v>
      </c>
      <c r="AU293" s="12" t="s">
        <v>30</v>
      </c>
      <c r="AV293" s="12" t="s">
        <v>55</v>
      </c>
      <c r="AW293" s="127" t="s">
        <v>101</v>
      </c>
    </row>
    <row r="294" spans="2:63" s="12" customFormat="1" ht="33.75" x14ac:dyDescent="0.2">
      <c r="B294" s="125"/>
      <c r="D294" s="126" t="s">
        <v>112</v>
      </c>
      <c r="E294" s="127" t="s">
        <v>1</v>
      </c>
      <c r="F294" s="128" t="s">
        <v>1246</v>
      </c>
      <c r="H294" s="127" t="s">
        <v>1</v>
      </c>
      <c r="L294" s="125"/>
      <c r="M294" s="129"/>
      <c r="T294" s="130"/>
      <c r="W294"/>
      <c r="X294"/>
      <c r="Y294"/>
      <c r="AR294" s="127" t="s">
        <v>112</v>
      </c>
      <c r="AS294" s="127" t="s">
        <v>65</v>
      </c>
      <c r="AT294" s="12" t="s">
        <v>63</v>
      </c>
      <c r="AU294" s="12" t="s">
        <v>30</v>
      </c>
      <c r="AV294" s="12" t="s">
        <v>55</v>
      </c>
      <c r="AW294" s="127" t="s">
        <v>101</v>
      </c>
    </row>
    <row r="295" spans="2:63" s="13" customFormat="1" x14ac:dyDescent="0.2">
      <c r="B295" s="131"/>
      <c r="D295" s="126" t="s">
        <v>112</v>
      </c>
      <c r="E295" s="132" t="s">
        <v>1</v>
      </c>
      <c r="F295" s="133" t="s">
        <v>1247</v>
      </c>
      <c r="H295" s="134">
        <v>29.032</v>
      </c>
      <c r="L295" s="131"/>
      <c r="M295" s="135"/>
      <c r="T295" s="136"/>
      <c r="W295"/>
      <c r="X295"/>
      <c r="Y295"/>
      <c r="AR295" s="132" t="s">
        <v>112</v>
      </c>
      <c r="AS295" s="132" t="s">
        <v>65</v>
      </c>
      <c r="AT295" s="13" t="s">
        <v>65</v>
      </c>
      <c r="AU295" s="13" t="s">
        <v>30</v>
      </c>
      <c r="AV295" s="13" t="s">
        <v>55</v>
      </c>
      <c r="AW295" s="132" t="s">
        <v>101</v>
      </c>
    </row>
    <row r="296" spans="2:63" s="15" customFormat="1" x14ac:dyDescent="0.2">
      <c r="B296" s="159"/>
      <c r="D296" s="126" t="s">
        <v>112</v>
      </c>
      <c r="E296" s="160" t="s">
        <v>1</v>
      </c>
      <c r="F296" s="161" t="s">
        <v>1121</v>
      </c>
      <c r="H296" s="162">
        <v>29.032</v>
      </c>
      <c r="L296" s="159"/>
      <c r="M296" s="163"/>
      <c r="T296" s="164"/>
      <c r="W296"/>
      <c r="X296"/>
      <c r="Y296"/>
      <c r="AR296" s="160" t="s">
        <v>112</v>
      </c>
      <c r="AS296" s="160" t="s">
        <v>65</v>
      </c>
      <c r="AT296" s="15" t="s">
        <v>119</v>
      </c>
      <c r="AU296" s="15" t="s">
        <v>30</v>
      </c>
      <c r="AV296" s="15" t="s">
        <v>55</v>
      </c>
      <c r="AW296" s="160" t="s">
        <v>101</v>
      </c>
    </row>
    <row r="297" spans="2:63" s="12" customFormat="1" x14ac:dyDescent="0.2">
      <c r="B297" s="125"/>
      <c r="D297" s="126" t="s">
        <v>112</v>
      </c>
      <c r="E297" s="127" t="s">
        <v>1</v>
      </c>
      <c r="F297" s="128" t="s">
        <v>1248</v>
      </c>
      <c r="H297" s="127" t="s">
        <v>1</v>
      </c>
      <c r="L297" s="125"/>
      <c r="M297" s="129"/>
      <c r="T297" s="130"/>
      <c r="W297"/>
      <c r="X297"/>
      <c r="Y297"/>
      <c r="AR297" s="127" t="s">
        <v>112</v>
      </c>
      <c r="AS297" s="127" t="s">
        <v>65</v>
      </c>
      <c r="AT297" s="12" t="s">
        <v>63</v>
      </c>
      <c r="AU297" s="12" t="s">
        <v>30</v>
      </c>
      <c r="AV297" s="12" t="s">
        <v>55</v>
      </c>
      <c r="AW297" s="127" t="s">
        <v>101</v>
      </c>
    </row>
    <row r="298" spans="2:63" s="12" customFormat="1" ht="22.5" x14ac:dyDescent="0.2">
      <c r="B298" s="125"/>
      <c r="D298" s="126" t="s">
        <v>112</v>
      </c>
      <c r="E298" s="127" t="s">
        <v>1</v>
      </c>
      <c r="F298" s="128" t="s">
        <v>1249</v>
      </c>
      <c r="H298" s="127" t="s">
        <v>1</v>
      </c>
      <c r="L298" s="125"/>
      <c r="M298" s="129"/>
      <c r="T298" s="130"/>
      <c r="W298"/>
      <c r="X298"/>
      <c r="Y298"/>
      <c r="AR298" s="127" t="s">
        <v>112</v>
      </c>
      <c r="AS298" s="127" t="s">
        <v>65</v>
      </c>
      <c r="AT298" s="12" t="s">
        <v>63</v>
      </c>
      <c r="AU298" s="12" t="s">
        <v>30</v>
      </c>
      <c r="AV298" s="12" t="s">
        <v>55</v>
      </c>
      <c r="AW298" s="127" t="s">
        <v>101</v>
      </c>
    </row>
    <row r="299" spans="2:63" s="13" customFormat="1" x14ac:dyDescent="0.2">
      <c r="B299" s="131"/>
      <c r="D299" s="126" t="s">
        <v>112</v>
      </c>
      <c r="E299" s="132" t="s">
        <v>1</v>
      </c>
      <c r="F299" s="133" t="s">
        <v>1250</v>
      </c>
      <c r="H299" s="134">
        <v>66.3</v>
      </c>
      <c r="L299" s="131"/>
      <c r="M299" s="135"/>
      <c r="T299" s="136"/>
      <c r="W299"/>
      <c r="X299"/>
      <c r="Y299"/>
      <c r="AR299" s="132" t="s">
        <v>112</v>
      </c>
      <c r="AS299" s="132" t="s">
        <v>65</v>
      </c>
      <c r="AT299" s="13" t="s">
        <v>65</v>
      </c>
      <c r="AU299" s="13" t="s">
        <v>30</v>
      </c>
      <c r="AV299" s="13" t="s">
        <v>55</v>
      </c>
      <c r="AW299" s="132" t="s">
        <v>101</v>
      </c>
    </row>
    <row r="300" spans="2:63" s="13" customFormat="1" x14ac:dyDescent="0.2">
      <c r="B300" s="131"/>
      <c r="D300" s="126" t="s">
        <v>112</v>
      </c>
      <c r="E300" s="132" t="s">
        <v>1</v>
      </c>
      <c r="F300" s="133" t="s">
        <v>1251</v>
      </c>
      <c r="H300" s="134">
        <v>132.875</v>
      </c>
      <c r="L300" s="131"/>
      <c r="M300" s="135"/>
      <c r="T300" s="136"/>
      <c r="W300"/>
      <c r="X300"/>
      <c r="Y300"/>
      <c r="AR300" s="132" t="s">
        <v>112</v>
      </c>
      <c r="AS300" s="132" t="s">
        <v>65</v>
      </c>
      <c r="AT300" s="13" t="s">
        <v>65</v>
      </c>
      <c r="AU300" s="13" t="s">
        <v>30</v>
      </c>
      <c r="AV300" s="13" t="s">
        <v>55</v>
      </c>
      <c r="AW300" s="132" t="s">
        <v>101</v>
      </c>
    </row>
    <row r="301" spans="2:63" s="13" customFormat="1" x14ac:dyDescent="0.2">
      <c r="B301" s="131"/>
      <c r="D301" s="126" t="s">
        <v>112</v>
      </c>
      <c r="E301" s="132" t="s">
        <v>1</v>
      </c>
      <c r="F301" s="133" t="s">
        <v>1252</v>
      </c>
      <c r="H301" s="134">
        <v>26.74</v>
      </c>
      <c r="L301" s="131"/>
      <c r="M301" s="135"/>
      <c r="T301" s="136"/>
      <c r="W301"/>
      <c r="X301"/>
      <c r="Y301"/>
      <c r="AR301" s="132" t="s">
        <v>112</v>
      </c>
      <c r="AS301" s="132" t="s">
        <v>65</v>
      </c>
      <c r="AT301" s="13" t="s">
        <v>65</v>
      </c>
      <c r="AU301" s="13" t="s">
        <v>30</v>
      </c>
      <c r="AV301" s="13" t="s">
        <v>55</v>
      </c>
      <c r="AW301" s="132" t="s">
        <v>101</v>
      </c>
    </row>
    <row r="302" spans="2:63" s="13" customFormat="1" x14ac:dyDescent="0.2">
      <c r="B302" s="131"/>
      <c r="D302" s="126" t="s">
        <v>112</v>
      </c>
      <c r="E302" s="132" t="s">
        <v>1</v>
      </c>
      <c r="F302" s="133" t="s">
        <v>1253</v>
      </c>
      <c r="H302" s="134">
        <v>44.655000000000001</v>
      </c>
      <c r="L302" s="131"/>
      <c r="M302" s="135"/>
      <c r="T302" s="136"/>
      <c r="W302"/>
      <c r="X302"/>
      <c r="Y302"/>
      <c r="AR302" s="132" t="s">
        <v>112</v>
      </c>
      <c r="AS302" s="132" t="s">
        <v>65</v>
      </c>
      <c r="AT302" s="13" t="s">
        <v>65</v>
      </c>
      <c r="AU302" s="13" t="s">
        <v>30</v>
      </c>
      <c r="AV302" s="13" t="s">
        <v>55</v>
      </c>
      <c r="AW302" s="132" t="s">
        <v>101</v>
      </c>
    </row>
    <row r="303" spans="2:63" s="13" customFormat="1" x14ac:dyDescent="0.2">
      <c r="B303" s="131"/>
      <c r="D303" s="126" t="s">
        <v>112</v>
      </c>
      <c r="E303" s="132" t="s">
        <v>1</v>
      </c>
      <c r="F303" s="133" t="s">
        <v>1254</v>
      </c>
      <c r="H303" s="134">
        <v>92.4</v>
      </c>
      <c r="L303" s="131"/>
      <c r="M303" s="135"/>
      <c r="T303" s="136"/>
      <c r="W303"/>
      <c r="X303"/>
      <c r="Y303"/>
      <c r="AR303" s="132" t="s">
        <v>112</v>
      </c>
      <c r="AS303" s="132" t="s">
        <v>65</v>
      </c>
      <c r="AT303" s="13" t="s">
        <v>65</v>
      </c>
      <c r="AU303" s="13" t="s">
        <v>30</v>
      </c>
      <c r="AV303" s="13" t="s">
        <v>55</v>
      </c>
      <c r="AW303" s="132" t="s">
        <v>101</v>
      </c>
    </row>
    <row r="304" spans="2:63" s="13" customFormat="1" x14ac:dyDescent="0.2">
      <c r="B304" s="131"/>
      <c r="D304" s="126" t="s">
        <v>112</v>
      </c>
      <c r="E304" s="132" t="s">
        <v>1</v>
      </c>
      <c r="F304" s="133" t="s">
        <v>1255</v>
      </c>
      <c r="H304" s="134">
        <v>84.24</v>
      </c>
      <c r="L304" s="131"/>
      <c r="M304" s="135"/>
      <c r="T304" s="136"/>
      <c r="W304"/>
      <c r="X304"/>
      <c r="Y304"/>
      <c r="AR304" s="132" t="s">
        <v>112</v>
      </c>
      <c r="AS304" s="132" t="s">
        <v>65</v>
      </c>
      <c r="AT304" s="13" t="s">
        <v>65</v>
      </c>
      <c r="AU304" s="13" t="s">
        <v>30</v>
      </c>
      <c r="AV304" s="13" t="s">
        <v>55</v>
      </c>
      <c r="AW304" s="132" t="s">
        <v>101</v>
      </c>
    </row>
    <row r="305" spans="2:49" s="13" customFormat="1" x14ac:dyDescent="0.2">
      <c r="B305" s="131"/>
      <c r="D305" s="126" t="s">
        <v>112</v>
      </c>
      <c r="E305" s="132" t="s">
        <v>1</v>
      </c>
      <c r="F305" s="133" t="s">
        <v>1256</v>
      </c>
      <c r="H305" s="134">
        <v>83.986000000000004</v>
      </c>
      <c r="L305" s="131"/>
      <c r="M305" s="135"/>
      <c r="T305" s="136"/>
      <c r="W305"/>
      <c r="X305"/>
      <c r="Y305"/>
      <c r="AR305" s="132" t="s">
        <v>112</v>
      </c>
      <c r="AS305" s="132" t="s">
        <v>65</v>
      </c>
      <c r="AT305" s="13" t="s">
        <v>65</v>
      </c>
      <c r="AU305" s="13" t="s">
        <v>30</v>
      </c>
      <c r="AV305" s="13" t="s">
        <v>55</v>
      </c>
      <c r="AW305" s="132" t="s">
        <v>101</v>
      </c>
    </row>
    <row r="306" spans="2:49" s="13" customFormat="1" x14ac:dyDescent="0.2">
      <c r="B306" s="131"/>
      <c r="D306" s="126" t="s">
        <v>112</v>
      </c>
      <c r="E306" s="132" t="s">
        <v>1</v>
      </c>
      <c r="F306" s="133" t="s">
        <v>1257</v>
      </c>
      <c r="H306" s="134">
        <v>34.938000000000002</v>
      </c>
      <c r="L306" s="131"/>
      <c r="M306" s="135"/>
      <c r="T306" s="136"/>
      <c r="W306"/>
      <c r="X306"/>
      <c r="Y306"/>
      <c r="AR306" s="132" t="s">
        <v>112</v>
      </c>
      <c r="AS306" s="132" t="s">
        <v>65</v>
      </c>
      <c r="AT306" s="13" t="s">
        <v>65</v>
      </c>
      <c r="AU306" s="13" t="s">
        <v>30</v>
      </c>
      <c r="AV306" s="13" t="s">
        <v>55</v>
      </c>
      <c r="AW306" s="132" t="s">
        <v>101</v>
      </c>
    </row>
    <row r="307" spans="2:49" s="13" customFormat="1" x14ac:dyDescent="0.2">
      <c r="B307" s="131"/>
      <c r="D307" s="126" t="s">
        <v>112</v>
      </c>
      <c r="E307" s="132" t="s">
        <v>1</v>
      </c>
      <c r="F307" s="133" t="s">
        <v>1258</v>
      </c>
      <c r="H307" s="134">
        <v>167.87200000000001</v>
      </c>
      <c r="L307" s="131"/>
      <c r="M307" s="135"/>
      <c r="T307" s="136"/>
      <c r="W307"/>
      <c r="X307"/>
      <c r="Y307"/>
      <c r="AR307" s="132" t="s">
        <v>112</v>
      </c>
      <c r="AS307" s="132" t="s">
        <v>65</v>
      </c>
      <c r="AT307" s="13" t="s">
        <v>65</v>
      </c>
      <c r="AU307" s="13" t="s">
        <v>30</v>
      </c>
      <c r="AV307" s="13" t="s">
        <v>55</v>
      </c>
      <c r="AW307" s="132" t="s">
        <v>101</v>
      </c>
    </row>
    <row r="308" spans="2:49" s="15" customFormat="1" x14ac:dyDescent="0.2">
      <c r="B308" s="159"/>
      <c r="D308" s="126" t="s">
        <v>112</v>
      </c>
      <c r="E308" s="160" t="s">
        <v>1</v>
      </c>
      <c r="F308" s="161" t="s">
        <v>1121</v>
      </c>
      <c r="H308" s="162">
        <v>734.00599999999997</v>
      </c>
      <c r="L308" s="159"/>
      <c r="M308" s="163"/>
      <c r="T308" s="164"/>
      <c r="W308"/>
      <c r="X308"/>
      <c r="Y308"/>
      <c r="AR308" s="160" t="s">
        <v>112</v>
      </c>
      <c r="AS308" s="160" t="s">
        <v>65</v>
      </c>
      <c r="AT308" s="15" t="s">
        <v>119</v>
      </c>
      <c r="AU308" s="15" t="s">
        <v>30</v>
      </c>
      <c r="AV308" s="15" t="s">
        <v>55</v>
      </c>
      <c r="AW308" s="160" t="s">
        <v>101</v>
      </c>
    </row>
    <row r="309" spans="2:49" s="12" customFormat="1" x14ac:dyDescent="0.2">
      <c r="B309" s="125"/>
      <c r="D309" s="126" t="s">
        <v>112</v>
      </c>
      <c r="E309" s="127" t="s">
        <v>1</v>
      </c>
      <c r="F309" s="128" t="s">
        <v>1110</v>
      </c>
      <c r="H309" s="127" t="s">
        <v>1</v>
      </c>
      <c r="L309" s="125"/>
      <c r="M309" s="129"/>
      <c r="T309" s="130"/>
      <c r="W309"/>
      <c r="X309"/>
      <c r="Y309"/>
      <c r="AR309" s="127" t="s">
        <v>112</v>
      </c>
      <c r="AS309" s="127" t="s">
        <v>65</v>
      </c>
      <c r="AT309" s="12" t="s">
        <v>63</v>
      </c>
      <c r="AU309" s="12" t="s">
        <v>30</v>
      </c>
      <c r="AV309" s="12" t="s">
        <v>55</v>
      </c>
      <c r="AW309" s="127" t="s">
        <v>101</v>
      </c>
    </row>
    <row r="310" spans="2:49" s="12" customFormat="1" x14ac:dyDescent="0.2">
      <c r="B310" s="125"/>
      <c r="D310" s="126" t="s">
        <v>112</v>
      </c>
      <c r="E310" s="127" t="s">
        <v>1</v>
      </c>
      <c r="F310" s="128" t="s">
        <v>1111</v>
      </c>
      <c r="H310" s="127" t="s">
        <v>1</v>
      </c>
      <c r="L310" s="125"/>
      <c r="M310" s="129"/>
      <c r="T310" s="130"/>
      <c r="W310"/>
      <c r="X310"/>
      <c r="Y310"/>
      <c r="AR310" s="127" t="s">
        <v>112</v>
      </c>
      <c r="AS310" s="127" t="s">
        <v>65</v>
      </c>
      <c r="AT310" s="12" t="s">
        <v>63</v>
      </c>
      <c r="AU310" s="12" t="s">
        <v>30</v>
      </c>
      <c r="AV310" s="12" t="s">
        <v>55</v>
      </c>
      <c r="AW310" s="127" t="s">
        <v>101</v>
      </c>
    </row>
    <row r="311" spans="2:49" s="13" customFormat="1" x14ac:dyDescent="0.2">
      <c r="B311" s="131"/>
      <c r="D311" s="126" t="s">
        <v>112</v>
      </c>
      <c r="E311" s="132" t="s">
        <v>1</v>
      </c>
      <c r="F311" s="133" t="s">
        <v>1112</v>
      </c>
      <c r="H311" s="134">
        <v>13.26</v>
      </c>
      <c r="L311" s="131"/>
      <c r="M311" s="135"/>
      <c r="T311" s="136"/>
      <c r="W311"/>
      <c r="X311"/>
      <c r="Y311"/>
      <c r="AR311" s="132" t="s">
        <v>112</v>
      </c>
      <c r="AS311" s="132" t="s">
        <v>65</v>
      </c>
      <c r="AT311" s="13" t="s">
        <v>65</v>
      </c>
      <c r="AU311" s="13" t="s">
        <v>30</v>
      </c>
      <c r="AV311" s="13" t="s">
        <v>55</v>
      </c>
      <c r="AW311" s="132" t="s">
        <v>101</v>
      </c>
    </row>
    <row r="312" spans="2:49" s="13" customFormat="1" x14ac:dyDescent="0.2">
      <c r="B312" s="131"/>
      <c r="D312" s="126" t="s">
        <v>112</v>
      </c>
      <c r="E312" s="132" t="s">
        <v>1</v>
      </c>
      <c r="F312" s="133" t="s">
        <v>1113</v>
      </c>
      <c r="H312" s="134">
        <v>53.15</v>
      </c>
      <c r="L312" s="131"/>
      <c r="M312" s="135"/>
      <c r="T312" s="136"/>
      <c r="W312"/>
      <c r="X312"/>
      <c r="Y312"/>
      <c r="AR312" s="132" t="s">
        <v>112</v>
      </c>
      <c r="AS312" s="132" t="s">
        <v>65</v>
      </c>
      <c r="AT312" s="13" t="s">
        <v>65</v>
      </c>
      <c r="AU312" s="13" t="s">
        <v>30</v>
      </c>
      <c r="AV312" s="13" t="s">
        <v>55</v>
      </c>
      <c r="AW312" s="132" t="s">
        <v>101</v>
      </c>
    </row>
    <row r="313" spans="2:49" s="13" customFormat="1" x14ac:dyDescent="0.2">
      <c r="B313" s="131"/>
      <c r="D313" s="126" t="s">
        <v>112</v>
      </c>
      <c r="E313" s="132" t="s">
        <v>1</v>
      </c>
      <c r="F313" s="133" t="s">
        <v>1114</v>
      </c>
      <c r="H313" s="134">
        <v>5.3479999999999999</v>
      </c>
      <c r="L313" s="131"/>
      <c r="M313" s="135"/>
      <c r="T313" s="136"/>
      <c r="W313"/>
      <c r="X313"/>
      <c r="Y313"/>
      <c r="AR313" s="132" t="s">
        <v>112</v>
      </c>
      <c r="AS313" s="132" t="s">
        <v>65</v>
      </c>
      <c r="AT313" s="13" t="s">
        <v>65</v>
      </c>
      <c r="AU313" s="13" t="s">
        <v>30</v>
      </c>
      <c r="AV313" s="13" t="s">
        <v>55</v>
      </c>
      <c r="AW313" s="132" t="s">
        <v>101</v>
      </c>
    </row>
    <row r="314" spans="2:49" s="13" customFormat="1" x14ac:dyDescent="0.2">
      <c r="B314" s="131"/>
      <c r="D314" s="126" t="s">
        <v>112</v>
      </c>
      <c r="E314" s="132" t="s">
        <v>1</v>
      </c>
      <c r="F314" s="133" t="s">
        <v>1115</v>
      </c>
      <c r="H314" s="134">
        <v>16.238</v>
      </c>
      <c r="L314" s="131"/>
      <c r="M314" s="135"/>
      <c r="T314" s="136"/>
      <c r="W314"/>
      <c r="X314"/>
      <c r="Y314"/>
      <c r="AR314" s="132" t="s">
        <v>112</v>
      </c>
      <c r="AS314" s="132" t="s">
        <v>65</v>
      </c>
      <c r="AT314" s="13" t="s">
        <v>65</v>
      </c>
      <c r="AU314" s="13" t="s">
        <v>30</v>
      </c>
      <c r="AV314" s="13" t="s">
        <v>55</v>
      </c>
      <c r="AW314" s="132" t="s">
        <v>101</v>
      </c>
    </row>
    <row r="315" spans="2:49" s="13" customFormat="1" x14ac:dyDescent="0.2">
      <c r="B315" s="131"/>
      <c r="D315" s="126" t="s">
        <v>112</v>
      </c>
      <c r="E315" s="132" t="s">
        <v>1</v>
      </c>
      <c r="F315" s="133" t="s">
        <v>1116</v>
      </c>
      <c r="H315" s="134">
        <v>26.4</v>
      </c>
      <c r="L315" s="131"/>
      <c r="M315" s="135"/>
      <c r="T315" s="136"/>
      <c r="W315"/>
      <c r="X315"/>
      <c r="Y315"/>
      <c r="AR315" s="132" t="s">
        <v>112</v>
      </c>
      <c r="AS315" s="132" t="s">
        <v>65</v>
      </c>
      <c r="AT315" s="13" t="s">
        <v>65</v>
      </c>
      <c r="AU315" s="13" t="s">
        <v>30</v>
      </c>
      <c r="AV315" s="13" t="s">
        <v>55</v>
      </c>
      <c r="AW315" s="132" t="s">
        <v>101</v>
      </c>
    </row>
    <row r="316" spans="2:49" s="13" customFormat="1" x14ac:dyDescent="0.2">
      <c r="B316" s="131"/>
      <c r="D316" s="126" t="s">
        <v>112</v>
      </c>
      <c r="E316" s="132" t="s">
        <v>1</v>
      </c>
      <c r="F316" s="133" t="s">
        <v>1117</v>
      </c>
      <c r="H316" s="134">
        <v>33.695999999999998</v>
      </c>
      <c r="L316" s="131"/>
      <c r="M316" s="135"/>
      <c r="T316" s="136"/>
      <c r="W316"/>
      <c r="X316"/>
      <c r="Y316"/>
      <c r="AR316" s="132" t="s">
        <v>112</v>
      </c>
      <c r="AS316" s="132" t="s">
        <v>65</v>
      </c>
      <c r="AT316" s="13" t="s">
        <v>65</v>
      </c>
      <c r="AU316" s="13" t="s">
        <v>30</v>
      </c>
      <c r="AV316" s="13" t="s">
        <v>55</v>
      </c>
      <c r="AW316" s="132" t="s">
        <v>101</v>
      </c>
    </row>
    <row r="317" spans="2:49" s="13" customFormat="1" x14ac:dyDescent="0.2">
      <c r="B317" s="131"/>
      <c r="D317" s="126" t="s">
        <v>112</v>
      </c>
      <c r="E317" s="132" t="s">
        <v>1</v>
      </c>
      <c r="F317" s="133" t="s">
        <v>1118</v>
      </c>
      <c r="H317" s="134">
        <v>30.54</v>
      </c>
      <c r="L317" s="131"/>
      <c r="M317" s="135"/>
      <c r="T317" s="136"/>
      <c r="W317"/>
      <c r="X317"/>
      <c r="Y317"/>
      <c r="AR317" s="132" t="s">
        <v>112</v>
      </c>
      <c r="AS317" s="132" t="s">
        <v>65</v>
      </c>
      <c r="AT317" s="13" t="s">
        <v>65</v>
      </c>
      <c r="AU317" s="13" t="s">
        <v>30</v>
      </c>
      <c r="AV317" s="13" t="s">
        <v>55</v>
      </c>
      <c r="AW317" s="132" t="s">
        <v>101</v>
      </c>
    </row>
    <row r="318" spans="2:49" s="13" customFormat="1" x14ac:dyDescent="0.2">
      <c r="B318" s="131"/>
      <c r="D318" s="126" t="s">
        <v>112</v>
      </c>
      <c r="E318" s="132" t="s">
        <v>1</v>
      </c>
      <c r="F318" s="133" t="s">
        <v>1119</v>
      </c>
      <c r="H318" s="134">
        <v>8.734</v>
      </c>
      <c r="L318" s="131"/>
      <c r="M318" s="135"/>
      <c r="T318" s="136"/>
      <c r="W318"/>
      <c r="X318"/>
      <c r="Y318"/>
      <c r="AR318" s="132" t="s">
        <v>112</v>
      </c>
      <c r="AS318" s="132" t="s">
        <v>65</v>
      </c>
      <c r="AT318" s="13" t="s">
        <v>65</v>
      </c>
      <c r="AU318" s="13" t="s">
        <v>30</v>
      </c>
      <c r="AV318" s="13" t="s">
        <v>55</v>
      </c>
      <c r="AW318" s="132" t="s">
        <v>101</v>
      </c>
    </row>
    <row r="319" spans="2:49" s="13" customFormat="1" x14ac:dyDescent="0.2">
      <c r="B319" s="131"/>
      <c r="D319" s="126" t="s">
        <v>112</v>
      </c>
      <c r="E319" s="132" t="s">
        <v>1</v>
      </c>
      <c r="F319" s="133" t="s">
        <v>1120</v>
      </c>
      <c r="H319" s="134">
        <v>41.968000000000004</v>
      </c>
      <c r="L319" s="131"/>
      <c r="M319" s="135"/>
      <c r="T319" s="136"/>
      <c r="W319"/>
      <c r="X319"/>
      <c r="Y319"/>
      <c r="AR319" s="132" t="s">
        <v>112</v>
      </c>
      <c r="AS319" s="132" t="s">
        <v>65</v>
      </c>
      <c r="AT319" s="13" t="s">
        <v>65</v>
      </c>
      <c r="AU319" s="13" t="s">
        <v>30</v>
      </c>
      <c r="AV319" s="13" t="s">
        <v>55</v>
      </c>
      <c r="AW319" s="132" t="s">
        <v>101</v>
      </c>
    </row>
    <row r="320" spans="2:49" s="15" customFormat="1" x14ac:dyDescent="0.2">
      <c r="B320" s="159"/>
      <c r="D320" s="126" t="s">
        <v>112</v>
      </c>
      <c r="E320" s="160" t="s">
        <v>1</v>
      </c>
      <c r="F320" s="161" t="s">
        <v>1121</v>
      </c>
      <c r="H320" s="162">
        <v>229.334</v>
      </c>
      <c r="L320" s="159"/>
      <c r="M320" s="163"/>
      <c r="T320" s="164"/>
      <c r="W320"/>
      <c r="X320"/>
      <c r="Y320"/>
      <c r="AR320" s="160" t="s">
        <v>112</v>
      </c>
      <c r="AS320" s="160" t="s">
        <v>65</v>
      </c>
      <c r="AT320" s="15" t="s">
        <v>119</v>
      </c>
      <c r="AU320" s="15" t="s">
        <v>30</v>
      </c>
      <c r="AV320" s="15" t="s">
        <v>55</v>
      </c>
      <c r="AW320" s="160" t="s">
        <v>101</v>
      </c>
    </row>
    <row r="321" spans="2:63" s="14" customFormat="1" x14ac:dyDescent="0.2">
      <c r="B321" s="137"/>
      <c r="D321" s="126" t="s">
        <v>112</v>
      </c>
      <c r="E321" s="138" t="s">
        <v>1</v>
      </c>
      <c r="F321" s="139" t="s">
        <v>127</v>
      </c>
      <c r="H321" s="140">
        <v>992.37199999999996</v>
      </c>
      <c r="L321" s="137"/>
      <c r="M321" s="141"/>
      <c r="T321" s="142"/>
      <c r="W321"/>
      <c r="X321"/>
      <c r="Y321"/>
      <c r="AR321" s="138" t="s">
        <v>112</v>
      </c>
      <c r="AS321" s="138" t="s">
        <v>65</v>
      </c>
      <c r="AT321" s="14" t="s">
        <v>108</v>
      </c>
      <c r="AU321" s="14" t="s">
        <v>30</v>
      </c>
      <c r="AV321" s="14" t="s">
        <v>63</v>
      </c>
      <c r="AW321" s="138" t="s">
        <v>101</v>
      </c>
    </row>
    <row r="322" spans="2:63" s="14" customFormat="1" x14ac:dyDescent="0.2">
      <c r="B322" s="137"/>
      <c r="D322" s="126"/>
      <c r="E322" s="138"/>
      <c r="F322" s="139" t="s">
        <v>1853</v>
      </c>
      <c r="H322" s="140">
        <f>H321*0.82</f>
        <v>813.7450399999999</v>
      </c>
      <c r="L322" s="137"/>
      <c r="M322" s="141"/>
      <c r="T322" s="142"/>
      <c r="W322"/>
      <c r="X322"/>
      <c r="Y322"/>
      <c r="AR322" s="138"/>
      <c r="AS322" s="138"/>
      <c r="AW322" s="138"/>
    </row>
    <row r="323" spans="2:63" s="1" customFormat="1" ht="16.5" customHeight="1" x14ac:dyDescent="0.2">
      <c r="B323" s="109"/>
      <c r="C323" s="143" t="s">
        <v>317</v>
      </c>
      <c r="D323" s="143" t="s">
        <v>252</v>
      </c>
      <c r="E323" s="144" t="s">
        <v>253</v>
      </c>
      <c r="F323" s="145" t="s">
        <v>254</v>
      </c>
      <c r="G323" s="146" t="s">
        <v>231</v>
      </c>
      <c r="H323" s="147">
        <f>52.258*0.82</f>
        <v>42.851559999999999</v>
      </c>
      <c r="I323" s="148">
        <v>0</v>
      </c>
      <c r="J323" s="148">
        <f>ROUND(I323*H323,2)</f>
        <v>0</v>
      </c>
      <c r="K323" s="145" t="s">
        <v>107</v>
      </c>
      <c r="L323" s="149"/>
      <c r="M323" s="150" t="s">
        <v>1</v>
      </c>
      <c r="N323" s="151" t="s">
        <v>39</v>
      </c>
      <c r="O323" s="118">
        <v>0</v>
      </c>
      <c r="P323" s="118">
        <f>O323*H323</f>
        <v>0</v>
      </c>
      <c r="Q323" s="118">
        <v>0</v>
      </c>
      <c r="R323" s="118">
        <f>Q323*H323</f>
        <v>0</v>
      </c>
      <c r="S323" s="118">
        <v>0</v>
      </c>
      <c r="T323" s="119">
        <f>S323*H323</f>
        <v>0</v>
      </c>
      <c r="W323"/>
      <c r="X323"/>
      <c r="Y323"/>
      <c r="AP323" s="120" t="s">
        <v>171</v>
      </c>
      <c r="AR323" s="120" t="s">
        <v>252</v>
      </c>
      <c r="AS323" s="120" t="s">
        <v>65</v>
      </c>
      <c r="AW323" s="17" t="s">
        <v>101</v>
      </c>
      <c r="BC323" s="121">
        <f>IF(N323="základní",J323,0)</f>
        <v>0</v>
      </c>
      <c r="BD323" s="121">
        <f>IF(N323="snížená",J323,0)</f>
        <v>0</v>
      </c>
      <c r="BE323" s="121">
        <f>IF(N323="zákl. přenesená",J323,0)</f>
        <v>0</v>
      </c>
      <c r="BF323" s="121">
        <f>IF(N323="sníž. přenesená",J323,0)</f>
        <v>0</v>
      </c>
      <c r="BG323" s="121">
        <f>IF(N323="nulová",J323,0)</f>
        <v>0</v>
      </c>
      <c r="BH323" s="17" t="s">
        <v>63</v>
      </c>
      <c r="BI323" s="121">
        <f>ROUND(I323*H323,2)</f>
        <v>0</v>
      </c>
      <c r="BJ323" s="17" t="s">
        <v>108</v>
      </c>
      <c r="BK323" s="120" t="s">
        <v>1259</v>
      </c>
    </row>
    <row r="324" spans="2:63" s="12" customFormat="1" x14ac:dyDescent="0.2">
      <c r="B324" s="125"/>
      <c r="D324" s="126" t="s">
        <v>112</v>
      </c>
      <c r="E324" s="127" t="s">
        <v>1</v>
      </c>
      <c r="F324" s="128" t="s">
        <v>1245</v>
      </c>
      <c r="H324" s="127" t="s">
        <v>1</v>
      </c>
      <c r="L324" s="125"/>
      <c r="M324" s="129"/>
      <c r="T324" s="130"/>
      <c r="W324"/>
      <c r="X324"/>
      <c r="Y324"/>
      <c r="AR324" s="127" t="s">
        <v>112</v>
      </c>
      <c r="AS324" s="127" t="s">
        <v>65</v>
      </c>
      <c r="AT324" s="12" t="s">
        <v>63</v>
      </c>
      <c r="AU324" s="12" t="s">
        <v>30</v>
      </c>
      <c r="AV324" s="12" t="s">
        <v>55</v>
      </c>
      <c r="AW324" s="127" t="s">
        <v>101</v>
      </c>
    </row>
    <row r="325" spans="2:63" s="12" customFormat="1" ht="33.75" x14ac:dyDescent="0.2">
      <c r="B325" s="125"/>
      <c r="D325" s="126" t="s">
        <v>112</v>
      </c>
      <c r="E325" s="127" t="s">
        <v>1</v>
      </c>
      <c r="F325" s="128" t="s">
        <v>1246</v>
      </c>
      <c r="H325" s="127" t="s">
        <v>1</v>
      </c>
      <c r="L325" s="125"/>
      <c r="M325" s="129"/>
      <c r="T325" s="130"/>
      <c r="W325"/>
      <c r="X325"/>
      <c r="Y325"/>
      <c r="AR325" s="127" t="s">
        <v>112</v>
      </c>
      <c r="AS325" s="127" t="s">
        <v>65</v>
      </c>
      <c r="AT325" s="12" t="s">
        <v>63</v>
      </c>
      <c r="AU325" s="12" t="s">
        <v>30</v>
      </c>
      <c r="AV325" s="12" t="s">
        <v>55</v>
      </c>
      <c r="AW325" s="127" t="s">
        <v>101</v>
      </c>
    </row>
    <row r="326" spans="2:63" s="13" customFormat="1" x14ac:dyDescent="0.2">
      <c r="B326" s="131"/>
      <c r="D326" s="126" t="s">
        <v>112</v>
      </c>
      <c r="E326" s="132" t="s">
        <v>1</v>
      </c>
      <c r="F326" s="133" t="s">
        <v>1247</v>
      </c>
      <c r="H326" s="134">
        <v>29.032</v>
      </c>
      <c r="L326" s="131"/>
      <c r="M326" s="135"/>
      <c r="T326" s="136"/>
      <c r="W326"/>
      <c r="X326"/>
      <c r="Y326"/>
      <c r="AR326" s="132" t="s">
        <v>112</v>
      </c>
      <c r="AS326" s="132" t="s">
        <v>65</v>
      </c>
      <c r="AT326" s="13" t="s">
        <v>65</v>
      </c>
      <c r="AU326" s="13" t="s">
        <v>30</v>
      </c>
      <c r="AV326" s="13" t="s">
        <v>63</v>
      </c>
      <c r="AW326" s="132" t="s">
        <v>101</v>
      </c>
    </row>
    <row r="327" spans="2:63" s="13" customFormat="1" x14ac:dyDescent="0.2">
      <c r="B327" s="131"/>
      <c r="D327" s="126" t="s">
        <v>112</v>
      </c>
      <c r="F327" s="133" t="s">
        <v>1260</v>
      </c>
      <c r="H327" s="134">
        <v>52.258000000000003</v>
      </c>
      <c r="L327" s="131"/>
      <c r="M327" s="135"/>
      <c r="T327" s="136"/>
      <c r="W327"/>
      <c r="X327"/>
      <c r="Y327"/>
      <c r="AR327" s="132" t="s">
        <v>112</v>
      </c>
      <c r="AS327" s="132" t="s">
        <v>65</v>
      </c>
      <c r="AT327" s="13" t="s">
        <v>65</v>
      </c>
      <c r="AU327" s="13" t="s">
        <v>2</v>
      </c>
      <c r="AV327" s="13" t="s">
        <v>63</v>
      </c>
      <c r="AW327" s="132" t="s">
        <v>101</v>
      </c>
    </row>
    <row r="328" spans="2:63" s="13" customFormat="1" x14ac:dyDescent="0.2">
      <c r="B328" s="131"/>
      <c r="D328" s="126"/>
      <c r="F328" s="133" t="s">
        <v>1853</v>
      </c>
      <c r="H328" s="134">
        <f>H327*0.82</f>
        <v>42.851559999999999</v>
      </c>
      <c r="L328" s="131"/>
      <c r="M328" s="135"/>
      <c r="T328" s="136"/>
      <c r="W328"/>
      <c r="X328"/>
      <c r="Y328"/>
      <c r="AR328" s="132"/>
      <c r="AS328" s="132"/>
      <c r="AW328" s="132"/>
    </row>
    <row r="329" spans="2:63" s="1" customFormat="1" ht="16.5" customHeight="1" x14ac:dyDescent="0.2">
      <c r="B329" s="109"/>
      <c r="C329" s="143" t="s">
        <v>321</v>
      </c>
      <c r="D329" s="143" t="s">
        <v>252</v>
      </c>
      <c r="E329" s="144" t="s">
        <v>1261</v>
      </c>
      <c r="F329" s="145" t="s">
        <v>1262</v>
      </c>
      <c r="G329" s="146" t="s">
        <v>231</v>
      </c>
      <c r="H329" s="147">
        <f>1321.211*0.82</f>
        <v>1083.39302</v>
      </c>
      <c r="I329" s="148">
        <v>0</v>
      </c>
      <c r="J329" s="148">
        <f>ROUND(I329*H329,2)</f>
        <v>0</v>
      </c>
      <c r="K329" s="145" t="s">
        <v>107</v>
      </c>
      <c r="L329" s="149"/>
      <c r="M329" s="150" t="s">
        <v>1</v>
      </c>
      <c r="N329" s="151" t="s">
        <v>39</v>
      </c>
      <c r="O329" s="118">
        <v>0</v>
      </c>
      <c r="P329" s="118">
        <f>O329*H329</f>
        <v>0</v>
      </c>
      <c r="Q329" s="118">
        <v>0</v>
      </c>
      <c r="R329" s="118">
        <f>Q329*H329</f>
        <v>0</v>
      </c>
      <c r="S329" s="118">
        <v>0</v>
      </c>
      <c r="T329" s="119">
        <f>S329*H329</f>
        <v>0</v>
      </c>
      <c r="W329"/>
      <c r="X329"/>
      <c r="Y329"/>
      <c r="AP329" s="120" t="s">
        <v>171</v>
      </c>
      <c r="AR329" s="120" t="s">
        <v>252</v>
      </c>
      <c r="AS329" s="120" t="s">
        <v>65</v>
      </c>
      <c r="AW329" s="17" t="s">
        <v>101</v>
      </c>
      <c r="BC329" s="121">
        <f>IF(N329="základní",J329,0)</f>
        <v>0</v>
      </c>
      <c r="BD329" s="121">
        <f>IF(N329="snížená",J329,0)</f>
        <v>0</v>
      </c>
      <c r="BE329" s="121">
        <f>IF(N329="zákl. přenesená",J329,0)</f>
        <v>0</v>
      </c>
      <c r="BF329" s="121">
        <f>IF(N329="sníž. přenesená",J329,0)</f>
        <v>0</v>
      </c>
      <c r="BG329" s="121">
        <f>IF(N329="nulová",J329,0)</f>
        <v>0</v>
      </c>
      <c r="BH329" s="17" t="s">
        <v>63</v>
      </c>
      <c r="BI329" s="121">
        <f>ROUND(I329*H329,2)</f>
        <v>0</v>
      </c>
      <c r="BJ329" s="17" t="s">
        <v>108</v>
      </c>
      <c r="BK329" s="120" t="s">
        <v>1263</v>
      </c>
    </row>
    <row r="330" spans="2:63" s="12" customFormat="1" x14ac:dyDescent="0.2">
      <c r="B330" s="125"/>
      <c r="D330" s="126" t="s">
        <v>112</v>
      </c>
      <c r="E330" s="127" t="s">
        <v>1</v>
      </c>
      <c r="F330" s="128" t="s">
        <v>1248</v>
      </c>
      <c r="H330" s="127" t="s">
        <v>1</v>
      </c>
      <c r="L330" s="125"/>
      <c r="M330" s="129"/>
      <c r="T330" s="130"/>
      <c r="W330"/>
      <c r="X330"/>
      <c r="Y330"/>
      <c r="AR330" s="127" t="s">
        <v>112</v>
      </c>
      <c r="AS330" s="127" t="s">
        <v>65</v>
      </c>
      <c r="AT330" s="12" t="s">
        <v>63</v>
      </c>
      <c r="AU330" s="12" t="s">
        <v>30</v>
      </c>
      <c r="AV330" s="12" t="s">
        <v>55</v>
      </c>
      <c r="AW330" s="127" t="s">
        <v>101</v>
      </c>
    </row>
    <row r="331" spans="2:63" s="12" customFormat="1" ht="22.5" x14ac:dyDescent="0.2">
      <c r="B331" s="125"/>
      <c r="D331" s="126" t="s">
        <v>112</v>
      </c>
      <c r="E331" s="127" t="s">
        <v>1</v>
      </c>
      <c r="F331" s="128" t="s">
        <v>1249</v>
      </c>
      <c r="H331" s="127" t="s">
        <v>1</v>
      </c>
      <c r="L331" s="125"/>
      <c r="M331" s="129"/>
      <c r="T331" s="130"/>
      <c r="W331"/>
      <c r="X331"/>
      <c r="Y331"/>
      <c r="AR331" s="127" t="s">
        <v>112</v>
      </c>
      <c r="AS331" s="127" t="s">
        <v>65</v>
      </c>
      <c r="AT331" s="12" t="s">
        <v>63</v>
      </c>
      <c r="AU331" s="12" t="s">
        <v>30</v>
      </c>
      <c r="AV331" s="12" t="s">
        <v>55</v>
      </c>
      <c r="AW331" s="127" t="s">
        <v>101</v>
      </c>
    </row>
    <row r="332" spans="2:63" s="13" customFormat="1" x14ac:dyDescent="0.2">
      <c r="B332" s="131"/>
      <c r="D332" s="126" t="s">
        <v>112</v>
      </c>
      <c r="E332" s="132" t="s">
        <v>1</v>
      </c>
      <c r="F332" s="133" t="s">
        <v>1250</v>
      </c>
      <c r="H332" s="134">
        <v>66.3</v>
      </c>
      <c r="L332" s="131"/>
      <c r="M332" s="135"/>
      <c r="T332" s="136"/>
      <c r="W332"/>
      <c r="X332"/>
      <c r="Y332"/>
      <c r="AR332" s="132" t="s">
        <v>112</v>
      </c>
      <c r="AS332" s="132" t="s">
        <v>65</v>
      </c>
      <c r="AT332" s="13" t="s">
        <v>65</v>
      </c>
      <c r="AU332" s="13" t="s">
        <v>30</v>
      </c>
      <c r="AV332" s="13" t="s">
        <v>55</v>
      </c>
      <c r="AW332" s="132" t="s">
        <v>101</v>
      </c>
    </row>
    <row r="333" spans="2:63" s="13" customFormat="1" x14ac:dyDescent="0.2">
      <c r="B333" s="131"/>
      <c r="D333" s="126" t="s">
        <v>112</v>
      </c>
      <c r="E333" s="132" t="s">
        <v>1</v>
      </c>
      <c r="F333" s="133" t="s">
        <v>1251</v>
      </c>
      <c r="H333" s="134">
        <v>132.875</v>
      </c>
      <c r="L333" s="131"/>
      <c r="M333" s="135"/>
      <c r="T333" s="136"/>
      <c r="W333"/>
      <c r="X333"/>
      <c r="Y333"/>
      <c r="AR333" s="132" t="s">
        <v>112</v>
      </c>
      <c r="AS333" s="132" t="s">
        <v>65</v>
      </c>
      <c r="AT333" s="13" t="s">
        <v>65</v>
      </c>
      <c r="AU333" s="13" t="s">
        <v>30</v>
      </c>
      <c r="AV333" s="13" t="s">
        <v>55</v>
      </c>
      <c r="AW333" s="132" t="s">
        <v>101</v>
      </c>
    </row>
    <row r="334" spans="2:63" s="13" customFormat="1" x14ac:dyDescent="0.2">
      <c r="B334" s="131"/>
      <c r="D334" s="126" t="s">
        <v>112</v>
      </c>
      <c r="E334" s="132" t="s">
        <v>1</v>
      </c>
      <c r="F334" s="133" t="s">
        <v>1252</v>
      </c>
      <c r="H334" s="134">
        <v>26.74</v>
      </c>
      <c r="L334" s="131"/>
      <c r="M334" s="135"/>
      <c r="T334" s="136"/>
      <c r="W334"/>
      <c r="X334"/>
      <c r="Y334"/>
      <c r="AR334" s="132" t="s">
        <v>112</v>
      </c>
      <c r="AS334" s="132" t="s">
        <v>65</v>
      </c>
      <c r="AT334" s="13" t="s">
        <v>65</v>
      </c>
      <c r="AU334" s="13" t="s">
        <v>30</v>
      </c>
      <c r="AV334" s="13" t="s">
        <v>55</v>
      </c>
      <c r="AW334" s="132" t="s">
        <v>101</v>
      </c>
    </row>
    <row r="335" spans="2:63" s="13" customFormat="1" x14ac:dyDescent="0.2">
      <c r="B335" s="131"/>
      <c r="D335" s="126" t="s">
        <v>112</v>
      </c>
      <c r="E335" s="132" t="s">
        <v>1</v>
      </c>
      <c r="F335" s="133" t="s">
        <v>1253</v>
      </c>
      <c r="H335" s="134">
        <v>44.655000000000001</v>
      </c>
      <c r="L335" s="131"/>
      <c r="M335" s="135"/>
      <c r="T335" s="136"/>
      <c r="W335"/>
      <c r="X335"/>
      <c r="Y335"/>
      <c r="AR335" s="132" t="s">
        <v>112</v>
      </c>
      <c r="AS335" s="132" t="s">
        <v>65</v>
      </c>
      <c r="AT335" s="13" t="s">
        <v>65</v>
      </c>
      <c r="AU335" s="13" t="s">
        <v>30</v>
      </c>
      <c r="AV335" s="13" t="s">
        <v>55</v>
      </c>
      <c r="AW335" s="132" t="s">
        <v>101</v>
      </c>
    </row>
    <row r="336" spans="2:63" s="13" customFormat="1" x14ac:dyDescent="0.2">
      <c r="B336" s="131"/>
      <c r="D336" s="126" t="s">
        <v>112</v>
      </c>
      <c r="E336" s="132" t="s">
        <v>1</v>
      </c>
      <c r="F336" s="133" t="s">
        <v>1254</v>
      </c>
      <c r="H336" s="134">
        <v>92.4</v>
      </c>
      <c r="L336" s="131"/>
      <c r="M336" s="135"/>
      <c r="T336" s="136"/>
      <c r="W336"/>
      <c r="X336"/>
      <c r="Y336"/>
      <c r="AR336" s="132" t="s">
        <v>112</v>
      </c>
      <c r="AS336" s="132" t="s">
        <v>65</v>
      </c>
      <c r="AT336" s="13" t="s">
        <v>65</v>
      </c>
      <c r="AU336" s="13" t="s">
        <v>30</v>
      </c>
      <c r="AV336" s="13" t="s">
        <v>55</v>
      </c>
      <c r="AW336" s="132" t="s">
        <v>101</v>
      </c>
    </row>
    <row r="337" spans="2:63" s="13" customFormat="1" x14ac:dyDescent="0.2">
      <c r="B337" s="131"/>
      <c r="D337" s="126" t="s">
        <v>112</v>
      </c>
      <c r="E337" s="132" t="s">
        <v>1</v>
      </c>
      <c r="F337" s="133" t="s">
        <v>1255</v>
      </c>
      <c r="H337" s="134">
        <v>84.24</v>
      </c>
      <c r="L337" s="131"/>
      <c r="M337" s="135"/>
      <c r="T337" s="136"/>
      <c r="W337"/>
      <c r="X337"/>
      <c r="Y337"/>
      <c r="AR337" s="132" t="s">
        <v>112</v>
      </c>
      <c r="AS337" s="132" t="s">
        <v>65</v>
      </c>
      <c r="AT337" s="13" t="s">
        <v>65</v>
      </c>
      <c r="AU337" s="13" t="s">
        <v>30</v>
      </c>
      <c r="AV337" s="13" t="s">
        <v>55</v>
      </c>
      <c r="AW337" s="132" t="s">
        <v>101</v>
      </c>
    </row>
    <row r="338" spans="2:63" s="13" customFormat="1" x14ac:dyDescent="0.2">
      <c r="B338" s="131"/>
      <c r="D338" s="126" t="s">
        <v>112</v>
      </c>
      <c r="E338" s="132" t="s">
        <v>1</v>
      </c>
      <c r="F338" s="133" t="s">
        <v>1256</v>
      </c>
      <c r="H338" s="134">
        <v>83.986000000000004</v>
      </c>
      <c r="L338" s="131"/>
      <c r="M338" s="135"/>
      <c r="T338" s="136"/>
      <c r="W338"/>
      <c r="X338"/>
      <c r="Y338"/>
      <c r="AR338" s="132" t="s">
        <v>112</v>
      </c>
      <c r="AS338" s="132" t="s">
        <v>65</v>
      </c>
      <c r="AT338" s="13" t="s">
        <v>65</v>
      </c>
      <c r="AU338" s="13" t="s">
        <v>30</v>
      </c>
      <c r="AV338" s="13" t="s">
        <v>55</v>
      </c>
      <c r="AW338" s="132" t="s">
        <v>101</v>
      </c>
    </row>
    <row r="339" spans="2:63" s="13" customFormat="1" x14ac:dyDescent="0.2">
      <c r="B339" s="131"/>
      <c r="D339" s="126" t="s">
        <v>112</v>
      </c>
      <c r="E339" s="132" t="s">
        <v>1</v>
      </c>
      <c r="F339" s="133" t="s">
        <v>1257</v>
      </c>
      <c r="H339" s="134">
        <v>34.938000000000002</v>
      </c>
      <c r="L339" s="131"/>
      <c r="M339" s="135"/>
      <c r="T339" s="136"/>
      <c r="W339"/>
      <c r="X339"/>
      <c r="Y339"/>
      <c r="AR339" s="132" t="s">
        <v>112</v>
      </c>
      <c r="AS339" s="132" t="s">
        <v>65</v>
      </c>
      <c r="AT339" s="13" t="s">
        <v>65</v>
      </c>
      <c r="AU339" s="13" t="s">
        <v>30</v>
      </c>
      <c r="AV339" s="13" t="s">
        <v>55</v>
      </c>
      <c r="AW339" s="132" t="s">
        <v>101</v>
      </c>
    </row>
    <row r="340" spans="2:63" s="13" customFormat="1" x14ac:dyDescent="0.2">
      <c r="B340" s="131"/>
      <c r="D340" s="126" t="s">
        <v>112</v>
      </c>
      <c r="E340" s="132" t="s">
        <v>1</v>
      </c>
      <c r="F340" s="133" t="s">
        <v>1258</v>
      </c>
      <c r="H340" s="134">
        <v>167.87200000000001</v>
      </c>
      <c r="L340" s="131"/>
      <c r="M340" s="135"/>
      <c r="T340" s="136"/>
      <c r="W340"/>
      <c r="X340"/>
      <c r="Y340"/>
      <c r="AR340" s="132" t="s">
        <v>112</v>
      </c>
      <c r="AS340" s="132" t="s">
        <v>65</v>
      </c>
      <c r="AT340" s="13" t="s">
        <v>65</v>
      </c>
      <c r="AU340" s="13" t="s">
        <v>30</v>
      </c>
      <c r="AV340" s="13" t="s">
        <v>55</v>
      </c>
      <c r="AW340" s="132" t="s">
        <v>101</v>
      </c>
    </row>
    <row r="341" spans="2:63" s="14" customFormat="1" x14ac:dyDescent="0.2">
      <c r="B341" s="137"/>
      <c r="D341" s="126" t="s">
        <v>112</v>
      </c>
      <c r="E341" s="138" t="s">
        <v>1</v>
      </c>
      <c r="F341" s="139" t="s">
        <v>127</v>
      </c>
      <c r="H341" s="140">
        <v>734.00599999999997</v>
      </c>
      <c r="L341" s="137"/>
      <c r="M341" s="141"/>
      <c r="T341" s="142"/>
      <c r="W341"/>
      <c r="X341"/>
      <c r="Y341"/>
      <c r="AR341" s="138" t="s">
        <v>112</v>
      </c>
      <c r="AS341" s="138" t="s">
        <v>65</v>
      </c>
      <c r="AT341" s="14" t="s">
        <v>108</v>
      </c>
      <c r="AU341" s="14" t="s">
        <v>30</v>
      </c>
      <c r="AV341" s="14" t="s">
        <v>63</v>
      </c>
      <c r="AW341" s="138" t="s">
        <v>101</v>
      </c>
    </row>
    <row r="342" spans="2:63" s="13" customFormat="1" x14ac:dyDescent="0.2">
      <c r="B342" s="131"/>
      <c r="D342" s="126" t="s">
        <v>112</v>
      </c>
      <c r="F342" s="133" t="s">
        <v>1264</v>
      </c>
      <c r="H342" s="134">
        <v>1321.211</v>
      </c>
      <c r="L342" s="131"/>
      <c r="M342" s="135"/>
      <c r="T342" s="136"/>
      <c r="W342"/>
      <c r="X342"/>
      <c r="Y342"/>
      <c r="AR342" s="132" t="s">
        <v>112</v>
      </c>
      <c r="AS342" s="132" t="s">
        <v>65</v>
      </c>
      <c r="AT342" s="13" t="s">
        <v>65</v>
      </c>
      <c r="AU342" s="13" t="s">
        <v>2</v>
      </c>
      <c r="AV342" s="13" t="s">
        <v>63</v>
      </c>
      <c r="AW342" s="132" t="s">
        <v>101</v>
      </c>
    </row>
    <row r="343" spans="2:63" s="13" customFormat="1" x14ac:dyDescent="0.2">
      <c r="B343" s="131"/>
      <c r="D343" s="126"/>
      <c r="F343" s="139" t="s">
        <v>1853</v>
      </c>
      <c r="H343" s="134">
        <f>H342*0.82</f>
        <v>1083.39302</v>
      </c>
      <c r="L343" s="131"/>
      <c r="M343" s="135"/>
      <c r="T343" s="136"/>
      <c r="W343"/>
      <c r="X343"/>
      <c r="Y343"/>
      <c r="AR343" s="132"/>
      <c r="AS343" s="132"/>
      <c r="AW343" s="132"/>
    </row>
    <row r="344" spans="2:63" s="1" customFormat="1" ht="66.75" customHeight="1" x14ac:dyDescent="0.2">
      <c r="B344" s="109"/>
      <c r="C344" s="110" t="s">
        <v>325</v>
      </c>
      <c r="D344" s="110" t="s">
        <v>103</v>
      </c>
      <c r="E344" s="111" t="s">
        <v>257</v>
      </c>
      <c r="F344" s="112" t="s">
        <v>258</v>
      </c>
      <c r="G344" s="113" t="s">
        <v>130</v>
      </c>
      <c r="H344" s="114">
        <f>12.387*0.82</f>
        <v>10.15734</v>
      </c>
      <c r="I344" s="115">
        <v>0</v>
      </c>
      <c r="J344" s="115">
        <f>ROUND(I344*H344,2)</f>
        <v>0</v>
      </c>
      <c r="K344" s="112" t="s">
        <v>107</v>
      </c>
      <c r="L344" s="28"/>
      <c r="M344" s="116" t="s">
        <v>1</v>
      </c>
      <c r="N344" s="117" t="s">
        <v>39</v>
      </c>
      <c r="O344" s="118">
        <v>0.435</v>
      </c>
      <c r="P344" s="118">
        <f>O344*H344</f>
        <v>4.4184428999999996</v>
      </c>
      <c r="Q344" s="118">
        <v>0</v>
      </c>
      <c r="R344" s="118">
        <f>Q344*H344</f>
        <v>0</v>
      </c>
      <c r="S344" s="118">
        <v>0</v>
      </c>
      <c r="T344" s="119">
        <f>S344*H344</f>
        <v>0</v>
      </c>
      <c r="W344"/>
      <c r="X344"/>
      <c r="Y344"/>
      <c r="AP344" s="120" t="s">
        <v>108</v>
      </c>
      <c r="AR344" s="120" t="s">
        <v>103</v>
      </c>
      <c r="AS344" s="120" t="s">
        <v>65</v>
      </c>
      <c r="AW344" s="17" t="s">
        <v>101</v>
      </c>
      <c r="BC344" s="121">
        <f>IF(N344="základní",J344,0)</f>
        <v>0</v>
      </c>
      <c r="BD344" s="121">
        <f>IF(N344="snížená",J344,0)</f>
        <v>0</v>
      </c>
      <c r="BE344" s="121">
        <f>IF(N344="zákl. přenesená",J344,0)</f>
        <v>0</v>
      </c>
      <c r="BF344" s="121">
        <f>IF(N344="sníž. přenesená",J344,0)</f>
        <v>0</v>
      </c>
      <c r="BG344" s="121">
        <f>IF(N344="nulová",J344,0)</f>
        <v>0</v>
      </c>
      <c r="BH344" s="17" t="s">
        <v>63</v>
      </c>
      <c r="BI344" s="121">
        <f>ROUND(I344*H344,2)</f>
        <v>0</v>
      </c>
      <c r="BJ344" s="17" t="s">
        <v>108</v>
      </c>
      <c r="BK344" s="120" t="s">
        <v>1265</v>
      </c>
    </row>
    <row r="345" spans="2:63" s="1" customFormat="1" x14ac:dyDescent="0.2">
      <c r="B345" s="28"/>
      <c r="D345" s="122" t="s">
        <v>110</v>
      </c>
      <c r="F345" s="123" t="s">
        <v>260</v>
      </c>
      <c r="L345" s="28"/>
      <c r="M345" s="124"/>
      <c r="T345" s="48"/>
      <c r="W345"/>
      <c r="X345"/>
      <c r="Y345"/>
      <c r="AR345" s="17" t="s">
        <v>110</v>
      </c>
      <c r="AS345" s="17" t="s">
        <v>65</v>
      </c>
    </row>
    <row r="346" spans="2:63" s="12" customFormat="1" ht="22.5" x14ac:dyDescent="0.2">
      <c r="B346" s="125"/>
      <c r="D346" s="126" t="s">
        <v>112</v>
      </c>
      <c r="E346" s="127" t="s">
        <v>1</v>
      </c>
      <c r="F346" s="128" t="s">
        <v>265</v>
      </c>
      <c r="H346" s="127" t="s">
        <v>1</v>
      </c>
      <c r="L346" s="125"/>
      <c r="M346" s="129"/>
      <c r="T346" s="130"/>
      <c r="W346"/>
      <c r="X346"/>
      <c r="Y346"/>
      <c r="AR346" s="127" t="s">
        <v>112</v>
      </c>
      <c r="AS346" s="127" t="s">
        <v>65</v>
      </c>
      <c r="AT346" s="12" t="s">
        <v>63</v>
      </c>
      <c r="AU346" s="12" t="s">
        <v>30</v>
      </c>
      <c r="AV346" s="12" t="s">
        <v>55</v>
      </c>
      <c r="AW346" s="127" t="s">
        <v>101</v>
      </c>
    </row>
    <row r="347" spans="2:63" s="13" customFormat="1" x14ac:dyDescent="0.2">
      <c r="B347" s="131"/>
      <c r="D347" s="126" t="s">
        <v>112</v>
      </c>
      <c r="E347" s="132" t="s">
        <v>1</v>
      </c>
      <c r="F347" s="133" t="s">
        <v>1879</v>
      </c>
      <c r="H347" s="134">
        <f>12.387*0.82</f>
        <v>10.15734</v>
      </c>
      <c r="L347" s="131"/>
      <c r="M347" s="135"/>
      <c r="T347" s="136"/>
      <c r="W347"/>
      <c r="X347"/>
      <c r="Y347"/>
      <c r="AR347" s="132" t="s">
        <v>112</v>
      </c>
      <c r="AS347" s="132" t="s">
        <v>65</v>
      </c>
      <c r="AT347" s="13" t="s">
        <v>65</v>
      </c>
      <c r="AU347" s="13" t="s">
        <v>30</v>
      </c>
      <c r="AV347" s="13" t="s">
        <v>63</v>
      </c>
      <c r="AW347" s="132" t="s">
        <v>101</v>
      </c>
    </row>
    <row r="348" spans="2:63" s="1" customFormat="1" ht="16.5" customHeight="1" x14ac:dyDescent="0.2">
      <c r="B348" s="109"/>
      <c r="C348" s="143" t="s">
        <v>329</v>
      </c>
      <c r="D348" s="143" t="s">
        <v>252</v>
      </c>
      <c r="E348" s="144" t="s">
        <v>262</v>
      </c>
      <c r="F348" s="145" t="s">
        <v>263</v>
      </c>
      <c r="G348" s="146" t="s">
        <v>231</v>
      </c>
      <c r="H348" s="147">
        <f>22.302*0.82</f>
        <v>18.28764</v>
      </c>
      <c r="I348" s="148">
        <v>0</v>
      </c>
      <c r="J348" s="148">
        <f>ROUND(I348*H348,2)</f>
        <v>0</v>
      </c>
      <c r="K348" s="145" t="s">
        <v>107</v>
      </c>
      <c r="L348" s="149"/>
      <c r="M348" s="150" t="s">
        <v>1</v>
      </c>
      <c r="N348" s="151" t="s">
        <v>39</v>
      </c>
      <c r="O348" s="118">
        <v>0</v>
      </c>
      <c r="P348" s="118">
        <f>O348*H348</f>
        <v>0</v>
      </c>
      <c r="Q348" s="118">
        <v>0</v>
      </c>
      <c r="R348" s="118">
        <f>Q348*H348</f>
        <v>0</v>
      </c>
      <c r="S348" s="118">
        <v>0</v>
      </c>
      <c r="T348" s="119">
        <f>S348*H348</f>
        <v>0</v>
      </c>
      <c r="W348"/>
      <c r="X348"/>
      <c r="Y348"/>
      <c r="AP348" s="120" t="s">
        <v>171</v>
      </c>
      <c r="AR348" s="120" t="s">
        <v>252</v>
      </c>
      <c r="AS348" s="120" t="s">
        <v>65</v>
      </c>
      <c r="AW348" s="17" t="s">
        <v>101</v>
      </c>
      <c r="BC348" s="121">
        <f>IF(N348="základní",J348,0)</f>
        <v>0</v>
      </c>
      <c r="BD348" s="121">
        <f>IF(N348="snížená",J348,0)</f>
        <v>0</v>
      </c>
      <c r="BE348" s="121">
        <f>IF(N348="zákl. přenesená",J348,0)</f>
        <v>0</v>
      </c>
      <c r="BF348" s="121">
        <f>IF(N348="sníž. přenesená",J348,0)</f>
        <v>0</v>
      </c>
      <c r="BG348" s="121">
        <f>IF(N348="nulová",J348,0)</f>
        <v>0</v>
      </c>
      <c r="BH348" s="17" t="s">
        <v>63</v>
      </c>
      <c r="BI348" s="121">
        <f>ROUND(I348*H348,2)</f>
        <v>0</v>
      </c>
      <c r="BJ348" s="17" t="s">
        <v>108</v>
      </c>
      <c r="BK348" s="120" t="s">
        <v>1267</v>
      </c>
    </row>
    <row r="349" spans="2:63" s="13" customFormat="1" x14ac:dyDescent="0.2">
      <c r="B349" s="131"/>
      <c r="D349" s="126" t="s">
        <v>112</v>
      </c>
      <c r="F349" s="133" t="s">
        <v>1880</v>
      </c>
      <c r="H349" s="134">
        <f>22.302*0.82</f>
        <v>18.28764</v>
      </c>
      <c r="L349" s="131"/>
      <c r="M349" s="135"/>
      <c r="T349" s="136"/>
      <c r="W349"/>
      <c r="X349"/>
      <c r="Y349"/>
      <c r="AR349" s="132" t="s">
        <v>112</v>
      </c>
      <c r="AS349" s="132" t="s">
        <v>65</v>
      </c>
      <c r="AT349" s="13" t="s">
        <v>65</v>
      </c>
      <c r="AU349" s="13" t="s">
        <v>2</v>
      </c>
      <c r="AV349" s="13" t="s">
        <v>63</v>
      </c>
      <c r="AW349" s="132" t="s">
        <v>101</v>
      </c>
    </row>
    <row r="350" spans="2:63" s="1" customFormat="1" ht="37.9" customHeight="1" x14ac:dyDescent="0.2">
      <c r="B350" s="109"/>
      <c r="C350" s="110" t="s">
        <v>334</v>
      </c>
      <c r="D350" s="110" t="s">
        <v>103</v>
      </c>
      <c r="E350" s="111" t="s">
        <v>1269</v>
      </c>
      <c r="F350" s="112" t="s">
        <v>1270</v>
      </c>
      <c r="G350" s="113" t="s">
        <v>174</v>
      </c>
      <c r="H350" s="114">
        <f>1146.674*0.82</f>
        <v>940.27267999999992</v>
      </c>
      <c r="I350" s="115">
        <v>0</v>
      </c>
      <c r="J350" s="115">
        <f>ROUND(I350*H350,2)</f>
        <v>0</v>
      </c>
      <c r="K350" s="112" t="s">
        <v>107</v>
      </c>
      <c r="L350" s="28"/>
      <c r="M350" s="116" t="s">
        <v>1</v>
      </c>
      <c r="N350" s="117" t="s">
        <v>39</v>
      </c>
      <c r="O350" s="118">
        <v>1.7999999999999999E-2</v>
      </c>
      <c r="P350" s="118">
        <f>O350*H350</f>
        <v>16.924908239999997</v>
      </c>
      <c r="Q350" s="118">
        <v>0</v>
      </c>
      <c r="R350" s="118">
        <f>Q350*H350</f>
        <v>0</v>
      </c>
      <c r="S350" s="118">
        <v>0</v>
      </c>
      <c r="T350" s="119">
        <f>S350*H350</f>
        <v>0</v>
      </c>
      <c r="W350"/>
      <c r="X350"/>
      <c r="Y350"/>
      <c r="AP350" s="120" t="s">
        <v>108</v>
      </c>
      <c r="AR350" s="120" t="s">
        <v>103</v>
      </c>
      <c r="AS350" s="120" t="s">
        <v>65</v>
      </c>
      <c r="AW350" s="17" t="s">
        <v>101</v>
      </c>
      <c r="BC350" s="121">
        <f>IF(N350="základní",J350,0)</f>
        <v>0</v>
      </c>
      <c r="BD350" s="121">
        <f>IF(N350="snížená",J350,0)</f>
        <v>0</v>
      </c>
      <c r="BE350" s="121">
        <f>IF(N350="zákl. přenesená",J350,0)</f>
        <v>0</v>
      </c>
      <c r="BF350" s="121">
        <f>IF(N350="sníž. přenesená",J350,0)</f>
        <v>0</v>
      </c>
      <c r="BG350" s="121">
        <f>IF(N350="nulová",J350,0)</f>
        <v>0</v>
      </c>
      <c r="BH350" s="17" t="s">
        <v>63</v>
      </c>
      <c r="BI350" s="121">
        <f>ROUND(I350*H350,2)</f>
        <v>0</v>
      </c>
      <c r="BJ350" s="17" t="s">
        <v>108</v>
      </c>
      <c r="BK350" s="120" t="s">
        <v>1271</v>
      </c>
    </row>
    <row r="351" spans="2:63" s="1" customFormat="1" x14ac:dyDescent="0.2">
      <c r="B351" s="28"/>
      <c r="D351" s="122" t="s">
        <v>110</v>
      </c>
      <c r="F351" s="123" t="s">
        <v>1272</v>
      </c>
      <c r="L351" s="28"/>
      <c r="M351" s="124"/>
      <c r="T351" s="48"/>
      <c r="W351"/>
      <c r="X351"/>
      <c r="Y351"/>
      <c r="AR351" s="17" t="s">
        <v>110</v>
      </c>
      <c r="AS351" s="17" t="s">
        <v>65</v>
      </c>
    </row>
    <row r="352" spans="2:63" s="12" customFormat="1" x14ac:dyDescent="0.2">
      <c r="B352" s="125"/>
      <c r="D352" s="126" t="s">
        <v>112</v>
      </c>
      <c r="E352" s="127" t="s">
        <v>1</v>
      </c>
      <c r="F352" s="128" t="s">
        <v>1122</v>
      </c>
      <c r="H352" s="127" t="s">
        <v>1</v>
      </c>
      <c r="L352" s="125"/>
      <c r="M352" s="129"/>
      <c r="T352" s="130"/>
      <c r="W352"/>
      <c r="X352"/>
      <c r="Y352"/>
      <c r="AR352" s="127" t="s">
        <v>112</v>
      </c>
      <c r="AS352" s="127" t="s">
        <v>65</v>
      </c>
      <c r="AT352" s="12" t="s">
        <v>63</v>
      </c>
      <c r="AU352" s="12" t="s">
        <v>30</v>
      </c>
      <c r="AV352" s="12" t="s">
        <v>55</v>
      </c>
      <c r="AW352" s="127" t="s">
        <v>101</v>
      </c>
    </row>
    <row r="353" spans="2:63" s="12" customFormat="1" x14ac:dyDescent="0.2">
      <c r="B353" s="125"/>
      <c r="D353" s="126" t="s">
        <v>112</v>
      </c>
      <c r="E353" s="127" t="s">
        <v>1</v>
      </c>
      <c r="F353" s="128" t="s">
        <v>1273</v>
      </c>
      <c r="H353" s="127" t="s">
        <v>1</v>
      </c>
      <c r="L353" s="125"/>
      <c r="M353" s="129"/>
      <c r="T353" s="130"/>
      <c r="W353"/>
      <c r="X353"/>
      <c r="Y353"/>
      <c r="AR353" s="127" t="s">
        <v>112</v>
      </c>
      <c r="AS353" s="127" t="s">
        <v>65</v>
      </c>
      <c r="AT353" s="12" t="s">
        <v>63</v>
      </c>
      <c r="AU353" s="12" t="s">
        <v>30</v>
      </c>
      <c r="AV353" s="12" t="s">
        <v>55</v>
      </c>
      <c r="AW353" s="127" t="s">
        <v>101</v>
      </c>
    </row>
    <row r="354" spans="2:63" s="13" customFormat="1" x14ac:dyDescent="0.2">
      <c r="B354" s="131"/>
      <c r="D354" s="126" t="s">
        <v>112</v>
      </c>
      <c r="E354" s="132" t="s">
        <v>1</v>
      </c>
      <c r="F354" s="133" t="s">
        <v>1274</v>
      </c>
      <c r="H354" s="134">
        <v>66.3</v>
      </c>
      <c r="L354" s="131"/>
      <c r="M354" s="135"/>
      <c r="T354" s="136"/>
      <c r="W354"/>
      <c r="X354"/>
      <c r="Y354"/>
      <c r="AR354" s="132" t="s">
        <v>112</v>
      </c>
      <c r="AS354" s="132" t="s">
        <v>65</v>
      </c>
      <c r="AT354" s="13" t="s">
        <v>65</v>
      </c>
      <c r="AU354" s="13" t="s">
        <v>30</v>
      </c>
      <c r="AV354" s="13" t="s">
        <v>55</v>
      </c>
      <c r="AW354" s="132" t="s">
        <v>101</v>
      </c>
    </row>
    <row r="355" spans="2:63" s="13" customFormat="1" x14ac:dyDescent="0.2">
      <c r="B355" s="131"/>
      <c r="D355" s="126" t="s">
        <v>112</v>
      </c>
      <c r="E355" s="132" t="s">
        <v>1</v>
      </c>
      <c r="F355" s="133" t="s">
        <v>1275</v>
      </c>
      <c r="H355" s="134">
        <v>265.75</v>
      </c>
      <c r="L355" s="131"/>
      <c r="M355" s="135"/>
      <c r="T355" s="136"/>
      <c r="W355"/>
      <c r="X355"/>
      <c r="Y355"/>
      <c r="AR355" s="132" t="s">
        <v>112</v>
      </c>
      <c r="AS355" s="132" t="s">
        <v>65</v>
      </c>
      <c r="AT355" s="13" t="s">
        <v>65</v>
      </c>
      <c r="AU355" s="13" t="s">
        <v>30</v>
      </c>
      <c r="AV355" s="13" t="s">
        <v>55</v>
      </c>
      <c r="AW355" s="132" t="s">
        <v>101</v>
      </c>
    </row>
    <row r="356" spans="2:63" s="13" customFormat="1" x14ac:dyDescent="0.2">
      <c r="B356" s="131"/>
      <c r="D356" s="126" t="s">
        <v>112</v>
      </c>
      <c r="E356" s="132" t="s">
        <v>1</v>
      </c>
      <c r="F356" s="133" t="s">
        <v>1276</v>
      </c>
      <c r="H356" s="134">
        <v>26.74</v>
      </c>
      <c r="L356" s="131"/>
      <c r="M356" s="135"/>
      <c r="T356" s="136"/>
      <c r="W356"/>
      <c r="X356"/>
      <c r="Y356"/>
      <c r="AR356" s="132" t="s">
        <v>112</v>
      </c>
      <c r="AS356" s="132" t="s">
        <v>65</v>
      </c>
      <c r="AT356" s="13" t="s">
        <v>65</v>
      </c>
      <c r="AU356" s="13" t="s">
        <v>30</v>
      </c>
      <c r="AV356" s="13" t="s">
        <v>55</v>
      </c>
      <c r="AW356" s="132" t="s">
        <v>101</v>
      </c>
    </row>
    <row r="357" spans="2:63" s="13" customFormat="1" x14ac:dyDescent="0.2">
      <c r="B357" s="131"/>
      <c r="D357" s="126" t="s">
        <v>112</v>
      </c>
      <c r="E357" s="132" t="s">
        <v>1</v>
      </c>
      <c r="F357" s="133" t="s">
        <v>1277</v>
      </c>
      <c r="H357" s="134">
        <v>81.19</v>
      </c>
      <c r="L357" s="131"/>
      <c r="M357" s="135"/>
      <c r="T357" s="136"/>
      <c r="W357"/>
      <c r="X357"/>
      <c r="Y357"/>
      <c r="AR357" s="132" t="s">
        <v>112</v>
      </c>
      <c r="AS357" s="132" t="s">
        <v>65</v>
      </c>
      <c r="AT357" s="13" t="s">
        <v>65</v>
      </c>
      <c r="AU357" s="13" t="s">
        <v>30</v>
      </c>
      <c r="AV357" s="13" t="s">
        <v>55</v>
      </c>
      <c r="AW357" s="132" t="s">
        <v>101</v>
      </c>
    </row>
    <row r="358" spans="2:63" s="13" customFormat="1" x14ac:dyDescent="0.2">
      <c r="B358" s="131"/>
      <c r="D358" s="126" t="s">
        <v>112</v>
      </c>
      <c r="E358" s="132" t="s">
        <v>1</v>
      </c>
      <c r="F358" s="133" t="s">
        <v>1278</v>
      </c>
      <c r="H358" s="134">
        <v>132</v>
      </c>
      <c r="L358" s="131"/>
      <c r="M358" s="135"/>
      <c r="T358" s="136"/>
      <c r="W358"/>
      <c r="X358"/>
      <c r="Y358"/>
      <c r="AR358" s="132" t="s">
        <v>112</v>
      </c>
      <c r="AS358" s="132" t="s">
        <v>65</v>
      </c>
      <c r="AT358" s="13" t="s">
        <v>65</v>
      </c>
      <c r="AU358" s="13" t="s">
        <v>30</v>
      </c>
      <c r="AV358" s="13" t="s">
        <v>55</v>
      </c>
      <c r="AW358" s="132" t="s">
        <v>101</v>
      </c>
    </row>
    <row r="359" spans="2:63" s="13" customFormat="1" x14ac:dyDescent="0.2">
      <c r="B359" s="131"/>
      <c r="D359" s="126" t="s">
        <v>112</v>
      </c>
      <c r="E359" s="132" t="s">
        <v>1</v>
      </c>
      <c r="F359" s="133" t="s">
        <v>1279</v>
      </c>
      <c r="H359" s="134">
        <v>168.48</v>
      </c>
      <c r="L359" s="131"/>
      <c r="M359" s="135"/>
      <c r="T359" s="136"/>
      <c r="W359"/>
      <c r="X359"/>
      <c r="Y359"/>
      <c r="AR359" s="132" t="s">
        <v>112</v>
      </c>
      <c r="AS359" s="132" t="s">
        <v>65</v>
      </c>
      <c r="AT359" s="13" t="s">
        <v>65</v>
      </c>
      <c r="AU359" s="13" t="s">
        <v>30</v>
      </c>
      <c r="AV359" s="13" t="s">
        <v>55</v>
      </c>
      <c r="AW359" s="132" t="s">
        <v>101</v>
      </c>
    </row>
    <row r="360" spans="2:63" s="13" customFormat="1" x14ac:dyDescent="0.2">
      <c r="B360" s="131"/>
      <c r="D360" s="126" t="s">
        <v>112</v>
      </c>
      <c r="E360" s="132" t="s">
        <v>1</v>
      </c>
      <c r="F360" s="133" t="s">
        <v>1280</v>
      </c>
      <c r="H360" s="134">
        <v>152.702</v>
      </c>
      <c r="L360" s="131"/>
      <c r="M360" s="135"/>
      <c r="T360" s="136"/>
      <c r="W360"/>
      <c r="X360"/>
      <c r="Y360"/>
      <c r="AR360" s="132" t="s">
        <v>112</v>
      </c>
      <c r="AS360" s="132" t="s">
        <v>65</v>
      </c>
      <c r="AT360" s="13" t="s">
        <v>65</v>
      </c>
      <c r="AU360" s="13" t="s">
        <v>30</v>
      </c>
      <c r="AV360" s="13" t="s">
        <v>55</v>
      </c>
      <c r="AW360" s="132" t="s">
        <v>101</v>
      </c>
    </row>
    <row r="361" spans="2:63" s="13" customFormat="1" x14ac:dyDescent="0.2">
      <c r="B361" s="131"/>
      <c r="D361" s="126" t="s">
        <v>112</v>
      </c>
      <c r="E361" s="132" t="s">
        <v>1</v>
      </c>
      <c r="F361" s="133" t="s">
        <v>1281</v>
      </c>
      <c r="H361" s="134">
        <v>43.671999999999997</v>
      </c>
      <c r="L361" s="131"/>
      <c r="M361" s="135"/>
      <c r="T361" s="136"/>
      <c r="W361"/>
      <c r="X361"/>
      <c r="Y361"/>
      <c r="AR361" s="132" t="s">
        <v>112</v>
      </c>
      <c r="AS361" s="132" t="s">
        <v>65</v>
      </c>
      <c r="AT361" s="13" t="s">
        <v>65</v>
      </c>
      <c r="AU361" s="13" t="s">
        <v>30</v>
      </c>
      <c r="AV361" s="13" t="s">
        <v>55</v>
      </c>
      <c r="AW361" s="132" t="s">
        <v>101</v>
      </c>
    </row>
    <row r="362" spans="2:63" s="13" customFormat="1" x14ac:dyDescent="0.2">
      <c r="B362" s="131"/>
      <c r="D362" s="126" t="s">
        <v>112</v>
      </c>
      <c r="E362" s="132" t="s">
        <v>1</v>
      </c>
      <c r="F362" s="133" t="s">
        <v>1282</v>
      </c>
      <c r="H362" s="134">
        <v>209.84</v>
      </c>
      <c r="L362" s="131"/>
      <c r="M362" s="135"/>
      <c r="T362" s="136"/>
      <c r="W362"/>
      <c r="X362"/>
      <c r="Y362"/>
      <c r="AR362" s="132" t="s">
        <v>112</v>
      </c>
      <c r="AS362" s="132" t="s">
        <v>65</v>
      </c>
      <c r="AT362" s="13" t="s">
        <v>65</v>
      </c>
      <c r="AU362" s="13" t="s">
        <v>30</v>
      </c>
      <c r="AV362" s="13" t="s">
        <v>55</v>
      </c>
      <c r="AW362" s="132" t="s">
        <v>101</v>
      </c>
    </row>
    <row r="363" spans="2:63" s="14" customFormat="1" x14ac:dyDescent="0.2">
      <c r="B363" s="137"/>
      <c r="D363" s="126" t="s">
        <v>112</v>
      </c>
      <c r="E363" s="138" t="s">
        <v>1</v>
      </c>
      <c r="F363" s="139" t="s">
        <v>127</v>
      </c>
      <c r="H363" s="140">
        <v>1146.674</v>
      </c>
      <c r="L363" s="137"/>
      <c r="M363" s="141"/>
      <c r="T363" s="142"/>
      <c r="W363"/>
      <c r="X363"/>
      <c r="Y363"/>
      <c r="AR363" s="138" t="s">
        <v>112</v>
      </c>
      <c r="AS363" s="138" t="s">
        <v>65</v>
      </c>
      <c r="AT363" s="14" t="s">
        <v>108</v>
      </c>
      <c r="AU363" s="14" t="s">
        <v>30</v>
      </c>
      <c r="AV363" s="14" t="s">
        <v>63</v>
      </c>
      <c r="AW363" s="138" t="s">
        <v>101</v>
      </c>
    </row>
    <row r="364" spans="2:63" s="14" customFormat="1" x14ac:dyDescent="0.2">
      <c r="B364" s="137"/>
      <c r="D364" s="126"/>
      <c r="E364" s="138"/>
      <c r="F364" s="139" t="s">
        <v>1853</v>
      </c>
      <c r="H364" s="140">
        <f>H363*0.82</f>
        <v>940.27267999999992</v>
      </c>
      <c r="L364" s="137"/>
      <c r="M364" s="141"/>
      <c r="T364" s="142"/>
      <c r="W364"/>
      <c r="X364"/>
      <c r="Y364"/>
      <c r="AR364" s="138"/>
      <c r="AS364" s="138"/>
      <c r="AW364" s="138"/>
    </row>
    <row r="365" spans="2:63" s="11" customFormat="1" ht="22.9" customHeight="1" x14ac:dyDescent="0.2">
      <c r="B365" s="98"/>
      <c r="D365" s="99" t="s">
        <v>54</v>
      </c>
      <c r="E365" s="107" t="s">
        <v>119</v>
      </c>
      <c r="F365" s="107" t="s">
        <v>740</v>
      </c>
      <c r="J365" s="108">
        <f>BI365</f>
        <v>0</v>
      </c>
      <c r="L365" s="98"/>
      <c r="M365" s="102"/>
      <c r="P365" s="103">
        <f>SUM(P366:P367)</f>
        <v>1.6309800000000001</v>
      </c>
      <c r="R365" s="103">
        <f>SUM(R366:R367)</f>
        <v>0</v>
      </c>
      <c r="T365" s="104">
        <f>SUM(T366:T367)</f>
        <v>0</v>
      </c>
      <c r="W365"/>
      <c r="X365"/>
      <c r="Y365"/>
      <c r="AP365" s="99" t="s">
        <v>63</v>
      </c>
      <c r="AR365" s="105" t="s">
        <v>54</v>
      </c>
      <c r="AS365" s="105" t="s">
        <v>63</v>
      </c>
      <c r="AW365" s="99" t="s">
        <v>101</v>
      </c>
      <c r="BI365" s="106">
        <f>SUM(BI366:BI367)</f>
        <v>0</v>
      </c>
    </row>
    <row r="366" spans="2:63" s="1" customFormat="1" ht="24.2" customHeight="1" x14ac:dyDescent="0.2">
      <c r="B366" s="109"/>
      <c r="C366" s="110" t="s">
        <v>338</v>
      </c>
      <c r="D366" s="110" t="s">
        <v>103</v>
      </c>
      <c r="E366" s="111" t="s">
        <v>741</v>
      </c>
      <c r="F366" s="112" t="s">
        <v>742</v>
      </c>
      <c r="G366" s="113" t="s">
        <v>106</v>
      </c>
      <c r="H366" s="114">
        <f>23.4*0.82</f>
        <v>19.187999999999999</v>
      </c>
      <c r="I366" s="115">
        <v>0</v>
      </c>
      <c r="J366" s="115">
        <f>ROUND(I366*H366,2)</f>
        <v>0</v>
      </c>
      <c r="K366" s="112" t="s">
        <v>107</v>
      </c>
      <c r="L366" s="28"/>
      <c r="M366" s="116" t="s">
        <v>1</v>
      </c>
      <c r="N366" s="117" t="s">
        <v>39</v>
      </c>
      <c r="O366" s="118">
        <v>8.5000000000000006E-2</v>
      </c>
      <c r="P366" s="118">
        <f>O366*H366</f>
        <v>1.6309800000000001</v>
      </c>
      <c r="Q366" s="118">
        <v>0</v>
      </c>
      <c r="R366" s="118">
        <f>Q366*H366</f>
        <v>0</v>
      </c>
      <c r="S366" s="118">
        <v>0</v>
      </c>
      <c r="T366" s="119">
        <f>S366*H366</f>
        <v>0</v>
      </c>
      <c r="W366"/>
      <c r="X366"/>
      <c r="Y366"/>
      <c r="AP366" s="120" t="s">
        <v>108</v>
      </c>
      <c r="AR366" s="120" t="s">
        <v>103</v>
      </c>
      <c r="AS366" s="120" t="s">
        <v>65</v>
      </c>
      <c r="AW366" s="17" t="s">
        <v>101</v>
      </c>
      <c r="BC366" s="121">
        <f>IF(N366="základní",J366,0)</f>
        <v>0</v>
      </c>
      <c r="BD366" s="121">
        <f>IF(N366="snížená",J366,0)</f>
        <v>0</v>
      </c>
      <c r="BE366" s="121">
        <f>IF(N366="zákl. přenesená",J366,0)</f>
        <v>0</v>
      </c>
      <c r="BF366" s="121">
        <f>IF(N366="sníž. přenesená",J366,0)</f>
        <v>0</v>
      </c>
      <c r="BG366" s="121">
        <f>IF(N366="nulová",J366,0)</f>
        <v>0</v>
      </c>
      <c r="BH366" s="17" t="s">
        <v>63</v>
      </c>
      <c r="BI366" s="121">
        <f>ROUND(I366*H366,2)</f>
        <v>0</v>
      </c>
      <c r="BJ366" s="17" t="s">
        <v>108</v>
      </c>
      <c r="BK366" s="120" t="s">
        <v>1283</v>
      </c>
    </row>
    <row r="367" spans="2:63" s="1" customFormat="1" x14ac:dyDescent="0.2">
      <c r="B367" s="28"/>
      <c r="D367" s="122" t="s">
        <v>110</v>
      </c>
      <c r="F367" s="123" t="s">
        <v>744</v>
      </c>
      <c r="L367" s="28"/>
      <c r="M367" s="124"/>
      <c r="T367" s="48"/>
      <c r="W367"/>
      <c r="X367"/>
      <c r="Y367"/>
      <c r="AR367" s="17" t="s">
        <v>110</v>
      </c>
      <c r="AS367" s="17" t="s">
        <v>65</v>
      </c>
    </row>
    <row r="368" spans="2:63" s="11" customFormat="1" ht="22.9" customHeight="1" x14ac:dyDescent="0.2">
      <c r="B368" s="98"/>
      <c r="D368" s="99" t="s">
        <v>54</v>
      </c>
      <c r="E368" s="107" t="s">
        <v>108</v>
      </c>
      <c r="F368" s="107" t="s">
        <v>274</v>
      </c>
      <c r="J368" s="108">
        <f>BI368</f>
        <v>0</v>
      </c>
      <c r="L368" s="98"/>
      <c r="M368" s="102"/>
      <c r="P368" s="103">
        <f>SUM(P369:P381)</f>
        <v>5.7727795000000004</v>
      </c>
      <c r="R368" s="103">
        <f>SUM(R369:R381)</f>
        <v>0</v>
      </c>
      <c r="T368" s="104">
        <f>SUM(T369:T381)</f>
        <v>0</v>
      </c>
      <c r="W368"/>
      <c r="X368"/>
      <c r="Y368"/>
      <c r="AP368" s="99" t="s">
        <v>63</v>
      </c>
      <c r="AR368" s="105" t="s">
        <v>54</v>
      </c>
      <c r="AS368" s="105" t="s">
        <v>63</v>
      </c>
      <c r="AW368" s="99" t="s">
        <v>101</v>
      </c>
      <c r="BI368" s="106">
        <f>SUM(BI369:BI381)</f>
        <v>0</v>
      </c>
    </row>
    <row r="369" spans="2:63" s="1" customFormat="1" ht="24.2" customHeight="1" x14ac:dyDescent="0.2">
      <c r="B369" s="109"/>
      <c r="C369" s="110" t="s">
        <v>342</v>
      </c>
      <c r="D369" s="110" t="s">
        <v>103</v>
      </c>
      <c r="E369" s="111" t="s">
        <v>745</v>
      </c>
      <c r="F369" s="112" t="s">
        <v>746</v>
      </c>
      <c r="G369" s="113" t="s">
        <v>130</v>
      </c>
      <c r="H369" s="114">
        <f>1.6*0.82</f>
        <v>1.3120000000000001</v>
      </c>
      <c r="I369" s="115">
        <v>0</v>
      </c>
      <c r="J369" s="115">
        <f>ROUND(I369*H369,2)</f>
        <v>0</v>
      </c>
      <c r="K369" s="112" t="s">
        <v>107</v>
      </c>
      <c r="L369" s="28"/>
      <c r="M369" s="116" t="s">
        <v>1</v>
      </c>
      <c r="N369" s="117" t="s">
        <v>39</v>
      </c>
      <c r="O369" s="118">
        <v>1.3029999999999999</v>
      </c>
      <c r="P369" s="118">
        <f>O369*H369</f>
        <v>1.7095359999999999</v>
      </c>
      <c r="Q369" s="118">
        <v>0</v>
      </c>
      <c r="R369" s="118">
        <f>Q369*H369</f>
        <v>0</v>
      </c>
      <c r="S369" s="118">
        <v>0</v>
      </c>
      <c r="T369" s="119">
        <f>S369*H369</f>
        <v>0</v>
      </c>
      <c r="W369"/>
      <c r="X369"/>
      <c r="Y369"/>
      <c r="AP369" s="120" t="s">
        <v>108</v>
      </c>
      <c r="AR369" s="120" t="s">
        <v>103</v>
      </c>
      <c r="AS369" s="120" t="s">
        <v>65</v>
      </c>
      <c r="AW369" s="17" t="s">
        <v>101</v>
      </c>
      <c r="BC369" s="121">
        <f>IF(N369="základní",J369,0)</f>
        <v>0</v>
      </c>
      <c r="BD369" s="121">
        <f>IF(N369="snížená",J369,0)</f>
        <v>0</v>
      </c>
      <c r="BE369" s="121">
        <f>IF(N369="zákl. přenesená",J369,0)</f>
        <v>0</v>
      </c>
      <c r="BF369" s="121">
        <f>IF(N369="sníž. přenesená",J369,0)</f>
        <v>0</v>
      </c>
      <c r="BG369" s="121">
        <f>IF(N369="nulová",J369,0)</f>
        <v>0</v>
      </c>
      <c r="BH369" s="17" t="s">
        <v>63</v>
      </c>
      <c r="BI369" s="121">
        <f>ROUND(I369*H369,2)</f>
        <v>0</v>
      </c>
      <c r="BJ369" s="17" t="s">
        <v>108</v>
      </c>
      <c r="BK369" s="120" t="s">
        <v>1284</v>
      </c>
    </row>
    <row r="370" spans="2:63" s="1" customFormat="1" x14ac:dyDescent="0.2">
      <c r="B370" s="28"/>
      <c r="D370" s="122" t="s">
        <v>110</v>
      </c>
      <c r="F370" s="123" t="s">
        <v>748</v>
      </c>
      <c r="L370" s="28"/>
      <c r="M370" s="124"/>
      <c r="T370" s="48"/>
      <c r="W370"/>
      <c r="X370"/>
      <c r="Y370"/>
      <c r="AR370" s="17" t="s">
        <v>110</v>
      </c>
      <c r="AS370" s="17" t="s">
        <v>65</v>
      </c>
    </row>
    <row r="371" spans="2:63" s="12" customFormat="1" x14ac:dyDescent="0.2">
      <c r="B371" s="125"/>
      <c r="D371" s="126" t="s">
        <v>112</v>
      </c>
      <c r="E371" s="127" t="s">
        <v>1</v>
      </c>
      <c r="F371" s="128" t="s">
        <v>749</v>
      </c>
      <c r="H371" s="127" t="s">
        <v>1</v>
      </c>
      <c r="L371" s="125"/>
      <c r="M371" s="129"/>
      <c r="T371" s="130"/>
      <c r="W371"/>
      <c r="X371"/>
      <c r="Y371"/>
      <c r="AR371" s="127" t="s">
        <v>112</v>
      </c>
      <c r="AS371" s="127" t="s">
        <v>65</v>
      </c>
      <c r="AT371" s="12" t="s">
        <v>63</v>
      </c>
      <c r="AU371" s="12" t="s">
        <v>30</v>
      </c>
      <c r="AV371" s="12" t="s">
        <v>55</v>
      </c>
      <c r="AW371" s="127" t="s">
        <v>101</v>
      </c>
    </row>
    <row r="372" spans="2:63" s="12" customFormat="1" x14ac:dyDescent="0.2">
      <c r="B372" s="125"/>
      <c r="D372" s="126" t="s">
        <v>112</v>
      </c>
      <c r="E372" s="127" t="s">
        <v>1</v>
      </c>
      <c r="F372" s="128" t="s">
        <v>750</v>
      </c>
      <c r="H372" s="127" t="s">
        <v>1</v>
      </c>
      <c r="L372" s="125"/>
      <c r="M372" s="129"/>
      <c r="T372" s="130"/>
      <c r="W372"/>
      <c r="X372"/>
      <c r="Y372"/>
      <c r="AR372" s="127" t="s">
        <v>112</v>
      </c>
      <c r="AS372" s="127" t="s">
        <v>65</v>
      </c>
      <c r="AT372" s="12" t="s">
        <v>63</v>
      </c>
      <c r="AU372" s="12" t="s">
        <v>30</v>
      </c>
      <c r="AV372" s="12" t="s">
        <v>55</v>
      </c>
      <c r="AW372" s="127" t="s">
        <v>101</v>
      </c>
    </row>
    <row r="373" spans="2:63" s="13" customFormat="1" x14ac:dyDescent="0.2">
      <c r="B373" s="131"/>
      <c r="D373" s="126" t="s">
        <v>112</v>
      </c>
      <c r="E373" s="132" t="s">
        <v>1</v>
      </c>
      <c r="F373" s="133" t="s">
        <v>1881</v>
      </c>
      <c r="H373" s="134">
        <f>1.6*0.82</f>
        <v>1.3120000000000001</v>
      </c>
      <c r="L373" s="131"/>
      <c r="M373" s="135"/>
      <c r="T373" s="136"/>
      <c r="W373"/>
      <c r="X373"/>
      <c r="Y373"/>
      <c r="AR373" s="132" t="s">
        <v>112</v>
      </c>
      <c r="AS373" s="132" t="s">
        <v>65</v>
      </c>
      <c r="AT373" s="13" t="s">
        <v>65</v>
      </c>
      <c r="AU373" s="13" t="s">
        <v>30</v>
      </c>
      <c r="AV373" s="13" t="s">
        <v>63</v>
      </c>
      <c r="AW373" s="132" t="s">
        <v>101</v>
      </c>
    </row>
    <row r="374" spans="2:63" s="1" customFormat="1" ht="33" customHeight="1" x14ac:dyDescent="0.2">
      <c r="B374" s="109"/>
      <c r="C374" s="110" t="s">
        <v>346</v>
      </c>
      <c r="D374" s="110" t="s">
        <v>103</v>
      </c>
      <c r="E374" s="111" t="s">
        <v>276</v>
      </c>
      <c r="F374" s="112" t="s">
        <v>277</v>
      </c>
      <c r="G374" s="113" t="s">
        <v>130</v>
      </c>
      <c r="H374" s="114">
        <f>2.34*0.82</f>
        <v>1.9187999999999998</v>
      </c>
      <c r="I374" s="115">
        <v>0</v>
      </c>
      <c r="J374" s="115">
        <f>ROUND(I374*H374,2)</f>
        <v>0</v>
      </c>
      <c r="K374" s="112" t="s">
        <v>107</v>
      </c>
      <c r="L374" s="28"/>
      <c r="M374" s="116" t="s">
        <v>1</v>
      </c>
      <c r="N374" s="117" t="s">
        <v>39</v>
      </c>
      <c r="O374" s="118">
        <v>1.6950000000000001</v>
      </c>
      <c r="P374" s="118">
        <f>O374*H374</f>
        <v>3.2523659999999999</v>
      </c>
      <c r="Q374" s="118">
        <v>0</v>
      </c>
      <c r="R374" s="118">
        <f>Q374*H374</f>
        <v>0</v>
      </c>
      <c r="S374" s="118">
        <v>0</v>
      </c>
      <c r="T374" s="119">
        <f>S374*H374</f>
        <v>0</v>
      </c>
      <c r="W374"/>
      <c r="X374"/>
      <c r="Y374"/>
      <c r="AP374" s="120" t="s">
        <v>108</v>
      </c>
      <c r="AR374" s="120" t="s">
        <v>103</v>
      </c>
      <c r="AS374" s="120" t="s">
        <v>65</v>
      </c>
      <c r="AW374" s="17" t="s">
        <v>101</v>
      </c>
      <c r="BC374" s="121">
        <f>IF(N374="základní",J374,0)</f>
        <v>0</v>
      </c>
      <c r="BD374" s="121">
        <f>IF(N374="snížená",J374,0)</f>
        <v>0</v>
      </c>
      <c r="BE374" s="121">
        <f>IF(N374="zákl. přenesená",J374,0)</f>
        <v>0</v>
      </c>
      <c r="BF374" s="121">
        <f>IF(N374="sníž. přenesená",J374,0)</f>
        <v>0</v>
      </c>
      <c r="BG374" s="121">
        <f>IF(N374="nulová",J374,0)</f>
        <v>0</v>
      </c>
      <c r="BH374" s="17" t="s">
        <v>63</v>
      </c>
      <c r="BI374" s="121">
        <f>ROUND(I374*H374,2)</f>
        <v>0</v>
      </c>
      <c r="BJ374" s="17" t="s">
        <v>108</v>
      </c>
      <c r="BK374" s="120" t="s">
        <v>1285</v>
      </c>
    </row>
    <row r="375" spans="2:63" s="1" customFormat="1" x14ac:dyDescent="0.2">
      <c r="B375" s="28"/>
      <c r="D375" s="122" t="s">
        <v>110</v>
      </c>
      <c r="F375" s="123" t="s">
        <v>279</v>
      </c>
      <c r="L375" s="28"/>
      <c r="M375" s="124"/>
      <c r="T375" s="48"/>
      <c r="W375"/>
      <c r="X375"/>
      <c r="Y375"/>
      <c r="AR375" s="17" t="s">
        <v>110</v>
      </c>
      <c r="AS375" s="17" t="s">
        <v>65</v>
      </c>
    </row>
    <row r="376" spans="2:63" s="12" customFormat="1" x14ac:dyDescent="0.2">
      <c r="B376" s="125"/>
      <c r="D376" s="126" t="s">
        <v>112</v>
      </c>
      <c r="E376" s="127" t="s">
        <v>1</v>
      </c>
      <c r="F376" s="128" t="s">
        <v>280</v>
      </c>
      <c r="H376" s="127" t="s">
        <v>1</v>
      </c>
      <c r="L376" s="125"/>
      <c r="M376" s="129"/>
      <c r="T376" s="130"/>
      <c r="W376"/>
      <c r="X376"/>
      <c r="Y376"/>
      <c r="AR376" s="127" t="s">
        <v>112</v>
      </c>
      <c r="AS376" s="127" t="s">
        <v>65</v>
      </c>
      <c r="AT376" s="12" t="s">
        <v>63</v>
      </c>
      <c r="AU376" s="12" t="s">
        <v>30</v>
      </c>
      <c r="AV376" s="12" t="s">
        <v>55</v>
      </c>
      <c r="AW376" s="127" t="s">
        <v>101</v>
      </c>
    </row>
    <row r="377" spans="2:63" s="13" customFormat="1" x14ac:dyDescent="0.2">
      <c r="B377" s="131"/>
      <c r="D377" s="126" t="s">
        <v>112</v>
      </c>
      <c r="E377" s="132" t="s">
        <v>1</v>
      </c>
      <c r="F377" s="133" t="s">
        <v>1286</v>
      </c>
      <c r="H377" s="134">
        <f>2.34*0.82</f>
        <v>1.9187999999999998</v>
      </c>
      <c r="L377" s="131"/>
      <c r="M377" s="135"/>
      <c r="T377" s="136"/>
      <c r="W377"/>
      <c r="X377"/>
      <c r="Y377"/>
      <c r="AR377" s="132" t="s">
        <v>112</v>
      </c>
      <c r="AS377" s="132" t="s">
        <v>65</v>
      </c>
      <c r="AT377" s="13" t="s">
        <v>65</v>
      </c>
      <c r="AU377" s="13" t="s">
        <v>30</v>
      </c>
      <c r="AV377" s="13" t="s">
        <v>63</v>
      </c>
      <c r="AW377" s="132" t="s">
        <v>101</v>
      </c>
    </row>
    <row r="378" spans="2:63" s="1" customFormat="1" ht="49.15" customHeight="1" x14ac:dyDescent="0.2">
      <c r="B378" s="109"/>
      <c r="C378" s="110" t="s">
        <v>351</v>
      </c>
      <c r="D378" s="110" t="s">
        <v>103</v>
      </c>
      <c r="E378" s="111" t="s">
        <v>768</v>
      </c>
      <c r="F378" s="112" t="s">
        <v>769</v>
      </c>
      <c r="G378" s="113" t="s">
        <v>130</v>
      </c>
      <c r="H378" s="114">
        <f>0.675*0.82</f>
        <v>0.55349999999999999</v>
      </c>
      <c r="I378" s="115">
        <v>0</v>
      </c>
      <c r="J378" s="115">
        <f>ROUND(I378*H378,2)</f>
        <v>0</v>
      </c>
      <c r="K378" s="112" t="s">
        <v>107</v>
      </c>
      <c r="L378" s="28"/>
      <c r="M378" s="116" t="s">
        <v>1</v>
      </c>
      <c r="N378" s="117" t="s">
        <v>39</v>
      </c>
      <c r="O378" s="118">
        <v>1.4650000000000001</v>
      </c>
      <c r="P378" s="118">
        <f>O378*H378</f>
        <v>0.81087750000000003</v>
      </c>
      <c r="Q378" s="118">
        <v>0</v>
      </c>
      <c r="R378" s="118">
        <f>Q378*H378</f>
        <v>0</v>
      </c>
      <c r="S378" s="118">
        <v>0</v>
      </c>
      <c r="T378" s="119">
        <f>S378*H378</f>
        <v>0</v>
      </c>
      <c r="W378"/>
      <c r="X378"/>
      <c r="Y378"/>
      <c r="AP378" s="120" t="s">
        <v>108</v>
      </c>
      <c r="AR378" s="120" t="s">
        <v>103</v>
      </c>
      <c r="AS378" s="120" t="s">
        <v>65</v>
      </c>
      <c r="AW378" s="17" t="s">
        <v>101</v>
      </c>
      <c r="BC378" s="121">
        <f>IF(N378="základní",J378,0)</f>
        <v>0</v>
      </c>
      <c r="BD378" s="121">
        <f>IF(N378="snížená",J378,0)</f>
        <v>0</v>
      </c>
      <c r="BE378" s="121">
        <f>IF(N378="zákl. přenesená",J378,0)</f>
        <v>0</v>
      </c>
      <c r="BF378" s="121">
        <f>IF(N378="sníž. přenesená",J378,0)</f>
        <v>0</v>
      </c>
      <c r="BG378" s="121">
        <f>IF(N378="nulová",J378,0)</f>
        <v>0</v>
      </c>
      <c r="BH378" s="17" t="s">
        <v>63</v>
      </c>
      <c r="BI378" s="121">
        <f>ROUND(I378*H378,2)</f>
        <v>0</v>
      </c>
      <c r="BJ378" s="17" t="s">
        <v>108</v>
      </c>
      <c r="BK378" s="120" t="s">
        <v>1287</v>
      </c>
    </row>
    <row r="379" spans="2:63" s="1" customFormat="1" x14ac:dyDescent="0.2">
      <c r="B379" s="28"/>
      <c r="D379" s="122" t="s">
        <v>110</v>
      </c>
      <c r="F379" s="123" t="s">
        <v>771</v>
      </c>
      <c r="L379" s="28"/>
      <c r="M379" s="124"/>
      <c r="T379" s="48"/>
      <c r="W379"/>
      <c r="X379"/>
      <c r="Y379"/>
      <c r="AR379" s="17" t="s">
        <v>110</v>
      </c>
      <c r="AS379" s="17" t="s">
        <v>65</v>
      </c>
    </row>
    <row r="380" spans="2:63" s="12" customFormat="1" x14ac:dyDescent="0.2">
      <c r="B380" s="125"/>
      <c r="D380" s="126" t="s">
        <v>112</v>
      </c>
      <c r="E380" s="127" t="s">
        <v>1</v>
      </c>
      <c r="F380" s="128" t="s">
        <v>772</v>
      </c>
      <c r="H380" s="127" t="s">
        <v>1</v>
      </c>
      <c r="L380" s="125"/>
      <c r="M380" s="129"/>
      <c r="T380" s="130"/>
      <c r="W380"/>
      <c r="X380"/>
      <c r="Y380"/>
      <c r="AR380" s="127" t="s">
        <v>112</v>
      </c>
      <c r="AS380" s="127" t="s">
        <v>65</v>
      </c>
      <c r="AT380" s="12" t="s">
        <v>63</v>
      </c>
      <c r="AU380" s="12" t="s">
        <v>30</v>
      </c>
      <c r="AV380" s="12" t="s">
        <v>55</v>
      </c>
      <c r="AW380" s="127" t="s">
        <v>101</v>
      </c>
    </row>
    <row r="381" spans="2:63" s="13" customFormat="1" x14ac:dyDescent="0.2">
      <c r="B381" s="131"/>
      <c r="D381" s="126" t="s">
        <v>112</v>
      </c>
      <c r="E381" s="132" t="s">
        <v>1</v>
      </c>
      <c r="F381" s="133" t="s">
        <v>1288</v>
      </c>
      <c r="H381" s="134">
        <f>0.675*0.82</f>
        <v>0.55349999999999999</v>
      </c>
      <c r="L381" s="131"/>
      <c r="M381" s="135"/>
      <c r="T381" s="136"/>
      <c r="W381"/>
      <c r="X381"/>
      <c r="Y381"/>
      <c r="AR381" s="132" t="s">
        <v>112</v>
      </c>
      <c r="AS381" s="132" t="s">
        <v>65</v>
      </c>
      <c r="AT381" s="13" t="s">
        <v>65</v>
      </c>
      <c r="AU381" s="13" t="s">
        <v>30</v>
      </c>
      <c r="AV381" s="13" t="s">
        <v>63</v>
      </c>
      <c r="AW381" s="132" t="s">
        <v>101</v>
      </c>
    </row>
    <row r="382" spans="2:63" s="11" customFormat="1" ht="22.9" customHeight="1" x14ac:dyDescent="0.2">
      <c r="B382" s="98"/>
      <c r="D382" s="99" t="s">
        <v>54</v>
      </c>
      <c r="E382" s="107" t="s">
        <v>171</v>
      </c>
      <c r="F382" s="107" t="s">
        <v>306</v>
      </c>
      <c r="J382" s="108">
        <f>BI382</f>
        <v>0</v>
      </c>
      <c r="L382" s="98"/>
      <c r="M382" s="102"/>
      <c r="P382" s="103">
        <f>SUM(P383:P408)</f>
        <v>30.151388000000001</v>
      </c>
      <c r="R382" s="103">
        <f>SUM(R383:R408)</f>
        <v>0.95687005479999998</v>
      </c>
      <c r="T382" s="104">
        <f>SUM(T383:T408)</f>
        <v>0</v>
      </c>
      <c r="W382"/>
      <c r="X382"/>
      <c r="Y382"/>
      <c r="AP382" s="99" t="s">
        <v>63</v>
      </c>
      <c r="AR382" s="105" t="s">
        <v>54</v>
      </c>
      <c r="AS382" s="105" t="s">
        <v>63</v>
      </c>
      <c r="AW382" s="99" t="s">
        <v>101</v>
      </c>
      <c r="BI382" s="106">
        <f>SUM(BI383:BI408)</f>
        <v>0</v>
      </c>
    </row>
    <row r="383" spans="2:63" s="1" customFormat="1" ht="24.2" customHeight="1" x14ac:dyDescent="0.2">
      <c r="B383" s="109"/>
      <c r="C383" s="110" t="s">
        <v>372</v>
      </c>
      <c r="D383" s="110" t="s">
        <v>103</v>
      </c>
      <c r="E383" s="111" t="s">
        <v>792</v>
      </c>
      <c r="F383" s="112" t="s">
        <v>793</v>
      </c>
      <c r="G383" s="113" t="s">
        <v>314</v>
      </c>
      <c r="H383" s="114">
        <v>2</v>
      </c>
      <c r="I383" s="115">
        <v>0</v>
      </c>
      <c r="J383" s="115">
        <f>ROUND(I383*H383,2)</f>
        <v>0</v>
      </c>
      <c r="K383" s="112" t="s">
        <v>107</v>
      </c>
      <c r="L383" s="28"/>
      <c r="M383" s="116" t="s">
        <v>1</v>
      </c>
      <c r="N383" s="117" t="s">
        <v>39</v>
      </c>
      <c r="O383" s="118">
        <v>1.05</v>
      </c>
      <c r="P383" s="118">
        <f>O383*H383</f>
        <v>2.1</v>
      </c>
      <c r="Q383" s="118">
        <v>8.7419999999999998E-2</v>
      </c>
      <c r="R383" s="118">
        <f>Q383*H383</f>
        <v>0.17484</v>
      </c>
      <c r="S383" s="118">
        <v>0</v>
      </c>
      <c r="T383" s="119">
        <f>S383*H383</f>
        <v>0</v>
      </c>
      <c r="W383"/>
      <c r="X383"/>
      <c r="Y383"/>
      <c r="AP383" s="120" t="s">
        <v>108</v>
      </c>
      <c r="AR383" s="120" t="s">
        <v>103</v>
      </c>
      <c r="AS383" s="120" t="s">
        <v>65</v>
      </c>
      <c r="AW383" s="17" t="s">
        <v>101</v>
      </c>
      <c r="BC383" s="121">
        <f>IF(N383="základní",J383,0)</f>
        <v>0</v>
      </c>
      <c r="BD383" s="121">
        <f>IF(N383="snížená",J383,0)</f>
        <v>0</v>
      </c>
      <c r="BE383" s="121">
        <f>IF(N383="zákl. přenesená",J383,0)</f>
        <v>0</v>
      </c>
      <c r="BF383" s="121">
        <f>IF(N383="sníž. přenesená",J383,0)</f>
        <v>0</v>
      </c>
      <c r="BG383" s="121">
        <f>IF(N383="nulová",J383,0)</f>
        <v>0</v>
      </c>
      <c r="BH383" s="17" t="s">
        <v>63</v>
      </c>
      <c r="BI383" s="121">
        <f>ROUND(I383*H383,2)</f>
        <v>0</v>
      </c>
      <c r="BJ383" s="17" t="s">
        <v>108</v>
      </c>
      <c r="BK383" s="120" t="s">
        <v>1299</v>
      </c>
    </row>
    <row r="384" spans="2:63" s="1" customFormat="1" x14ac:dyDescent="0.2">
      <c r="B384" s="28"/>
      <c r="D384" s="122" t="s">
        <v>110</v>
      </c>
      <c r="F384" s="123" t="s">
        <v>795</v>
      </c>
      <c r="L384" s="28"/>
      <c r="M384" s="124"/>
      <c r="T384" s="48"/>
      <c r="W384"/>
      <c r="X384"/>
      <c r="Y384"/>
      <c r="AR384" s="17" t="s">
        <v>110</v>
      </c>
      <c r="AS384" s="17" t="s">
        <v>65</v>
      </c>
    </row>
    <row r="385" spans="2:63" s="1" customFormat="1" ht="24.2" customHeight="1" x14ac:dyDescent="0.2">
      <c r="B385" s="109"/>
      <c r="C385" s="143" t="s">
        <v>376</v>
      </c>
      <c r="D385" s="143" t="s">
        <v>252</v>
      </c>
      <c r="E385" s="144" t="s">
        <v>796</v>
      </c>
      <c r="F385" s="145" t="s">
        <v>797</v>
      </c>
      <c r="G385" s="146" t="s">
        <v>314</v>
      </c>
      <c r="H385" s="147">
        <v>1</v>
      </c>
      <c r="I385" s="148">
        <v>0</v>
      </c>
      <c r="J385" s="148">
        <f>ROUND(I385*H385,2)</f>
        <v>0</v>
      </c>
      <c r="K385" s="145" t="s">
        <v>107</v>
      </c>
      <c r="L385" s="149"/>
      <c r="M385" s="150" t="s">
        <v>1</v>
      </c>
      <c r="N385" s="151" t="s">
        <v>39</v>
      </c>
      <c r="O385" s="118">
        <v>0</v>
      </c>
      <c r="P385" s="118">
        <f>O385*H385</f>
        <v>0</v>
      </c>
      <c r="Q385" s="118">
        <v>6.8000000000000005E-2</v>
      </c>
      <c r="R385" s="118">
        <f>Q385*H385</f>
        <v>6.8000000000000005E-2</v>
      </c>
      <c r="S385" s="118">
        <v>0</v>
      </c>
      <c r="T385" s="119">
        <f>S385*H385</f>
        <v>0</v>
      </c>
      <c r="W385"/>
      <c r="X385"/>
      <c r="Y385"/>
      <c r="AP385" s="120" t="s">
        <v>171</v>
      </c>
      <c r="AR385" s="120" t="s">
        <v>252</v>
      </c>
      <c r="AS385" s="120" t="s">
        <v>65</v>
      </c>
      <c r="AW385" s="17" t="s">
        <v>101</v>
      </c>
      <c r="BC385" s="121">
        <f>IF(N385="základní",J385,0)</f>
        <v>0</v>
      </c>
      <c r="BD385" s="121">
        <f>IF(N385="snížená",J385,0)</f>
        <v>0</v>
      </c>
      <c r="BE385" s="121">
        <f>IF(N385="zákl. přenesená",J385,0)</f>
        <v>0</v>
      </c>
      <c r="BF385" s="121">
        <f>IF(N385="sníž. přenesená",J385,0)</f>
        <v>0</v>
      </c>
      <c r="BG385" s="121">
        <f>IF(N385="nulová",J385,0)</f>
        <v>0</v>
      </c>
      <c r="BH385" s="17" t="s">
        <v>63</v>
      </c>
      <c r="BI385" s="121">
        <f>ROUND(I385*H385,2)</f>
        <v>0</v>
      </c>
      <c r="BJ385" s="17" t="s">
        <v>108</v>
      </c>
      <c r="BK385" s="120" t="s">
        <v>1300</v>
      </c>
    </row>
    <row r="386" spans="2:63" s="1" customFormat="1" ht="33" customHeight="1" x14ac:dyDescent="0.2">
      <c r="B386" s="109"/>
      <c r="C386" s="110" t="s">
        <v>385</v>
      </c>
      <c r="D386" s="110" t="s">
        <v>103</v>
      </c>
      <c r="E386" s="111" t="s">
        <v>1302</v>
      </c>
      <c r="F386" s="112" t="s">
        <v>1303</v>
      </c>
      <c r="G386" s="113" t="s">
        <v>106</v>
      </c>
      <c r="H386" s="114">
        <f>8.6*0.82</f>
        <v>7.0519999999999996</v>
      </c>
      <c r="I386" s="115">
        <v>0</v>
      </c>
      <c r="J386" s="115">
        <f>ROUND(I386*H386,2)</f>
        <v>0</v>
      </c>
      <c r="K386" s="112" t="s">
        <v>107</v>
      </c>
      <c r="L386" s="28"/>
      <c r="M386" s="116" t="s">
        <v>1</v>
      </c>
      <c r="N386" s="117" t="s">
        <v>39</v>
      </c>
      <c r="O386" s="118">
        <v>0.34</v>
      </c>
      <c r="P386" s="118">
        <f>O386*H386</f>
        <v>2.3976800000000003</v>
      </c>
      <c r="Q386" s="118">
        <v>1.0000000000000001E-5</v>
      </c>
      <c r="R386" s="118">
        <f>Q386*H386</f>
        <v>7.0519999999999996E-5</v>
      </c>
      <c r="S386" s="118">
        <v>0</v>
      </c>
      <c r="T386" s="119">
        <f>S386*H386</f>
        <v>0</v>
      </c>
      <c r="W386"/>
      <c r="X386"/>
      <c r="Y386"/>
      <c r="AP386" s="120" t="s">
        <v>108</v>
      </c>
      <c r="AR386" s="120" t="s">
        <v>103</v>
      </c>
      <c r="AS386" s="120" t="s">
        <v>65</v>
      </c>
      <c r="AW386" s="17" t="s">
        <v>101</v>
      </c>
      <c r="BC386" s="121">
        <f>IF(N386="základní",J386,0)</f>
        <v>0</v>
      </c>
      <c r="BD386" s="121">
        <f>IF(N386="snížená",J386,0)</f>
        <v>0</v>
      </c>
      <c r="BE386" s="121">
        <f>IF(N386="zákl. přenesená",J386,0)</f>
        <v>0</v>
      </c>
      <c r="BF386" s="121">
        <f>IF(N386="sníž. přenesená",J386,0)</f>
        <v>0</v>
      </c>
      <c r="BG386" s="121">
        <f>IF(N386="nulová",J386,0)</f>
        <v>0</v>
      </c>
      <c r="BH386" s="17" t="s">
        <v>63</v>
      </c>
      <c r="BI386" s="121">
        <f>ROUND(I386*H386,2)</f>
        <v>0</v>
      </c>
      <c r="BJ386" s="17" t="s">
        <v>108</v>
      </c>
      <c r="BK386" s="120" t="s">
        <v>1304</v>
      </c>
    </row>
    <row r="387" spans="2:63" s="1" customFormat="1" x14ac:dyDescent="0.2">
      <c r="B387" s="28"/>
      <c r="D387" s="122" t="s">
        <v>110</v>
      </c>
      <c r="F387" s="123" t="s">
        <v>1305</v>
      </c>
      <c r="L387" s="28"/>
      <c r="M387" s="124"/>
      <c r="T387" s="48"/>
      <c r="W387"/>
      <c r="X387"/>
      <c r="Y387"/>
      <c r="AR387" s="17" t="s">
        <v>110</v>
      </c>
      <c r="AS387" s="17" t="s">
        <v>65</v>
      </c>
    </row>
    <row r="388" spans="2:63" s="1" customFormat="1" ht="24.2" customHeight="1" x14ac:dyDescent="0.2">
      <c r="B388" s="109"/>
      <c r="C388" s="143" t="s">
        <v>390</v>
      </c>
      <c r="D388" s="143" t="s">
        <v>252</v>
      </c>
      <c r="E388" s="144" t="s">
        <v>1306</v>
      </c>
      <c r="F388" s="145" t="s">
        <v>1307</v>
      </c>
      <c r="G388" s="146" t="s">
        <v>106</v>
      </c>
      <c r="H388" s="147">
        <f>8.729*0.82</f>
        <v>7.1577799999999989</v>
      </c>
      <c r="I388" s="148">
        <v>0</v>
      </c>
      <c r="J388" s="148">
        <f>ROUND(I388*H388,2)</f>
        <v>0</v>
      </c>
      <c r="K388" s="145" t="s">
        <v>107</v>
      </c>
      <c r="L388" s="149"/>
      <c r="M388" s="150" t="s">
        <v>1</v>
      </c>
      <c r="N388" s="151" t="s">
        <v>39</v>
      </c>
      <c r="O388" s="118">
        <v>0</v>
      </c>
      <c r="P388" s="118">
        <f>O388*H388</f>
        <v>0</v>
      </c>
      <c r="Q388" s="118">
        <v>2.7000000000000001E-3</v>
      </c>
      <c r="R388" s="118">
        <f>Q388*H388</f>
        <v>1.9326006E-2</v>
      </c>
      <c r="S388" s="118">
        <v>0</v>
      </c>
      <c r="T388" s="119">
        <f>S388*H388</f>
        <v>0</v>
      </c>
      <c r="W388"/>
      <c r="X388"/>
      <c r="Y388"/>
      <c r="AP388" s="120" t="s">
        <v>171</v>
      </c>
      <c r="AR388" s="120" t="s">
        <v>252</v>
      </c>
      <c r="AS388" s="120" t="s">
        <v>65</v>
      </c>
      <c r="AW388" s="17" t="s">
        <v>101</v>
      </c>
      <c r="BC388" s="121">
        <f>IF(N388="základní",J388,0)</f>
        <v>0</v>
      </c>
      <c r="BD388" s="121">
        <f>IF(N388="snížená",J388,0)</f>
        <v>0</v>
      </c>
      <c r="BE388" s="121">
        <f>IF(N388="zákl. přenesená",J388,0)</f>
        <v>0</v>
      </c>
      <c r="BF388" s="121">
        <f>IF(N388="sníž. přenesená",J388,0)</f>
        <v>0</v>
      </c>
      <c r="BG388" s="121">
        <f>IF(N388="nulová",J388,0)</f>
        <v>0</v>
      </c>
      <c r="BH388" s="17" t="s">
        <v>63</v>
      </c>
      <c r="BI388" s="121">
        <f>ROUND(I388*H388,2)</f>
        <v>0</v>
      </c>
      <c r="BJ388" s="17" t="s">
        <v>108</v>
      </c>
      <c r="BK388" s="120" t="s">
        <v>1308</v>
      </c>
    </row>
    <row r="389" spans="2:63" s="13" customFormat="1" x14ac:dyDescent="0.2">
      <c r="B389" s="131"/>
      <c r="D389" s="126" t="s">
        <v>112</v>
      </c>
      <c r="F389" s="133" t="s">
        <v>1309</v>
      </c>
      <c r="H389" s="134">
        <f>8.729*0.82</f>
        <v>7.1577799999999989</v>
      </c>
      <c r="L389" s="131"/>
      <c r="M389" s="135"/>
      <c r="T389" s="136"/>
      <c r="W389"/>
      <c r="X389"/>
      <c r="Y389"/>
      <c r="AR389" s="132" t="s">
        <v>112</v>
      </c>
      <c r="AS389" s="132" t="s">
        <v>65</v>
      </c>
      <c r="AT389" s="13" t="s">
        <v>65</v>
      </c>
      <c r="AU389" s="13" t="s">
        <v>2</v>
      </c>
      <c r="AV389" s="13" t="s">
        <v>63</v>
      </c>
      <c r="AW389" s="132" t="s">
        <v>101</v>
      </c>
    </row>
    <row r="390" spans="2:63" s="1" customFormat="1" ht="33" customHeight="1" x14ac:dyDescent="0.2">
      <c r="B390" s="109"/>
      <c r="C390" s="110" t="s">
        <v>395</v>
      </c>
      <c r="D390" s="110" t="s">
        <v>103</v>
      </c>
      <c r="E390" s="111" t="s">
        <v>1310</v>
      </c>
      <c r="F390" s="112" t="s">
        <v>1311</v>
      </c>
      <c r="G390" s="113" t="s">
        <v>106</v>
      </c>
      <c r="H390" s="114">
        <f>23.4*0.82</f>
        <v>19.187999999999999</v>
      </c>
      <c r="I390" s="115">
        <v>0</v>
      </c>
      <c r="J390" s="115">
        <f>ROUND(I390*H390,2)</f>
        <v>0</v>
      </c>
      <c r="K390" s="112" t="s">
        <v>107</v>
      </c>
      <c r="L390" s="28"/>
      <c r="M390" s="116" t="s">
        <v>1</v>
      </c>
      <c r="N390" s="117" t="s">
        <v>39</v>
      </c>
      <c r="O390" s="118">
        <v>0.501</v>
      </c>
      <c r="P390" s="118">
        <f>O390*H390</f>
        <v>9.6131879999999992</v>
      </c>
      <c r="Q390" s="118">
        <v>2.0000000000000002E-5</v>
      </c>
      <c r="R390" s="118">
        <f>Q390*H390</f>
        <v>3.8376000000000003E-4</v>
      </c>
      <c r="S390" s="118">
        <v>0</v>
      </c>
      <c r="T390" s="119">
        <f>S390*H390</f>
        <v>0</v>
      </c>
      <c r="W390"/>
      <c r="X390"/>
      <c r="Y390"/>
      <c r="AP390" s="120" t="s">
        <v>108</v>
      </c>
      <c r="AR390" s="120" t="s">
        <v>103</v>
      </c>
      <c r="AS390" s="120" t="s">
        <v>65</v>
      </c>
      <c r="AW390" s="17" t="s">
        <v>101</v>
      </c>
      <c r="BC390" s="121">
        <f>IF(N390="základní",J390,0)</f>
        <v>0</v>
      </c>
      <c r="BD390" s="121">
        <f>IF(N390="snížená",J390,0)</f>
        <v>0</v>
      </c>
      <c r="BE390" s="121">
        <f>IF(N390="zákl. přenesená",J390,0)</f>
        <v>0</v>
      </c>
      <c r="BF390" s="121">
        <f>IF(N390="sníž. přenesená",J390,0)</f>
        <v>0</v>
      </c>
      <c r="BG390" s="121">
        <f>IF(N390="nulová",J390,0)</f>
        <v>0</v>
      </c>
      <c r="BH390" s="17" t="s">
        <v>63</v>
      </c>
      <c r="BI390" s="121">
        <f>ROUND(I390*H390,2)</f>
        <v>0</v>
      </c>
      <c r="BJ390" s="17" t="s">
        <v>108</v>
      </c>
      <c r="BK390" s="120" t="s">
        <v>1312</v>
      </c>
    </row>
    <row r="391" spans="2:63" s="1" customFormat="1" x14ac:dyDescent="0.2">
      <c r="B391" s="28"/>
      <c r="D391" s="122" t="s">
        <v>110</v>
      </c>
      <c r="F391" s="123" t="s">
        <v>1313</v>
      </c>
      <c r="L391" s="28"/>
      <c r="M391" s="124"/>
      <c r="T391" s="48"/>
      <c r="W391"/>
      <c r="X391"/>
      <c r="Y391"/>
      <c r="AR391" s="17" t="s">
        <v>110</v>
      </c>
      <c r="AS391" s="17" t="s">
        <v>65</v>
      </c>
    </row>
    <row r="392" spans="2:63" s="1" customFormat="1" ht="24.2" customHeight="1" x14ac:dyDescent="0.2">
      <c r="B392" s="109"/>
      <c r="C392" s="143" t="s">
        <v>400</v>
      </c>
      <c r="D392" s="143" t="s">
        <v>252</v>
      </c>
      <c r="E392" s="144" t="s">
        <v>1314</v>
      </c>
      <c r="F392" s="145" t="s">
        <v>1315</v>
      </c>
      <c r="G392" s="146" t="s">
        <v>106</v>
      </c>
      <c r="H392" s="147">
        <f>23.751*0.82</f>
        <v>19.475819999999999</v>
      </c>
      <c r="I392" s="148">
        <v>0</v>
      </c>
      <c r="J392" s="148">
        <f>ROUND(I392*H392,2)</f>
        <v>0</v>
      </c>
      <c r="K392" s="145" t="s">
        <v>107</v>
      </c>
      <c r="L392" s="149"/>
      <c r="M392" s="150" t="s">
        <v>1</v>
      </c>
      <c r="N392" s="151" t="s">
        <v>39</v>
      </c>
      <c r="O392" s="118">
        <v>0</v>
      </c>
      <c r="P392" s="118">
        <f>O392*H392</f>
        <v>0</v>
      </c>
      <c r="Q392" s="118">
        <v>4.8399999999999997E-3</v>
      </c>
      <c r="R392" s="118">
        <f>Q392*H392</f>
        <v>9.4262968799999985E-2</v>
      </c>
      <c r="S392" s="118">
        <v>0</v>
      </c>
      <c r="T392" s="119">
        <f>S392*H392</f>
        <v>0</v>
      </c>
      <c r="W392"/>
      <c r="X392"/>
      <c r="Y392"/>
      <c r="AP392" s="120" t="s">
        <v>171</v>
      </c>
      <c r="AR392" s="120" t="s">
        <v>252</v>
      </c>
      <c r="AS392" s="120" t="s">
        <v>65</v>
      </c>
      <c r="AW392" s="17" t="s">
        <v>101</v>
      </c>
      <c r="BC392" s="121">
        <f>IF(N392="základní",J392,0)</f>
        <v>0</v>
      </c>
      <c r="BD392" s="121">
        <f>IF(N392="snížená",J392,0)</f>
        <v>0</v>
      </c>
      <c r="BE392" s="121">
        <f>IF(N392="zákl. přenesená",J392,0)</f>
        <v>0</v>
      </c>
      <c r="BF392" s="121">
        <f>IF(N392="sníž. přenesená",J392,0)</f>
        <v>0</v>
      </c>
      <c r="BG392" s="121">
        <f>IF(N392="nulová",J392,0)</f>
        <v>0</v>
      </c>
      <c r="BH392" s="17" t="s">
        <v>63</v>
      </c>
      <c r="BI392" s="121">
        <f>ROUND(I392*H392,2)</f>
        <v>0</v>
      </c>
      <c r="BJ392" s="17" t="s">
        <v>108</v>
      </c>
      <c r="BK392" s="120" t="s">
        <v>1316</v>
      </c>
    </row>
    <row r="393" spans="2:63" s="13" customFormat="1" x14ac:dyDescent="0.2">
      <c r="B393" s="131"/>
      <c r="D393" s="126" t="s">
        <v>112</v>
      </c>
      <c r="F393" s="133" t="s">
        <v>1882</v>
      </c>
      <c r="H393" s="134">
        <f>23.751*0.82</f>
        <v>19.475819999999999</v>
      </c>
      <c r="L393" s="131"/>
      <c r="M393" s="135"/>
      <c r="T393" s="136"/>
      <c r="W393"/>
      <c r="X393"/>
      <c r="Y393"/>
      <c r="AR393" s="132" t="s">
        <v>112</v>
      </c>
      <c r="AS393" s="132" t="s">
        <v>65</v>
      </c>
      <c r="AT393" s="13" t="s">
        <v>65</v>
      </c>
      <c r="AU393" s="13" t="s">
        <v>2</v>
      </c>
      <c r="AV393" s="13" t="s">
        <v>63</v>
      </c>
      <c r="AW393" s="132" t="s">
        <v>101</v>
      </c>
    </row>
    <row r="394" spans="2:63" s="1" customFormat="1" ht="37.9" customHeight="1" x14ac:dyDescent="0.2">
      <c r="B394" s="109"/>
      <c r="C394" s="110" t="s">
        <v>404</v>
      </c>
      <c r="D394" s="110" t="s">
        <v>103</v>
      </c>
      <c r="E394" s="111" t="s">
        <v>1317</v>
      </c>
      <c r="F394" s="112" t="s">
        <v>1318</v>
      </c>
      <c r="G394" s="113" t="s">
        <v>314</v>
      </c>
      <c r="H394" s="114">
        <v>1</v>
      </c>
      <c r="I394" s="115">
        <v>0</v>
      </c>
      <c r="J394" s="115">
        <f>ROUND(I394*H394,2)</f>
        <v>0</v>
      </c>
      <c r="K394" s="112" t="s">
        <v>107</v>
      </c>
      <c r="L394" s="28"/>
      <c r="M394" s="116" t="s">
        <v>1</v>
      </c>
      <c r="N394" s="117" t="s">
        <v>39</v>
      </c>
      <c r="O394" s="118">
        <v>0.76200000000000001</v>
      </c>
      <c r="P394" s="118">
        <f>O394*H394</f>
        <v>0.76200000000000001</v>
      </c>
      <c r="Q394" s="118">
        <v>1E-4</v>
      </c>
      <c r="R394" s="118">
        <f>Q394*H394</f>
        <v>1E-4</v>
      </c>
      <c r="S394" s="118">
        <v>0</v>
      </c>
      <c r="T394" s="119">
        <f>S394*H394</f>
        <v>0</v>
      </c>
      <c r="W394"/>
      <c r="X394"/>
      <c r="Y394"/>
      <c r="AP394" s="120" t="s">
        <v>108</v>
      </c>
      <c r="AR394" s="120" t="s">
        <v>103</v>
      </c>
      <c r="AS394" s="120" t="s">
        <v>65</v>
      </c>
      <c r="AW394" s="17" t="s">
        <v>101</v>
      </c>
      <c r="BC394" s="121">
        <f>IF(N394="základní",J394,0)</f>
        <v>0</v>
      </c>
      <c r="BD394" s="121">
        <f>IF(N394="snížená",J394,0)</f>
        <v>0</v>
      </c>
      <c r="BE394" s="121">
        <f>IF(N394="zákl. přenesená",J394,0)</f>
        <v>0</v>
      </c>
      <c r="BF394" s="121">
        <f>IF(N394="sníž. přenesená",J394,0)</f>
        <v>0</v>
      </c>
      <c r="BG394" s="121">
        <f>IF(N394="nulová",J394,0)</f>
        <v>0</v>
      </c>
      <c r="BH394" s="17" t="s">
        <v>63</v>
      </c>
      <c r="BI394" s="121">
        <f>ROUND(I394*H394,2)</f>
        <v>0</v>
      </c>
      <c r="BJ394" s="17" t="s">
        <v>108</v>
      </c>
      <c r="BK394" s="120" t="s">
        <v>1319</v>
      </c>
    </row>
    <row r="395" spans="2:63" s="1" customFormat="1" x14ac:dyDescent="0.2">
      <c r="B395" s="28"/>
      <c r="D395" s="122" t="s">
        <v>110</v>
      </c>
      <c r="F395" s="123" t="s">
        <v>1320</v>
      </c>
      <c r="L395" s="28"/>
      <c r="M395" s="124"/>
      <c r="T395" s="48"/>
      <c r="W395"/>
      <c r="X395"/>
      <c r="Y395"/>
      <c r="AR395" s="17" t="s">
        <v>110</v>
      </c>
      <c r="AS395" s="17" t="s">
        <v>65</v>
      </c>
    </row>
    <row r="396" spans="2:63" s="1" customFormat="1" ht="16.5" customHeight="1" x14ac:dyDescent="0.2">
      <c r="B396" s="109"/>
      <c r="C396" s="143" t="s">
        <v>409</v>
      </c>
      <c r="D396" s="143" t="s">
        <v>252</v>
      </c>
      <c r="E396" s="144" t="s">
        <v>1321</v>
      </c>
      <c r="F396" s="145" t="s">
        <v>1322</v>
      </c>
      <c r="G396" s="146" t="s">
        <v>314</v>
      </c>
      <c r="H396" s="147">
        <v>1</v>
      </c>
      <c r="I396" s="148">
        <v>0</v>
      </c>
      <c r="J396" s="148">
        <f>ROUND(I396*H396,2)</f>
        <v>0</v>
      </c>
      <c r="K396" s="145" t="s">
        <v>107</v>
      </c>
      <c r="L396" s="149"/>
      <c r="M396" s="150" t="s">
        <v>1</v>
      </c>
      <c r="N396" s="151" t="s">
        <v>39</v>
      </c>
      <c r="O396" s="118">
        <v>0</v>
      </c>
      <c r="P396" s="118">
        <f>O396*H396</f>
        <v>0</v>
      </c>
      <c r="Q396" s="118">
        <v>1.6000000000000001E-3</v>
      </c>
      <c r="R396" s="118">
        <f>Q396*H396</f>
        <v>1.6000000000000001E-3</v>
      </c>
      <c r="S396" s="118">
        <v>0</v>
      </c>
      <c r="T396" s="119">
        <f>S396*H396</f>
        <v>0</v>
      </c>
      <c r="W396"/>
      <c r="X396"/>
      <c r="Y396"/>
      <c r="AP396" s="120" t="s">
        <v>171</v>
      </c>
      <c r="AR396" s="120" t="s">
        <v>252</v>
      </c>
      <c r="AS396" s="120" t="s">
        <v>65</v>
      </c>
      <c r="AW396" s="17" t="s">
        <v>101</v>
      </c>
      <c r="BC396" s="121">
        <f>IF(N396="základní",J396,0)</f>
        <v>0</v>
      </c>
      <c r="BD396" s="121">
        <f>IF(N396="snížená",J396,0)</f>
        <v>0</v>
      </c>
      <c r="BE396" s="121">
        <f>IF(N396="zákl. přenesená",J396,0)</f>
        <v>0</v>
      </c>
      <c r="BF396" s="121">
        <f>IF(N396="sníž. přenesená",J396,0)</f>
        <v>0</v>
      </c>
      <c r="BG396" s="121">
        <f>IF(N396="nulová",J396,0)</f>
        <v>0</v>
      </c>
      <c r="BH396" s="17" t="s">
        <v>63</v>
      </c>
      <c r="BI396" s="121">
        <f>ROUND(I396*H396,2)</f>
        <v>0</v>
      </c>
      <c r="BJ396" s="17" t="s">
        <v>108</v>
      </c>
      <c r="BK396" s="120" t="s">
        <v>1323</v>
      </c>
    </row>
    <row r="397" spans="2:63" s="1" customFormat="1" ht="24.2" customHeight="1" x14ac:dyDescent="0.2">
      <c r="B397" s="109"/>
      <c r="C397" s="110" t="s">
        <v>414</v>
      </c>
      <c r="D397" s="110" t="s">
        <v>103</v>
      </c>
      <c r="E397" s="111" t="s">
        <v>1324</v>
      </c>
      <c r="F397" s="112" t="s">
        <v>1325</v>
      </c>
      <c r="G397" s="113" t="s">
        <v>1326</v>
      </c>
      <c r="H397" s="114">
        <v>1</v>
      </c>
      <c r="I397" s="115">
        <v>0</v>
      </c>
      <c r="J397" s="115">
        <f>ROUND(I397*H397,2)</f>
        <v>0</v>
      </c>
      <c r="K397" s="112" t="s">
        <v>107</v>
      </c>
      <c r="L397" s="28"/>
      <c r="M397" s="116" t="s">
        <v>1</v>
      </c>
      <c r="N397" s="117" t="s">
        <v>39</v>
      </c>
      <c r="O397" s="118">
        <v>0.84399999999999997</v>
      </c>
      <c r="P397" s="118">
        <f>O397*H397</f>
        <v>0.84399999999999997</v>
      </c>
      <c r="Q397" s="118">
        <v>3.1E-4</v>
      </c>
      <c r="R397" s="118">
        <f>Q397*H397</f>
        <v>3.1E-4</v>
      </c>
      <c r="S397" s="118">
        <v>0</v>
      </c>
      <c r="T397" s="119">
        <f>S397*H397</f>
        <v>0</v>
      </c>
      <c r="W397"/>
      <c r="X397"/>
      <c r="Y397"/>
      <c r="AP397" s="120" t="s">
        <v>108</v>
      </c>
      <c r="AR397" s="120" t="s">
        <v>103</v>
      </c>
      <c r="AS397" s="120" t="s">
        <v>65</v>
      </c>
      <c r="AW397" s="17" t="s">
        <v>101</v>
      </c>
      <c r="BC397" s="121">
        <f>IF(N397="základní",J397,0)</f>
        <v>0</v>
      </c>
      <c r="BD397" s="121">
        <f>IF(N397="snížená",J397,0)</f>
        <v>0</v>
      </c>
      <c r="BE397" s="121">
        <f>IF(N397="zákl. přenesená",J397,0)</f>
        <v>0</v>
      </c>
      <c r="BF397" s="121">
        <f>IF(N397="sníž. přenesená",J397,0)</f>
        <v>0</v>
      </c>
      <c r="BG397" s="121">
        <f>IF(N397="nulová",J397,0)</f>
        <v>0</v>
      </c>
      <c r="BH397" s="17" t="s">
        <v>63</v>
      </c>
      <c r="BI397" s="121">
        <f>ROUND(I397*H397,2)</f>
        <v>0</v>
      </c>
      <c r="BJ397" s="17" t="s">
        <v>108</v>
      </c>
      <c r="BK397" s="120" t="s">
        <v>1327</v>
      </c>
    </row>
    <row r="398" spans="2:63" s="1" customFormat="1" x14ac:dyDescent="0.2">
      <c r="B398" s="28"/>
      <c r="D398" s="122" t="s">
        <v>110</v>
      </c>
      <c r="F398" s="123" t="s">
        <v>1328</v>
      </c>
      <c r="L398" s="28"/>
      <c r="M398" s="124"/>
      <c r="T398" s="48"/>
      <c r="W398"/>
      <c r="X398"/>
      <c r="Y398"/>
      <c r="AR398" s="17" t="s">
        <v>110</v>
      </c>
      <c r="AS398" s="17" t="s">
        <v>65</v>
      </c>
    </row>
    <row r="399" spans="2:63" s="1" customFormat="1" ht="24.2" customHeight="1" x14ac:dyDescent="0.2">
      <c r="B399" s="109"/>
      <c r="C399" s="110" t="s">
        <v>420</v>
      </c>
      <c r="D399" s="110" t="s">
        <v>103</v>
      </c>
      <c r="E399" s="111" t="s">
        <v>981</v>
      </c>
      <c r="F399" s="112" t="s">
        <v>982</v>
      </c>
      <c r="G399" s="113" t="s">
        <v>314</v>
      </c>
      <c r="H399" s="114">
        <v>7</v>
      </c>
      <c r="I399" s="115">
        <v>0</v>
      </c>
      <c r="J399" s="115">
        <f>ROUND(I399*H399,2)</f>
        <v>0</v>
      </c>
      <c r="K399" s="112" t="s">
        <v>107</v>
      </c>
      <c r="L399" s="28"/>
      <c r="M399" s="116" t="s">
        <v>1</v>
      </c>
      <c r="N399" s="117" t="s">
        <v>39</v>
      </c>
      <c r="O399" s="118">
        <v>1.5620000000000001</v>
      </c>
      <c r="P399" s="118">
        <f>O399*H399</f>
        <v>10.934000000000001</v>
      </c>
      <c r="Q399" s="118">
        <v>1.0189999999999999E-2</v>
      </c>
      <c r="R399" s="118">
        <f>Q399*H399</f>
        <v>7.1329999999999991E-2</v>
      </c>
      <c r="S399" s="118">
        <v>0</v>
      </c>
      <c r="T399" s="119">
        <f>S399*H399</f>
        <v>0</v>
      </c>
      <c r="W399"/>
      <c r="X399"/>
      <c r="Y399"/>
      <c r="AP399" s="120" t="s">
        <v>108</v>
      </c>
      <c r="AR399" s="120" t="s">
        <v>103</v>
      </c>
      <c r="AS399" s="120" t="s">
        <v>65</v>
      </c>
      <c r="AW399" s="17" t="s">
        <v>101</v>
      </c>
      <c r="BC399" s="121">
        <f>IF(N399="základní",J399,0)</f>
        <v>0</v>
      </c>
      <c r="BD399" s="121">
        <f>IF(N399="snížená",J399,0)</f>
        <v>0</v>
      </c>
      <c r="BE399" s="121">
        <f>IF(N399="zákl. přenesená",J399,0)</f>
        <v>0</v>
      </c>
      <c r="BF399" s="121">
        <f>IF(N399="sníž. přenesená",J399,0)</f>
        <v>0</v>
      </c>
      <c r="BG399" s="121">
        <f>IF(N399="nulová",J399,0)</f>
        <v>0</v>
      </c>
      <c r="BH399" s="17" t="s">
        <v>63</v>
      </c>
      <c r="BI399" s="121">
        <f>ROUND(I399*H399,2)</f>
        <v>0</v>
      </c>
      <c r="BJ399" s="17" t="s">
        <v>108</v>
      </c>
      <c r="BK399" s="120" t="s">
        <v>1329</v>
      </c>
    </row>
    <row r="400" spans="2:63" s="1" customFormat="1" x14ac:dyDescent="0.2">
      <c r="B400" s="28"/>
      <c r="D400" s="122" t="s">
        <v>110</v>
      </c>
      <c r="F400" s="123" t="s">
        <v>984</v>
      </c>
      <c r="L400" s="28"/>
      <c r="M400" s="124"/>
      <c r="T400" s="48"/>
      <c r="W400"/>
      <c r="X400"/>
      <c r="Y400"/>
      <c r="AR400" s="17" t="s">
        <v>110</v>
      </c>
      <c r="AS400" s="17" t="s">
        <v>65</v>
      </c>
    </row>
    <row r="401" spans="2:63" s="1" customFormat="1" ht="24.2" customHeight="1" x14ac:dyDescent="0.2">
      <c r="B401" s="109"/>
      <c r="C401" s="143" t="s">
        <v>440</v>
      </c>
      <c r="D401" s="143" t="s">
        <v>252</v>
      </c>
      <c r="E401" s="144" t="s">
        <v>995</v>
      </c>
      <c r="F401" s="145" t="s">
        <v>996</v>
      </c>
      <c r="G401" s="146" t="s">
        <v>314</v>
      </c>
      <c r="H401" s="147">
        <v>4</v>
      </c>
      <c r="I401" s="148">
        <v>0</v>
      </c>
      <c r="J401" s="148">
        <f>ROUND(I401*H401,2)</f>
        <v>0</v>
      </c>
      <c r="K401" s="145" t="s">
        <v>107</v>
      </c>
      <c r="L401" s="149"/>
      <c r="M401" s="150" t="s">
        <v>1</v>
      </c>
      <c r="N401" s="151" t="s">
        <v>39</v>
      </c>
      <c r="O401" s="118">
        <v>0</v>
      </c>
      <c r="P401" s="118">
        <f>O401*H401</f>
        <v>0</v>
      </c>
      <c r="Q401" s="118">
        <v>2E-3</v>
      </c>
      <c r="R401" s="118">
        <f>Q401*H401</f>
        <v>8.0000000000000002E-3</v>
      </c>
      <c r="S401" s="118">
        <v>0</v>
      </c>
      <c r="T401" s="119">
        <f>S401*H401</f>
        <v>0</v>
      </c>
      <c r="W401"/>
      <c r="X401"/>
      <c r="Y401"/>
      <c r="AP401" s="120" t="s">
        <v>171</v>
      </c>
      <c r="AR401" s="120" t="s">
        <v>252</v>
      </c>
      <c r="AS401" s="120" t="s">
        <v>65</v>
      </c>
      <c r="AW401" s="17" t="s">
        <v>101</v>
      </c>
      <c r="BC401" s="121">
        <f>IF(N401="základní",J401,0)</f>
        <v>0</v>
      </c>
      <c r="BD401" s="121">
        <f>IF(N401="snížená",J401,0)</f>
        <v>0</v>
      </c>
      <c r="BE401" s="121">
        <f>IF(N401="zákl. přenesená",J401,0)</f>
        <v>0</v>
      </c>
      <c r="BF401" s="121">
        <f>IF(N401="sníž. přenesená",J401,0)</f>
        <v>0</v>
      </c>
      <c r="BG401" s="121">
        <f>IF(N401="nulová",J401,0)</f>
        <v>0</v>
      </c>
      <c r="BH401" s="17" t="s">
        <v>63</v>
      </c>
      <c r="BI401" s="121">
        <f>ROUND(I401*H401,2)</f>
        <v>0</v>
      </c>
      <c r="BJ401" s="17" t="s">
        <v>108</v>
      </c>
      <c r="BK401" s="120" t="s">
        <v>1333</v>
      </c>
    </row>
    <row r="402" spans="2:63" s="1" customFormat="1" ht="24.2" customHeight="1" x14ac:dyDescent="0.2">
      <c r="B402" s="109"/>
      <c r="C402" s="110" t="s">
        <v>445</v>
      </c>
      <c r="D402" s="110" t="s">
        <v>103</v>
      </c>
      <c r="E402" s="111" t="s">
        <v>999</v>
      </c>
      <c r="F402" s="112" t="s">
        <v>1000</v>
      </c>
      <c r="G402" s="113" t="s">
        <v>314</v>
      </c>
      <c r="H402" s="114">
        <v>1</v>
      </c>
      <c r="I402" s="115">
        <v>0</v>
      </c>
      <c r="J402" s="115">
        <f>ROUND(I402*H402,2)</f>
        <v>0</v>
      </c>
      <c r="K402" s="112" t="s">
        <v>107</v>
      </c>
      <c r="L402" s="28"/>
      <c r="M402" s="116" t="s">
        <v>1</v>
      </c>
      <c r="N402" s="117" t="s">
        <v>39</v>
      </c>
      <c r="O402" s="118">
        <v>2.08</v>
      </c>
      <c r="P402" s="118">
        <f>O402*H402</f>
        <v>2.08</v>
      </c>
      <c r="Q402" s="118">
        <v>2.8539999999999999E-2</v>
      </c>
      <c r="R402" s="118">
        <f>Q402*H402</f>
        <v>2.8539999999999999E-2</v>
      </c>
      <c r="S402" s="118">
        <v>0</v>
      </c>
      <c r="T402" s="119">
        <f>S402*H402</f>
        <v>0</v>
      </c>
      <c r="W402"/>
      <c r="X402"/>
      <c r="Y402"/>
      <c r="AP402" s="120" t="s">
        <v>108</v>
      </c>
      <c r="AR402" s="120" t="s">
        <v>103</v>
      </c>
      <c r="AS402" s="120" t="s">
        <v>65</v>
      </c>
      <c r="AW402" s="17" t="s">
        <v>101</v>
      </c>
      <c r="BC402" s="121">
        <f>IF(N402="základní",J402,0)</f>
        <v>0</v>
      </c>
      <c r="BD402" s="121">
        <f>IF(N402="snížená",J402,0)</f>
        <v>0</v>
      </c>
      <c r="BE402" s="121">
        <f>IF(N402="zákl. přenesená",J402,0)</f>
        <v>0</v>
      </c>
      <c r="BF402" s="121">
        <f>IF(N402="sníž. přenesená",J402,0)</f>
        <v>0</v>
      </c>
      <c r="BG402" s="121">
        <f>IF(N402="nulová",J402,0)</f>
        <v>0</v>
      </c>
      <c r="BH402" s="17" t="s">
        <v>63</v>
      </c>
      <c r="BI402" s="121">
        <f>ROUND(I402*H402,2)</f>
        <v>0</v>
      </c>
      <c r="BJ402" s="17" t="s">
        <v>108</v>
      </c>
      <c r="BK402" s="120" t="s">
        <v>1334</v>
      </c>
    </row>
    <row r="403" spans="2:63" s="1" customFormat="1" x14ac:dyDescent="0.2">
      <c r="B403" s="28"/>
      <c r="D403" s="122" t="s">
        <v>110</v>
      </c>
      <c r="F403" s="123" t="s">
        <v>1002</v>
      </c>
      <c r="L403" s="28"/>
      <c r="M403" s="124"/>
      <c r="T403" s="48"/>
      <c r="W403"/>
      <c r="X403"/>
      <c r="Y403"/>
      <c r="AR403" s="17" t="s">
        <v>110</v>
      </c>
      <c r="AS403" s="17" t="s">
        <v>65</v>
      </c>
    </row>
    <row r="404" spans="2:63" s="1" customFormat="1" ht="24.2" customHeight="1" x14ac:dyDescent="0.2">
      <c r="B404" s="109"/>
      <c r="C404" s="110" t="s">
        <v>458</v>
      </c>
      <c r="D404" s="110" t="s">
        <v>103</v>
      </c>
      <c r="E404" s="111" t="s">
        <v>1016</v>
      </c>
      <c r="F404" s="112" t="s">
        <v>1017</v>
      </c>
      <c r="G404" s="113" t="s">
        <v>314</v>
      </c>
      <c r="H404" s="114">
        <v>1</v>
      </c>
      <c r="I404" s="115">
        <v>0</v>
      </c>
      <c r="J404" s="115">
        <f>ROUND(I404*H404,2)</f>
        <v>0</v>
      </c>
      <c r="K404" s="112" t="s">
        <v>107</v>
      </c>
      <c r="L404" s="28"/>
      <c r="M404" s="116" t="s">
        <v>1</v>
      </c>
      <c r="N404" s="117" t="s">
        <v>39</v>
      </c>
      <c r="O404" s="118">
        <v>0.81699999999999995</v>
      </c>
      <c r="P404" s="118">
        <f>O404*H404</f>
        <v>0.81699999999999995</v>
      </c>
      <c r="Q404" s="118">
        <v>3.9269999999999999E-2</v>
      </c>
      <c r="R404" s="118">
        <f>Q404*H404</f>
        <v>3.9269999999999999E-2</v>
      </c>
      <c r="S404" s="118">
        <v>0</v>
      </c>
      <c r="T404" s="119">
        <f>S404*H404</f>
        <v>0</v>
      </c>
      <c r="W404"/>
      <c r="X404"/>
      <c r="Y404"/>
      <c r="AP404" s="120" t="s">
        <v>108</v>
      </c>
      <c r="AR404" s="120" t="s">
        <v>103</v>
      </c>
      <c r="AS404" s="120" t="s">
        <v>65</v>
      </c>
      <c r="AW404" s="17" t="s">
        <v>101</v>
      </c>
      <c r="BC404" s="121">
        <f>IF(N404="základní",J404,0)</f>
        <v>0</v>
      </c>
      <c r="BD404" s="121">
        <f>IF(N404="snížená",J404,0)</f>
        <v>0</v>
      </c>
      <c r="BE404" s="121">
        <f>IF(N404="zákl. přenesená",J404,0)</f>
        <v>0</v>
      </c>
      <c r="BF404" s="121">
        <f>IF(N404="sníž. přenesená",J404,0)</f>
        <v>0</v>
      </c>
      <c r="BG404" s="121">
        <f>IF(N404="nulová",J404,0)</f>
        <v>0</v>
      </c>
      <c r="BH404" s="17" t="s">
        <v>63</v>
      </c>
      <c r="BI404" s="121">
        <f>ROUND(I404*H404,2)</f>
        <v>0</v>
      </c>
      <c r="BJ404" s="17" t="s">
        <v>108</v>
      </c>
      <c r="BK404" s="120" t="s">
        <v>1337</v>
      </c>
    </row>
    <row r="405" spans="2:63" s="1" customFormat="1" x14ac:dyDescent="0.2">
      <c r="B405" s="28"/>
      <c r="D405" s="122" t="s">
        <v>110</v>
      </c>
      <c r="F405" s="123" t="s">
        <v>1019</v>
      </c>
      <c r="L405" s="28"/>
      <c r="M405" s="124"/>
      <c r="T405" s="48"/>
      <c r="W405"/>
      <c r="X405"/>
      <c r="Y405"/>
      <c r="AR405" s="17" t="s">
        <v>110</v>
      </c>
      <c r="AS405" s="17" t="s">
        <v>65</v>
      </c>
    </row>
    <row r="406" spans="2:63" s="1" customFormat="1" ht="16.5" customHeight="1" x14ac:dyDescent="0.2">
      <c r="B406" s="109"/>
      <c r="C406" s="143" t="s">
        <v>463</v>
      </c>
      <c r="D406" s="143" t="s">
        <v>252</v>
      </c>
      <c r="E406" s="144" t="s">
        <v>1021</v>
      </c>
      <c r="F406" s="145" t="s">
        <v>1022</v>
      </c>
      <c r="G406" s="146" t="s">
        <v>314</v>
      </c>
      <c r="H406" s="147">
        <v>1</v>
      </c>
      <c r="I406" s="148">
        <v>0</v>
      </c>
      <c r="J406" s="148">
        <f>ROUND(I406*H406,2)</f>
        <v>0</v>
      </c>
      <c r="K406" s="145" t="s">
        <v>1</v>
      </c>
      <c r="L406" s="149"/>
      <c r="M406" s="150" t="s">
        <v>1</v>
      </c>
      <c r="N406" s="151" t="s">
        <v>39</v>
      </c>
      <c r="O406" s="118">
        <v>0</v>
      </c>
      <c r="P406" s="118">
        <f>O406*H406</f>
        <v>0</v>
      </c>
      <c r="Q406" s="118">
        <v>0.44900000000000001</v>
      </c>
      <c r="R406" s="118">
        <f>Q406*H406</f>
        <v>0.44900000000000001</v>
      </c>
      <c r="S406" s="118">
        <v>0</v>
      </c>
      <c r="T406" s="119">
        <f>S406*H406</f>
        <v>0</v>
      </c>
      <c r="W406"/>
      <c r="X406"/>
      <c r="Y406"/>
      <c r="AP406" s="120" t="s">
        <v>171</v>
      </c>
      <c r="AR406" s="120" t="s">
        <v>252</v>
      </c>
      <c r="AS406" s="120" t="s">
        <v>65</v>
      </c>
      <c r="AW406" s="17" t="s">
        <v>101</v>
      </c>
      <c r="BC406" s="121">
        <f>IF(N406="základní",J406,0)</f>
        <v>0</v>
      </c>
      <c r="BD406" s="121">
        <f>IF(N406="snížená",J406,0)</f>
        <v>0</v>
      </c>
      <c r="BE406" s="121">
        <f>IF(N406="zákl. přenesená",J406,0)</f>
        <v>0</v>
      </c>
      <c r="BF406" s="121">
        <f>IF(N406="sníž. přenesená",J406,0)</f>
        <v>0</v>
      </c>
      <c r="BG406" s="121">
        <f>IF(N406="nulová",J406,0)</f>
        <v>0</v>
      </c>
      <c r="BH406" s="17" t="s">
        <v>63</v>
      </c>
      <c r="BI406" s="121">
        <f>ROUND(I406*H406,2)</f>
        <v>0</v>
      </c>
      <c r="BJ406" s="17" t="s">
        <v>108</v>
      </c>
      <c r="BK406" s="120" t="s">
        <v>1338</v>
      </c>
    </row>
    <row r="407" spans="2:63" s="1" customFormat="1" ht="21.75" customHeight="1" x14ac:dyDescent="0.2">
      <c r="B407" s="109"/>
      <c r="C407" s="110" t="s">
        <v>476</v>
      </c>
      <c r="D407" s="110" t="s">
        <v>103</v>
      </c>
      <c r="E407" s="111" t="s">
        <v>621</v>
      </c>
      <c r="F407" s="112" t="s">
        <v>622</v>
      </c>
      <c r="G407" s="113" t="s">
        <v>106</v>
      </c>
      <c r="H407" s="114">
        <f>32*0.82</f>
        <v>26.24</v>
      </c>
      <c r="I407" s="115">
        <v>0</v>
      </c>
      <c r="J407" s="115">
        <f>ROUND(I407*H407,2)</f>
        <v>0</v>
      </c>
      <c r="K407" s="112" t="s">
        <v>107</v>
      </c>
      <c r="L407" s="28"/>
      <c r="M407" s="116" t="s">
        <v>1</v>
      </c>
      <c r="N407" s="117" t="s">
        <v>39</v>
      </c>
      <c r="O407" s="118">
        <v>2.3E-2</v>
      </c>
      <c r="P407" s="118">
        <f>O407*H407</f>
        <v>0.60351999999999995</v>
      </c>
      <c r="Q407" s="118">
        <v>6.9999999999999994E-5</v>
      </c>
      <c r="R407" s="118">
        <f>Q407*H407</f>
        <v>1.8367999999999998E-3</v>
      </c>
      <c r="S407" s="118">
        <v>0</v>
      </c>
      <c r="T407" s="119">
        <f>S407*H407</f>
        <v>0</v>
      </c>
      <c r="W407"/>
      <c r="X407"/>
      <c r="Y407"/>
      <c r="AP407" s="120" t="s">
        <v>108</v>
      </c>
      <c r="AR407" s="120" t="s">
        <v>103</v>
      </c>
      <c r="AS407" s="120" t="s">
        <v>65</v>
      </c>
      <c r="AW407" s="17" t="s">
        <v>101</v>
      </c>
      <c r="BC407" s="121">
        <f>IF(N407="základní",J407,0)</f>
        <v>0</v>
      </c>
      <c r="BD407" s="121">
        <f>IF(N407="snížená",J407,0)</f>
        <v>0</v>
      </c>
      <c r="BE407" s="121">
        <f>IF(N407="zákl. přenesená",J407,0)</f>
        <v>0</v>
      </c>
      <c r="BF407" s="121">
        <f>IF(N407="sníž. přenesená",J407,0)</f>
        <v>0</v>
      </c>
      <c r="BG407" s="121">
        <f>IF(N407="nulová",J407,0)</f>
        <v>0</v>
      </c>
      <c r="BH407" s="17" t="s">
        <v>63</v>
      </c>
      <c r="BI407" s="121">
        <f>ROUND(I407*H407,2)</f>
        <v>0</v>
      </c>
      <c r="BJ407" s="17" t="s">
        <v>108</v>
      </c>
      <c r="BK407" s="120" t="s">
        <v>1343</v>
      </c>
    </row>
    <row r="408" spans="2:63" s="1" customFormat="1" x14ac:dyDescent="0.2">
      <c r="B408" s="28"/>
      <c r="D408" s="122" t="s">
        <v>110</v>
      </c>
      <c r="F408" s="123" t="s">
        <v>624</v>
      </c>
      <c r="L408" s="28"/>
      <c r="M408" s="124"/>
      <c r="T408" s="48"/>
      <c r="W408"/>
      <c r="X408"/>
      <c r="Y408"/>
      <c r="AR408" s="17" t="s">
        <v>110</v>
      </c>
      <c r="AS408" s="17" t="s">
        <v>65</v>
      </c>
    </row>
    <row r="409" spans="2:63" s="11" customFormat="1" ht="22.9" customHeight="1" x14ac:dyDescent="0.2">
      <c r="B409" s="98"/>
      <c r="D409" s="99" t="s">
        <v>54</v>
      </c>
      <c r="E409" s="107" t="s">
        <v>180</v>
      </c>
      <c r="F409" s="107" t="s">
        <v>1344</v>
      </c>
      <c r="J409" s="108">
        <f>BI409</f>
        <v>0</v>
      </c>
      <c r="L409" s="98"/>
      <c r="M409" s="102"/>
      <c r="P409" s="103">
        <f>SUM(P410:P424)</f>
        <v>222.96213280000001</v>
      </c>
      <c r="R409" s="103">
        <f>SUM(R410:R424)</f>
        <v>1.3099025302</v>
      </c>
      <c r="T409" s="104">
        <f>SUM(T410:T424)</f>
        <v>0</v>
      </c>
      <c r="W409"/>
      <c r="X409"/>
      <c r="Y409"/>
      <c r="AP409" s="99" t="s">
        <v>63</v>
      </c>
      <c r="AR409" s="105" t="s">
        <v>54</v>
      </c>
      <c r="AS409" s="105" t="s">
        <v>63</v>
      </c>
      <c r="AW409" s="99" t="s">
        <v>101</v>
      </c>
      <c r="BI409" s="106">
        <f>SUM(BI410:BI424)</f>
        <v>0</v>
      </c>
    </row>
    <row r="410" spans="2:63" s="1" customFormat="1" ht="24.2" customHeight="1" x14ac:dyDescent="0.2">
      <c r="B410" s="109"/>
      <c r="C410" s="110" t="s">
        <v>481</v>
      </c>
      <c r="D410" s="110" t="s">
        <v>103</v>
      </c>
      <c r="E410" s="111" t="s">
        <v>1345</v>
      </c>
      <c r="F410" s="112" t="s">
        <v>1346</v>
      </c>
      <c r="G410" s="113" t="s">
        <v>174</v>
      </c>
      <c r="H410" s="114">
        <f>3398.813*0.82</f>
        <v>2787.02666</v>
      </c>
      <c r="I410" s="115">
        <v>0</v>
      </c>
      <c r="J410" s="115">
        <f>ROUND(I410*H410,2)</f>
        <v>0</v>
      </c>
      <c r="K410" s="112" t="s">
        <v>107</v>
      </c>
      <c r="L410" s="28"/>
      <c r="M410" s="116" t="s">
        <v>1</v>
      </c>
      <c r="N410" s="117" t="s">
        <v>39</v>
      </c>
      <c r="O410" s="118">
        <v>0.08</v>
      </c>
      <c r="P410" s="118">
        <f>O410*H410</f>
        <v>222.96213280000001</v>
      </c>
      <c r="Q410" s="118">
        <v>4.6999999999999999E-4</v>
      </c>
      <c r="R410" s="118">
        <f>Q410*H410</f>
        <v>1.3099025302</v>
      </c>
      <c r="S410" s="118">
        <v>0</v>
      </c>
      <c r="T410" s="119">
        <f>S410*H410</f>
        <v>0</v>
      </c>
      <c r="W410"/>
      <c r="X410"/>
      <c r="Y410"/>
      <c r="AP410" s="120" t="s">
        <v>108</v>
      </c>
      <c r="AR410" s="120" t="s">
        <v>103</v>
      </c>
      <c r="AS410" s="120" t="s">
        <v>65</v>
      </c>
      <c r="AW410" s="17" t="s">
        <v>101</v>
      </c>
      <c r="BC410" s="121">
        <f>IF(N410="základní",J410,0)</f>
        <v>0</v>
      </c>
      <c r="BD410" s="121">
        <f>IF(N410="snížená",J410,0)</f>
        <v>0</v>
      </c>
      <c r="BE410" s="121">
        <f>IF(N410="zákl. přenesená",J410,0)</f>
        <v>0</v>
      </c>
      <c r="BF410" s="121">
        <f>IF(N410="sníž. přenesená",J410,0)</f>
        <v>0</v>
      </c>
      <c r="BG410" s="121">
        <f>IF(N410="nulová",J410,0)</f>
        <v>0</v>
      </c>
      <c r="BH410" s="17" t="s">
        <v>63</v>
      </c>
      <c r="BI410" s="121">
        <f>ROUND(I410*H410,2)</f>
        <v>0</v>
      </c>
      <c r="BJ410" s="17" t="s">
        <v>108</v>
      </c>
      <c r="BK410" s="120" t="s">
        <v>1347</v>
      </c>
    </row>
    <row r="411" spans="2:63" s="1" customFormat="1" x14ac:dyDescent="0.2">
      <c r="B411" s="28"/>
      <c r="D411" s="122" t="s">
        <v>110</v>
      </c>
      <c r="F411" s="123" t="s">
        <v>1348</v>
      </c>
      <c r="L411" s="28"/>
      <c r="M411" s="124"/>
      <c r="T411" s="48"/>
      <c r="W411"/>
      <c r="X411"/>
      <c r="Y411"/>
      <c r="AR411" s="17" t="s">
        <v>110</v>
      </c>
      <c r="AS411" s="17" t="s">
        <v>65</v>
      </c>
    </row>
    <row r="412" spans="2:63" s="12" customFormat="1" x14ac:dyDescent="0.2">
      <c r="B412" s="125"/>
      <c r="D412" s="126" t="s">
        <v>112</v>
      </c>
      <c r="E412" s="127" t="s">
        <v>1</v>
      </c>
      <c r="F412" s="128" t="s">
        <v>1248</v>
      </c>
      <c r="H412" s="127" t="s">
        <v>1</v>
      </c>
      <c r="L412" s="125"/>
      <c r="M412" s="129"/>
      <c r="T412" s="130"/>
      <c r="W412"/>
      <c r="X412"/>
      <c r="Y412"/>
      <c r="AR412" s="127" t="s">
        <v>112</v>
      </c>
      <c r="AS412" s="127" t="s">
        <v>65</v>
      </c>
      <c r="AT412" s="12" t="s">
        <v>63</v>
      </c>
      <c r="AU412" s="12" t="s">
        <v>30</v>
      </c>
      <c r="AV412" s="12" t="s">
        <v>55</v>
      </c>
      <c r="AW412" s="127" t="s">
        <v>101</v>
      </c>
    </row>
    <row r="413" spans="2:63" s="12" customFormat="1" ht="22.5" x14ac:dyDescent="0.2">
      <c r="B413" s="125"/>
      <c r="D413" s="126" t="s">
        <v>112</v>
      </c>
      <c r="E413" s="127" t="s">
        <v>1</v>
      </c>
      <c r="F413" s="128" t="s">
        <v>1349</v>
      </c>
      <c r="H413" s="127" t="s">
        <v>1</v>
      </c>
      <c r="L413" s="125"/>
      <c r="M413" s="129"/>
      <c r="T413" s="130"/>
      <c r="W413"/>
      <c r="X413"/>
      <c r="Y413"/>
      <c r="AR413" s="127" t="s">
        <v>112</v>
      </c>
      <c r="AS413" s="127" t="s">
        <v>65</v>
      </c>
      <c r="AT413" s="12" t="s">
        <v>63</v>
      </c>
      <c r="AU413" s="12" t="s">
        <v>30</v>
      </c>
      <c r="AV413" s="12" t="s">
        <v>55</v>
      </c>
      <c r="AW413" s="127" t="s">
        <v>101</v>
      </c>
    </row>
    <row r="414" spans="2:63" s="13" customFormat="1" x14ac:dyDescent="0.2">
      <c r="B414" s="131"/>
      <c r="D414" s="126" t="s">
        <v>112</v>
      </c>
      <c r="E414" s="132" t="s">
        <v>1</v>
      </c>
      <c r="F414" s="133" t="s">
        <v>1350</v>
      </c>
      <c r="H414" s="134">
        <v>194.8</v>
      </c>
      <c r="L414" s="131"/>
      <c r="M414" s="135"/>
      <c r="T414" s="136"/>
      <c r="W414"/>
      <c r="X414"/>
      <c r="Y414"/>
      <c r="AR414" s="132" t="s">
        <v>112</v>
      </c>
      <c r="AS414" s="132" t="s">
        <v>65</v>
      </c>
      <c r="AT414" s="13" t="s">
        <v>65</v>
      </c>
      <c r="AU414" s="13" t="s">
        <v>30</v>
      </c>
      <c r="AV414" s="13" t="s">
        <v>55</v>
      </c>
      <c r="AW414" s="132" t="s">
        <v>101</v>
      </c>
    </row>
    <row r="415" spans="2:63" s="13" customFormat="1" x14ac:dyDescent="0.2">
      <c r="B415" s="131"/>
      <c r="D415" s="126" t="s">
        <v>112</v>
      </c>
      <c r="E415" s="132" t="s">
        <v>1</v>
      </c>
      <c r="F415" s="133" t="s">
        <v>1351</v>
      </c>
      <c r="H415" s="134">
        <v>662.8</v>
      </c>
      <c r="L415" s="131"/>
      <c r="M415" s="135"/>
      <c r="T415" s="136"/>
      <c r="W415"/>
      <c r="X415"/>
      <c r="Y415"/>
      <c r="AR415" s="132" t="s">
        <v>112</v>
      </c>
      <c r="AS415" s="132" t="s">
        <v>65</v>
      </c>
      <c r="AT415" s="13" t="s">
        <v>65</v>
      </c>
      <c r="AU415" s="13" t="s">
        <v>30</v>
      </c>
      <c r="AV415" s="13" t="s">
        <v>55</v>
      </c>
      <c r="AW415" s="132" t="s">
        <v>101</v>
      </c>
    </row>
    <row r="416" spans="2:63" s="13" customFormat="1" x14ac:dyDescent="0.2">
      <c r="B416" s="131"/>
      <c r="D416" s="126" t="s">
        <v>112</v>
      </c>
      <c r="E416" s="132" t="s">
        <v>1</v>
      </c>
      <c r="F416" s="133" t="s">
        <v>1352</v>
      </c>
      <c r="H416" s="134">
        <v>92.94</v>
      </c>
      <c r="L416" s="131"/>
      <c r="M416" s="135"/>
      <c r="T416" s="136"/>
      <c r="W416"/>
      <c r="X416"/>
      <c r="Y416"/>
      <c r="AR416" s="132" t="s">
        <v>112</v>
      </c>
      <c r="AS416" s="132" t="s">
        <v>65</v>
      </c>
      <c r="AT416" s="13" t="s">
        <v>65</v>
      </c>
      <c r="AU416" s="13" t="s">
        <v>30</v>
      </c>
      <c r="AV416" s="13" t="s">
        <v>55</v>
      </c>
      <c r="AW416" s="132" t="s">
        <v>101</v>
      </c>
    </row>
    <row r="417" spans="2:63" s="13" customFormat="1" x14ac:dyDescent="0.2">
      <c r="B417" s="131"/>
      <c r="D417" s="126" t="s">
        <v>112</v>
      </c>
      <c r="E417" s="132" t="s">
        <v>1</v>
      </c>
      <c r="F417" s="133" t="s">
        <v>1353</v>
      </c>
      <c r="H417" s="134">
        <v>213.86</v>
      </c>
      <c r="L417" s="131"/>
      <c r="M417" s="135"/>
      <c r="T417" s="136"/>
      <c r="W417"/>
      <c r="X417"/>
      <c r="Y417"/>
      <c r="AR417" s="132" t="s">
        <v>112</v>
      </c>
      <c r="AS417" s="132" t="s">
        <v>65</v>
      </c>
      <c r="AT417" s="13" t="s">
        <v>65</v>
      </c>
      <c r="AU417" s="13" t="s">
        <v>30</v>
      </c>
      <c r="AV417" s="13" t="s">
        <v>55</v>
      </c>
      <c r="AW417" s="132" t="s">
        <v>101</v>
      </c>
    </row>
    <row r="418" spans="2:63" s="13" customFormat="1" x14ac:dyDescent="0.2">
      <c r="B418" s="131"/>
      <c r="D418" s="126" t="s">
        <v>112</v>
      </c>
      <c r="E418" s="132" t="s">
        <v>1</v>
      </c>
      <c r="F418" s="133" t="s">
        <v>1354</v>
      </c>
      <c r="H418" s="134">
        <v>321.95999999999998</v>
      </c>
      <c r="L418" s="131"/>
      <c r="M418" s="135"/>
      <c r="T418" s="136"/>
      <c r="W418"/>
      <c r="X418"/>
      <c r="Y418"/>
      <c r="AR418" s="132" t="s">
        <v>112</v>
      </c>
      <c r="AS418" s="132" t="s">
        <v>65</v>
      </c>
      <c r="AT418" s="13" t="s">
        <v>65</v>
      </c>
      <c r="AU418" s="13" t="s">
        <v>30</v>
      </c>
      <c r="AV418" s="13" t="s">
        <v>55</v>
      </c>
      <c r="AW418" s="132" t="s">
        <v>101</v>
      </c>
    </row>
    <row r="419" spans="2:63" s="13" customFormat="1" x14ac:dyDescent="0.2">
      <c r="B419" s="131"/>
      <c r="D419" s="126" t="s">
        <v>112</v>
      </c>
      <c r="E419" s="132" t="s">
        <v>1</v>
      </c>
      <c r="F419" s="133" t="s">
        <v>1355</v>
      </c>
      <c r="H419" s="134">
        <v>430.08</v>
      </c>
      <c r="L419" s="131"/>
      <c r="M419" s="135"/>
      <c r="T419" s="136"/>
      <c r="W419"/>
      <c r="X419"/>
      <c r="Y419"/>
      <c r="AR419" s="132" t="s">
        <v>112</v>
      </c>
      <c r="AS419" s="132" t="s">
        <v>65</v>
      </c>
      <c r="AT419" s="13" t="s">
        <v>65</v>
      </c>
      <c r="AU419" s="13" t="s">
        <v>30</v>
      </c>
      <c r="AV419" s="13" t="s">
        <v>55</v>
      </c>
      <c r="AW419" s="132" t="s">
        <v>101</v>
      </c>
    </row>
    <row r="420" spans="2:63" s="13" customFormat="1" x14ac:dyDescent="0.2">
      <c r="B420" s="131"/>
      <c r="D420" s="126" t="s">
        <v>112</v>
      </c>
      <c r="E420" s="132" t="s">
        <v>1</v>
      </c>
      <c r="F420" s="133" t="s">
        <v>1356</v>
      </c>
      <c r="H420" s="134">
        <v>453.88600000000002</v>
      </c>
      <c r="L420" s="131"/>
      <c r="M420" s="135"/>
      <c r="T420" s="136"/>
      <c r="W420"/>
      <c r="X420"/>
      <c r="Y420"/>
      <c r="AR420" s="132" t="s">
        <v>112</v>
      </c>
      <c r="AS420" s="132" t="s">
        <v>65</v>
      </c>
      <c r="AT420" s="13" t="s">
        <v>65</v>
      </c>
      <c r="AU420" s="13" t="s">
        <v>30</v>
      </c>
      <c r="AV420" s="13" t="s">
        <v>55</v>
      </c>
      <c r="AW420" s="132" t="s">
        <v>101</v>
      </c>
    </row>
    <row r="421" spans="2:63" s="13" customFormat="1" x14ac:dyDescent="0.2">
      <c r="B421" s="131"/>
      <c r="D421" s="126" t="s">
        <v>112</v>
      </c>
      <c r="E421" s="132" t="s">
        <v>1</v>
      </c>
      <c r="F421" s="133" t="s">
        <v>1357</v>
      </c>
      <c r="H421" s="134">
        <v>127.08799999999999</v>
      </c>
      <c r="L421" s="131"/>
      <c r="M421" s="135"/>
      <c r="T421" s="136"/>
      <c r="W421"/>
      <c r="X421"/>
      <c r="Y421"/>
      <c r="AR421" s="132" t="s">
        <v>112</v>
      </c>
      <c r="AS421" s="132" t="s">
        <v>65</v>
      </c>
      <c r="AT421" s="13" t="s">
        <v>65</v>
      </c>
      <c r="AU421" s="13" t="s">
        <v>30</v>
      </c>
      <c r="AV421" s="13" t="s">
        <v>55</v>
      </c>
      <c r="AW421" s="132" t="s">
        <v>101</v>
      </c>
    </row>
    <row r="422" spans="2:63" s="13" customFormat="1" x14ac:dyDescent="0.2">
      <c r="B422" s="131"/>
      <c r="D422" s="126" t="s">
        <v>112</v>
      </c>
      <c r="E422" s="132" t="s">
        <v>1</v>
      </c>
      <c r="F422" s="133" t="s">
        <v>1358</v>
      </c>
      <c r="H422" s="134">
        <v>592.41600000000005</v>
      </c>
      <c r="L422" s="131"/>
      <c r="M422" s="135"/>
      <c r="T422" s="136"/>
      <c r="W422"/>
      <c r="X422"/>
      <c r="Y422"/>
      <c r="AR422" s="132" t="s">
        <v>112</v>
      </c>
      <c r="AS422" s="132" t="s">
        <v>65</v>
      </c>
      <c r="AT422" s="13" t="s">
        <v>65</v>
      </c>
      <c r="AU422" s="13" t="s">
        <v>30</v>
      </c>
      <c r="AV422" s="13" t="s">
        <v>55</v>
      </c>
      <c r="AW422" s="132" t="s">
        <v>101</v>
      </c>
    </row>
    <row r="423" spans="2:63" s="14" customFormat="1" x14ac:dyDescent="0.2">
      <c r="B423" s="137"/>
      <c r="D423" s="126" t="s">
        <v>112</v>
      </c>
      <c r="E423" s="138" t="s">
        <v>1</v>
      </c>
      <c r="F423" s="139" t="s">
        <v>127</v>
      </c>
      <c r="H423" s="140">
        <v>3089.83</v>
      </c>
      <c r="L423" s="137"/>
      <c r="M423" s="141"/>
      <c r="T423" s="142"/>
      <c r="W423"/>
      <c r="X423"/>
      <c r="Y423"/>
      <c r="AR423" s="138" t="s">
        <v>112</v>
      </c>
      <c r="AS423" s="138" t="s">
        <v>65</v>
      </c>
      <c r="AT423" s="14" t="s">
        <v>108</v>
      </c>
      <c r="AU423" s="14" t="s">
        <v>30</v>
      </c>
      <c r="AV423" s="14" t="s">
        <v>63</v>
      </c>
      <c r="AW423" s="138" t="s">
        <v>101</v>
      </c>
    </row>
    <row r="424" spans="2:63" s="13" customFormat="1" x14ac:dyDescent="0.2">
      <c r="B424" s="131"/>
      <c r="D424" s="126" t="s">
        <v>112</v>
      </c>
      <c r="F424" s="133" t="s">
        <v>1359</v>
      </c>
      <c r="H424" s="134">
        <v>3398.8130000000001</v>
      </c>
      <c r="L424" s="131"/>
      <c r="M424" s="135"/>
      <c r="T424" s="136"/>
      <c r="W424"/>
      <c r="X424"/>
      <c r="Y424"/>
      <c r="AR424" s="132" t="s">
        <v>112</v>
      </c>
      <c r="AS424" s="132" t="s">
        <v>65</v>
      </c>
      <c r="AT424" s="13" t="s">
        <v>65</v>
      </c>
      <c r="AU424" s="13" t="s">
        <v>2</v>
      </c>
      <c r="AV424" s="13" t="s">
        <v>63</v>
      </c>
      <c r="AW424" s="132" t="s">
        <v>101</v>
      </c>
    </row>
    <row r="425" spans="2:63" s="13" customFormat="1" x14ac:dyDescent="0.2">
      <c r="B425" s="131"/>
      <c r="D425" s="126"/>
      <c r="F425" s="139" t="s">
        <v>1853</v>
      </c>
      <c r="H425" s="134">
        <f>H424*0.82</f>
        <v>2787.02666</v>
      </c>
      <c r="L425" s="131"/>
      <c r="M425" s="135"/>
      <c r="T425" s="136"/>
      <c r="W425"/>
      <c r="X425"/>
      <c r="Y425"/>
      <c r="AR425" s="132"/>
      <c r="AS425" s="132"/>
      <c r="AW425" s="132"/>
    </row>
    <row r="426" spans="2:63" s="11" customFormat="1" ht="22.9" customHeight="1" x14ac:dyDescent="0.2">
      <c r="B426" s="98"/>
      <c r="D426" s="99" t="s">
        <v>54</v>
      </c>
      <c r="E426" s="107" t="s">
        <v>625</v>
      </c>
      <c r="F426" s="107" t="s">
        <v>626</v>
      </c>
      <c r="J426" s="108">
        <f>BI426</f>
        <v>0</v>
      </c>
      <c r="L426" s="98"/>
      <c r="M426" s="102"/>
      <c r="P426" s="103">
        <f>SUM(P427:P430)</f>
        <v>20.272003919999996</v>
      </c>
      <c r="R426" s="103">
        <f>SUM(R427:R430)</f>
        <v>0</v>
      </c>
      <c r="T426" s="104">
        <f>SUM(T427:T430)</f>
        <v>0</v>
      </c>
      <c r="W426"/>
      <c r="X426"/>
      <c r="Y426"/>
      <c r="AP426" s="99" t="s">
        <v>63</v>
      </c>
      <c r="AR426" s="105" t="s">
        <v>54</v>
      </c>
      <c r="AS426" s="105" t="s">
        <v>63</v>
      </c>
      <c r="AW426" s="99" t="s">
        <v>101</v>
      </c>
      <c r="BI426" s="106">
        <f>SUM(BI427:BI430)</f>
        <v>0</v>
      </c>
    </row>
    <row r="427" spans="2:63" s="1" customFormat="1" ht="49.15" customHeight="1" x14ac:dyDescent="0.2">
      <c r="B427" s="109"/>
      <c r="C427" s="110" t="s">
        <v>490</v>
      </c>
      <c r="D427" s="110" t="s">
        <v>103</v>
      </c>
      <c r="E427" s="111" t="s">
        <v>628</v>
      </c>
      <c r="F427" s="112" t="s">
        <v>629</v>
      </c>
      <c r="G427" s="113" t="s">
        <v>231</v>
      </c>
      <c r="H427" s="114">
        <f>10.017*0.82</f>
        <v>8.2139399999999991</v>
      </c>
      <c r="I427" s="115">
        <v>0</v>
      </c>
      <c r="J427" s="115">
        <f>ROUND(I427*H427,2)</f>
        <v>0</v>
      </c>
      <c r="K427" s="112" t="s">
        <v>107</v>
      </c>
      <c r="L427" s="28"/>
      <c r="M427" s="116" t="s">
        <v>1</v>
      </c>
      <c r="N427" s="117" t="s">
        <v>39</v>
      </c>
      <c r="O427" s="118">
        <v>1.48</v>
      </c>
      <c r="P427" s="118">
        <f>O427*H427</f>
        <v>12.156631199999998</v>
      </c>
      <c r="Q427" s="118">
        <v>0</v>
      </c>
      <c r="R427" s="118">
        <f>Q427*H427</f>
        <v>0</v>
      </c>
      <c r="S427" s="118">
        <v>0</v>
      </c>
      <c r="T427" s="119">
        <f>S427*H427</f>
        <v>0</v>
      </c>
      <c r="W427"/>
      <c r="X427"/>
      <c r="Y427"/>
      <c r="AP427" s="120" t="s">
        <v>108</v>
      </c>
      <c r="AR427" s="120" t="s">
        <v>103</v>
      </c>
      <c r="AS427" s="120" t="s">
        <v>65</v>
      </c>
      <c r="AW427" s="17" t="s">
        <v>101</v>
      </c>
      <c r="BC427" s="121">
        <f>IF(N427="základní",J427,0)</f>
        <v>0</v>
      </c>
      <c r="BD427" s="121">
        <f>IF(N427="snížená",J427,0)</f>
        <v>0</v>
      </c>
      <c r="BE427" s="121">
        <f>IF(N427="zákl. přenesená",J427,0)</f>
        <v>0</v>
      </c>
      <c r="BF427" s="121">
        <f>IF(N427="sníž. přenesená",J427,0)</f>
        <v>0</v>
      </c>
      <c r="BG427" s="121">
        <f>IF(N427="nulová",J427,0)</f>
        <v>0</v>
      </c>
      <c r="BH427" s="17" t="s">
        <v>63</v>
      </c>
      <c r="BI427" s="121">
        <f>ROUND(I427*H427,2)</f>
        <v>0</v>
      </c>
      <c r="BJ427" s="17" t="s">
        <v>108</v>
      </c>
      <c r="BK427" s="120" t="s">
        <v>1364</v>
      </c>
    </row>
    <row r="428" spans="2:63" s="1" customFormat="1" x14ac:dyDescent="0.2">
      <c r="B428" s="28"/>
      <c r="D428" s="122" t="s">
        <v>110</v>
      </c>
      <c r="F428" s="123" t="s">
        <v>631</v>
      </c>
      <c r="L428" s="28"/>
      <c r="M428" s="124"/>
      <c r="T428" s="48"/>
      <c r="W428"/>
      <c r="X428"/>
      <c r="Y428"/>
      <c r="AR428" s="17" t="s">
        <v>110</v>
      </c>
      <c r="AS428" s="17" t="s">
        <v>65</v>
      </c>
    </row>
    <row r="429" spans="2:63" s="1" customFormat="1" ht="55.5" customHeight="1" x14ac:dyDescent="0.2">
      <c r="B429" s="109"/>
      <c r="C429" s="110" t="s">
        <v>494</v>
      </c>
      <c r="D429" s="110" t="s">
        <v>103</v>
      </c>
      <c r="E429" s="111" t="s">
        <v>633</v>
      </c>
      <c r="F429" s="112" t="s">
        <v>634</v>
      </c>
      <c r="G429" s="113" t="s">
        <v>231</v>
      </c>
      <c r="H429" s="114">
        <f>10.017*0.82</f>
        <v>8.2139399999999991</v>
      </c>
      <c r="I429" s="115">
        <v>0</v>
      </c>
      <c r="J429" s="115">
        <f>ROUND(I429*H429,2)</f>
        <v>0</v>
      </c>
      <c r="K429" s="112" t="s">
        <v>107</v>
      </c>
      <c r="L429" s="28"/>
      <c r="M429" s="116" t="s">
        <v>1</v>
      </c>
      <c r="N429" s="117" t="s">
        <v>39</v>
      </c>
      <c r="O429" s="118">
        <v>0.98799999999999999</v>
      </c>
      <c r="P429" s="118">
        <f>O429*H429</f>
        <v>8.1153727199999999</v>
      </c>
      <c r="Q429" s="118">
        <v>0</v>
      </c>
      <c r="R429" s="118">
        <f>Q429*H429</f>
        <v>0</v>
      </c>
      <c r="S429" s="118">
        <v>0</v>
      </c>
      <c r="T429" s="119">
        <f>S429*H429</f>
        <v>0</v>
      </c>
      <c r="W429"/>
      <c r="X429"/>
      <c r="Y429"/>
      <c r="AP429" s="120" t="s">
        <v>108</v>
      </c>
      <c r="AR429" s="120" t="s">
        <v>103</v>
      </c>
      <c r="AS429" s="120" t="s">
        <v>65</v>
      </c>
      <c r="AW429" s="17" t="s">
        <v>101</v>
      </c>
      <c r="BC429" s="121">
        <f>IF(N429="základní",J429,0)</f>
        <v>0</v>
      </c>
      <c r="BD429" s="121">
        <f>IF(N429="snížená",J429,0)</f>
        <v>0</v>
      </c>
      <c r="BE429" s="121">
        <f>IF(N429="zákl. přenesená",J429,0)</f>
        <v>0</v>
      </c>
      <c r="BF429" s="121">
        <f>IF(N429="sníž. přenesená",J429,0)</f>
        <v>0</v>
      </c>
      <c r="BG429" s="121">
        <f>IF(N429="nulová",J429,0)</f>
        <v>0</v>
      </c>
      <c r="BH429" s="17" t="s">
        <v>63</v>
      </c>
      <c r="BI429" s="121">
        <f>ROUND(I429*H429,2)</f>
        <v>0</v>
      </c>
      <c r="BJ429" s="17" t="s">
        <v>108</v>
      </c>
      <c r="BK429" s="120" t="s">
        <v>1365</v>
      </c>
    </row>
    <row r="430" spans="2:63" s="1" customFormat="1" x14ac:dyDescent="0.2">
      <c r="B430" s="28"/>
      <c r="D430" s="122" t="s">
        <v>110</v>
      </c>
      <c r="F430" s="123" t="s">
        <v>636</v>
      </c>
      <c r="L430" s="28"/>
      <c r="M430" s="124"/>
      <c r="T430" s="48"/>
      <c r="W430"/>
      <c r="X430"/>
      <c r="Y430"/>
      <c r="AR430" s="17" t="s">
        <v>110</v>
      </c>
      <c r="AS430" s="17" t="s">
        <v>65</v>
      </c>
    </row>
    <row r="431" spans="2:63" s="11" customFormat="1" ht="25.9" customHeight="1" x14ac:dyDescent="0.2">
      <c r="B431" s="98"/>
      <c r="D431" s="99" t="s">
        <v>54</v>
      </c>
      <c r="E431" s="100" t="s">
        <v>1065</v>
      </c>
      <c r="F431" s="100" t="s">
        <v>1066</v>
      </c>
      <c r="J431" s="101">
        <f>BI431</f>
        <v>0</v>
      </c>
      <c r="L431" s="98"/>
      <c r="M431" s="102"/>
      <c r="P431" s="103">
        <f>P432</f>
        <v>0</v>
      </c>
      <c r="R431" s="103">
        <f>R432</f>
        <v>8.1999999999999998E-4</v>
      </c>
      <c r="T431" s="104">
        <f>T432</f>
        <v>0</v>
      </c>
      <c r="W431"/>
      <c r="X431"/>
      <c r="Y431"/>
      <c r="AP431" s="99" t="s">
        <v>65</v>
      </c>
      <c r="AR431" s="105" t="s">
        <v>54</v>
      </c>
      <c r="AS431" s="105" t="s">
        <v>55</v>
      </c>
      <c r="AW431" s="99" t="s">
        <v>101</v>
      </c>
      <c r="BI431" s="106">
        <f>BI432</f>
        <v>0</v>
      </c>
    </row>
    <row r="432" spans="2:63" s="11" customFormat="1" ht="22.9" customHeight="1" x14ac:dyDescent="0.2">
      <c r="B432" s="98"/>
      <c r="D432" s="99" t="s">
        <v>54</v>
      </c>
      <c r="E432" s="107" t="s">
        <v>1067</v>
      </c>
      <c r="F432" s="107" t="s">
        <v>1068</v>
      </c>
      <c r="J432" s="108">
        <f>BI432</f>
        <v>0</v>
      </c>
      <c r="L432" s="98"/>
      <c r="M432" s="102"/>
      <c r="P432" s="103">
        <f>SUM(P433:P433)</f>
        <v>0</v>
      </c>
      <c r="R432" s="103">
        <f>SUM(R433:R433)</f>
        <v>8.1999999999999998E-4</v>
      </c>
      <c r="T432" s="104">
        <f>SUM(T433:T433)</f>
        <v>0</v>
      </c>
      <c r="W432"/>
      <c r="X432"/>
      <c r="Y432"/>
      <c r="AP432" s="99" t="s">
        <v>65</v>
      </c>
      <c r="AR432" s="105" t="s">
        <v>54</v>
      </c>
      <c r="AS432" s="105" t="s">
        <v>63</v>
      </c>
      <c r="AW432" s="99" t="s">
        <v>101</v>
      </c>
      <c r="BI432" s="106">
        <f>SUM(BI433:BI433)</f>
        <v>0</v>
      </c>
    </row>
    <row r="433" spans="2:63" s="1" customFormat="1" ht="16.5" customHeight="1" x14ac:dyDescent="0.2">
      <c r="B433" s="109"/>
      <c r="C433" s="143" t="s">
        <v>503</v>
      </c>
      <c r="D433" s="143" t="s">
        <v>252</v>
      </c>
      <c r="E433" s="144" t="s">
        <v>1075</v>
      </c>
      <c r="F433" s="145" t="s">
        <v>1076</v>
      </c>
      <c r="G433" s="146" t="s">
        <v>1077</v>
      </c>
      <c r="H433" s="147">
        <f>1*0.82</f>
        <v>0.82</v>
      </c>
      <c r="I433" s="148">
        <v>0</v>
      </c>
      <c r="J433" s="148">
        <f>ROUND(I433*H433,2)</f>
        <v>0</v>
      </c>
      <c r="K433" s="145" t="s">
        <v>107</v>
      </c>
      <c r="L433" s="149"/>
      <c r="M433" s="165" t="s">
        <v>1</v>
      </c>
      <c r="N433" s="166" t="s">
        <v>39</v>
      </c>
      <c r="O433" s="154">
        <v>0</v>
      </c>
      <c r="P433" s="154">
        <f>O433*H433</f>
        <v>0</v>
      </c>
      <c r="Q433" s="154">
        <v>1E-3</v>
      </c>
      <c r="R433" s="154">
        <f>Q433*H433</f>
        <v>8.1999999999999998E-4</v>
      </c>
      <c r="S433" s="154">
        <v>0</v>
      </c>
      <c r="T433" s="155">
        <f>S433*H433</f>
        <v>0</v>
      </c>
      <c r="W433"/>
      <c r="X433"/>
      <c r="Y433"/>
      <c r="AP433" s="120" t="s">
        <v>329</v>
      </c>
      <c r="AR433" s="120" t="s">
        <v>252</v>
      </c>
      <c r="AS433" s="120" t="s">
        <v>65</v>
      </c>
      <c r="AW433" s="17" t="s">
        <v>101</v>
      </c>
      <c r="BC433" s="121">
        <f>IF(N433="základní",J433,0)</f>
        <v>0</v>
      </c>
      <c r="BD433" s="121">
        <f>IF(N433="snížená",J433,0)</f>
        <v>0</v>
      </c>
      <c r="BE433" s="121">
        <f>IF(N433="zákl. přenesená",J433,0)</f>
        <v>0</v>
      </c>
      <c r="BF433" s="121">
        <f>IF(N433="sníž. přenesená",J433,0)</f>
        <v>0</v>
      </c>
      <c r="BG433" s="121">
        <f>IF(N433="nulová",J433,0)</f>
        <v>0</v>
      </c>
      <c r="BH433" s="17" t="s">
        <v>63</v>
      </c>
      <c r="BI433" s="121">
        <f>ROUND(I433*H433,2)</f>
        <v>0</v>
      </c>
      <c r="BJ433" s="17" t="s">
        <v>218</v>
      </c>
      <c r="BK433" s="120" t="s">
        <v>1367</v>
      </c>
    </row>
    <row r="434" spans="2:63" s="1" customFormat="1" ht="16.5" customHeight="1" x14ac:dyDescent="0.2">
      <c r="B434" s="109"/>
      <c r="C434" s="388"/>
      <c r="D434" s="388"/>
      <c r="E434" s="389"/>
      <c r="F434" s="390"/>
      <c r="G434" s="391"/>
      <c r="H434" s="392"/>
      <c r="I434" s="393"/>
      <c r="J434" s="393"/>
      <c r="K434" s="390"/>
      <c r="L434" s="149"/>
      <c r="M434" s="394"/>
      <c r="N434" s="395"/>
      <c r="O434" s="396"/>
      <c r="P434" s="396"/>
      <c r="Q434" s="396"/>
      <c r="R434" s="396"/>
      <c r="S434" s="396"/>
      <c r="T434" s="396"/>
      <c r="W434"/>
      <c r="X434"/>
      <c r="Y434"/>
      <c r="AP434" s="120"/>
      <c r="AR434" s="120"/>
      <c r="AS434" s="120"/>
      <c r="AW434" s="17"/>
      <c r="BC434" s="121"/>
      <c r="BD434" s="121"/>
      <c r="BE434" s="121"/>
      <c r="BF434" s="121"/>
      <c r="BG434" s="121"/>
      <c r="BH434" s="17"/>
      <c r="BI434" s="121"/>
      <c r="BJ434" s="17"/>
      <c r="BK434" s="120"/>
    </row>
    <row r="435" spans="2:63" s="1" customFormat="1" ht="16.5" customHeight="1" x14ac:dyDescent="0.2">
      <c r="B435" s="109"/>
      <c r="C435" s="11"/>
      <c r="D435" s="99" t="s">
        <v>54</v>
      </c>
      <c r="E435" s="100" t="s">
        <v>1818</v>
      </c>
      <c r="F435" s="100" t="s">
        <v>1819</v>
      </c>
      <c r="G435" s="11"/>
      <c r="H435" s="11"/>
      <c r="I435" s="11"/>
      <c r="J435" s="101">
        <f>BI435</f>
        <v>0</v>
      </c>
      <c r="K435" s="11"/>
      <c r="L435" s="149"/>
      <c r="M435" s="394"/>
      <c r="N435" s="395"/>
      <c r="O435" s="396"/>
      <c r="P435" s="396"/>
      <c r="Q435" s="396"/>
      <c r="R435" s="396"/>
      <c r="S435" s="396"/>
      <c r="T435" s="396"/>
      <c r="W435"/>
      <c r="X435"/>
      <c r="Y435"/>
      <c r="AP435" s="120"/>
      <c r="AR435" s="120"/>
      <c r="AS435" s="120"/>
      <c r="AW435" s="17"/>
      <c r="BC435" s="11"/>
      <c r="BD435" s="11"/>
      <c r="BE435" s="11"/>
      <c r="BF435" s="11"/>
      <c r="BG435" s="11"/>
      <c r="BH435" s="11"/>
      <c r="BI435" s="106">
        <f>SUM(BI436:BI442)</f>
        <v>0</v>
      </c>
      <c r="BJ435" s="17"/>
      <c r="BK435" s="120"/>
    </row>
    <row r="436" spans="2:63" s="1" customFormat="1" ht="43.5" customHeight="1" x14ac:dyDescent="0.2">
      <c r="B436" s="109"/>
      <c r="C436" s="110">
        <v>71</v>
      </c>
      <c r="D436" s="110" t="s">
        <v>103</v>
      </c>
      <c r="E436" s="111"/>
      <c r="F436" s="112" t="s">
        <v>1820</v>
      </c>
      <c r="G436" s="113" t="s">
        <v>130</v>
      </c>
      <c r="H436" s="114">
        <f>421.6*0.82</f>
        <v>345.71199999999999</v>
      </c>
      <c r="I436" s="115">
        <v>0</v>
      </c>
      <c r="J436" s="115">
        <f>ROUND(I436*H436,2)</f>
        <v>0</v>
      </c>
      <c r="K436" s="112" t="s">
        <v>107</v>
      </c>
      <c r="L436" s="149"/>
      <c r="M436" s="394"/>
      <c r="N436" s="395"/>
      <c r="O436" s="396"/>
      <c r="P436" s="396"/>
      <c r="Q436" s="396"/>
      <c r="R436" s="396"/>
      <c r="S436" s="396"/>
      <c r="T436" s="396"/>
      <c r="W436"/>
      <c r="X436"/>
      <c r="Y436"/>
      <c r="AP436" s="120"/>
      <c r="AR436" s="120"/>
      <c r="AS436" s="120"/>
      <c r="AW436" s="17"/>
      <c r="BC436" s="121">
        <f>IF(N436="základní",J436,0)</f>
        <v>0</v>
      </c>
      <c r="BD436" s="121">
        <f>IF(N436="snížená",J436,0)</f>
        <v>0</v>
      </c>
      <c r="BE436" s="121">
        <f>IF(N436="zákl. přenesená",J436,0)</f>
        <v>0</v>
      </c>
      <c r="BF436" s="121">
        <f>IF(N436="sníž. přenesená",J436,0)</f>
        <v>0</v>
      </c>
      <c r="BG436" s="121">
        <f>IF(N436="nulová",J436,0)</f>
        <v>0</v>
      </c>
      <c r="BH436" s="17" t="s">
        <v>63</v>
      </c>
      <c r="BI436" s="121">
        <f>ROUND(I436*H436,2)</f>
        <v>0</v>
      </c>
      <c r="BJ436" s="17"/>
      <c r="BK436" s="120"/>
    </row>
    <row r="437" spans="2:63" s="1" customFormat="1" ht="61.5" customHeight="1" x14ac:dyDescent="0.2">
      <c r="B437" s="109"/>
      <c r="C437" s="11"/>
      <c r="D437" s="99"/>
      <c r="E437" s="100"/>
      <c r="F437" s="128" t="s">
        <v>1821</v>
      </c>
      <c r="G437" s="11"/>
      <c r="H437" s="11"/>
      <c r="I437" s="11"/>
      <c r="J437" s="101"/>
      <c r="K437" s="11"/>
      <c r="L437" s="149"/>
      <c r="M437" s="394"/>
      <c r="N437" s="395"/>
      <c r="O437" s="396"/>
      <c r="P437" s="396"/>
      <c r="Q437" s="396"/>
      <c r="R437" s="396"/>
      <c r="S437" s="396"/>
      <c r="T437" s="396"/>
      <c r="W437"/>
      <c r="X437"/>
      <c r="Y437"/>
      <c r="AP437" s="120"/>
      <c r="AR437" s="120"/>
      <c r="AS437" s="120"/>
      <c r="AW437" s="17"/>
      <c r="BJ437" s="17"/>
      <c r="BK437" s="120"/>
    </row>
    <row r="438" spans="2:63" s="1" customFormat="1" ht="37.5" customHeight="1" x14ac:dyDescent="0.2">
      <c r="B438" s="109"/>
      <c r="C438" s="110">
        <v>72</v>
      </c>
      <c r="D438" s="110" t="s">
        <v>103</v>
      </c>
      <c r="E438" s="111"/>
      <c r="F438" s="112" t="s">
        <v>1822</v>
      </c>
      <c r="G438" s="113" t="s">
        <v>1368</v>
      </c>
      <c r="H438" s="114">
        <v>36</v>
      </c>
      <c r="I438" s="115">
        <v>0</v>
      </c>
      <c r="J438" s="115">
        <f>ROUND(I438*H438,2)</f>
        <v>0</v>
      </c>
      <c r="K438" s="112" t="s">
        <v>107</v>
      </c>
      <c r="L438" s="149"/>
      <c r="M438" s="394"/>
      <c r="N438" s="395"/>
      <c r="O438" s="396"/>
      <c r="P438" s="396"/>
      <c r="Q438" s="396"/>
      <c r="R438" s="396"/>
      <c r="S438" s="396"/>
      <c r="T438" s="396"/>
      <c r="W438"/>
      <c r="X438"/>
      <c r="Y438"/>
      <c r="AP438" s="120"/>
      <c r="AR438" s="120"/>
      <c r="AS438" s="120"/>
      <c r="AW438" s="17"/>
      <c r="BC438" s="121">
        <f>IF(N438="základní",J438,0)</f>
        <v>0</v>
      </c>
      <c r="BD438" s="121">
        <f>IF(N438="snížená",J438,0)</f>
        <v>0</v>
      </c>
      <c r="BE438" s="121">
        <f>IF(N438="zákl. přenesená",J438,0)</f>
        <v>0</v>
      </c>
      <c r="BF438" s="121">
        <f>IF(N438="sníž. přenesená",J438,0)</f>
        <v>0</v>
      </c>
      <c r="BG438" s="121">
        <f>IF(N438="nulová",J438,0)</f>
        <v>0</v>
      </c>
      <c r="BH438" s="17" t="s">
        <v>63</v>
      </c>
      <c r="BI438" s="121">
        <f>ROUND(I438*H438,2)</f>
        <v>0</v>
      </c>
      <c r="BJ438" s="17"/>
      <c r="BK438" s="120"/>
    </row>
    <row r="439" spans="2:63" s="1" customFormat="1" ht="72" customHeight="1" x14ac:dyDescent="0.2">
      <c r="B439" s="109"/>
      <c r="C439" s="11"/>
      <c r="D439" s="99"/>
      <c r="E439" s="100"/>
      <c r="F439" s="128" t="s">
        <v>1823</v>
      </c>
      <c r="G439" s="11"/>
      <c r="H439" s="11"/>
      <c r="I439" s="11"/>
      <c r="J439" s="101"/>
      <c r="K439" s="11"/>
      <c r="L439" s="149"/>
      <c r="M439" s="394"/>
      <c r="N439" s="395"/>
      <c r="O439" s="396"/>
      <c r="P439" s="396"/>
      <c r="Q439" s="396"/>
      <c r="R439" s="396"/>
      <c r="S439" s="396"/>
      <c r="T439" s="396"/>
      <c r="W439"/>
      <c r="X439"/>
      <c r="Y439"/>
      <c r="AP439" s="120"/>
      <c r="AR439" s="120"/>
      <c r="AS439" s="120"/>
      <c r="AW439" s="17"/>
      <c r="BC439" s="121"/>
      <c r="BD439" s="121"/>
      <c r="BE439" s="121"/>
      <c r="BF439" s="121"/>
      <c r="BG439" s="121"/>
      <c r="BH439" s="17"/>
      <c r="BI439" s="121"/>
      <c r="BJ439" s="17"/>
      <c r="BK439" s="120"/>
    </row>
    <row r="440" spans="2:63" s="1" customFormat="1" ht="31.5" customHeight="1" x14ac:dyDescent="0.2">
      <c r="B440" s="109"/>
      <c r="C440" s="110">
        <v>73</v>
      </c>
      <c r="D440" s="110" t="s">
        <v>103</v>
      </c>
      <c r="E440" s="111"/>
      <c r="F440" s="112" t="s">
        <v>1824</v>
      </c>
      <c r="G440" s="113" t="s">
        <v>174</v>
      </c>
      <c r="H440" s="114">
        <f>2958*0.82</f>
        <v>2425.56</v>
      </c>
      <c r="I440" s="115">
        <v>0</v>
      </c>
      <c r="J440" s="115">
        <f>ROUND(I440*H440,2)</f>
        <v>0</v>
      </c>
      <c r="K440" s="112" t="s">
        <v>107</v>
      </c>
      <c r="L440" s="149"/>
      <c r="M440" s="394"/>
      <c r="N440" s="395"/>
      <c r="O440" s="396"/>
      <c r="P440" s="396"/>
      <c r="Q440" s="396"/>
      <c r="R440" s="396"/>
      <c r="S440" s="396"/>
      <c r="T440" s="396"/>
      <c r="W440"/>
      <c r="X440"/>
      <c r="Y440"/>
      <c r="AP440" s="120"/>
      <c r="AR440" s="120"/>
      <c r="AS440" s="120"/>
      <c r="AW440" s="17"/>
      <c r="BC440" s="121">
        <f>IF(N440="základní",J440,0)</f>
        <v>0</v>
      </c>
      <c r="BD440" s="121">
        <f>IF(N440="snížená",J440,0)</f>
        <v>0</v>
      </c>
      <c r="BE440" s="121">
        <f>IF(N440="zákl. přenesená",J440,0)</f>
        <v>0</v>
      </c>
      <c r="BF440" s="121">
        <f>IF(N440="sníž. přenesená",J440,0)</f>
        <v>0</v>
      </c>
      <c r="BG440" s="121">
        <f>IF(N440="nulová",J440,0)</f>
        <v>0</v>
      </c>
      <c r="BH440" s="17" t="s">
        <v>63</v>
      </c>
      <c r="BI440" s="121">
        <f>ROUND(I440*H440,2)</f>
        <v>0</v>
      </c>
      <c r="BJ440" s="17"/>
      <c r="BK440" s="120"/>
    </row>
    <row r="441" spans="2:63" s="1" customFormat="1" ht="39.75" customHeight="1" x14ac:dyDescent="0.2">
      <c r="B441" s="109"/>
      <c r="C441" s="11"/>
      <c r="D441" s="99"/>
      <c r="E441" s="100"/>
      <c r="F441" s="128" t="s">
        <v>1825</v>
      </c>
      <c r="G441" s="11"/>
      <c r="H441" s="11"/>
      <c r="I441" s="11"/>
      <c r="J441" s="101"/>
      <c r="K441" s="11"/>
      <c r="L441" s="149"/>
      <c r="M441" s="394"/>
      <c r="N441" s="395"/>
      <c r="O441" s="396"/>
      <c r="P441" s="396"/>
      <c r="Q441" s="396"/>
      <c r="R441" s="396"/>
      <c r="S441" s="396"/>
      <c r="T441" s="396"/>
      <c r="W441"/>
      <c r="X441"/>
      <c r="Y441"/>
      <c r="AP441" s="120"/>
      <c r="AR441" s="120"/>
      <c r="AS441" s="120"/>
      <c r="AW441" s="17"/>
      <c r="BC441" s="121"/>
      <c r="BD441" s="121"/>
      <c r="BE441" s="121"/>
      <c r="BF441" s="121"/>
      <c r="BG441" s="121"/>
      <c r="BH441" s="17"/>
      <c r="BI441" s="121"/>
      <c r="BJ441" s="17"/>
      <c r="BK441" s="120"/>
    </row>
    <row r="442" spans="2:63" s="1" customFormat="1" ht="39.75" customHeight="1" x14ac:dyDescent="0.2">
      <c r="B442" s="109"/>
      <c r="C442" s="110">
        <v>74</v>
      </c>
      <c r="D442" s="110" t="s">
        <v>103</v>
      </c>
      <c r="E442" s="111"/>
      <c r="F442" s="112" t="s">
        <v>1826</v>
      </c>
      <c r="G442" s="113" t="s">
        <v>174</v>
      </c>
      <c r="H442" s="114">
        <f>215*0.82</f>
        <v>176.29999999999998</v>
      </c>
      <c r="I442" s="115">
        <v>0</v>
      </c>
      <c r="J442" s="115">
        <f>ROUND(I442*H442,2)</f>
        <v>0</v>
      </c>
      <c r="K442" s="112" t="s">
        <v>107</v>
      </c>
      <c r="L442" s="149"/>
      <c r="M442" s="394"/>
      <c r="N442" s="395"/>
      <c r="O442" s="396"/>
      <c r="P442" s="396"/>
      <c r="Q442" s="396"/>
      <c r="R442" s="396"/>
      <c r="S442" s="396"/>
      <c r="T442" s="396"/>
      <c r="W442"/>
      <c r="X442"/>
      <c r="Y442"/>
      <c r="AP442" s="120"/>
      <c r="AR442" s="120"/>
      <c r="AS442" s="120"/>
      <c r="AW442" s="17"/>
      <c r="BC442" s="121">
        <f>IF(N442="základní",J442,0)</f>
        <v>0</v>
      </c>
      <c r="BD442" s="121">
        <f>IF(N442="snížená",J442,0)</f>
        <v>0</v>
      </c>
      <c r="BE442" s="121">
        <f>IF(N442="zákl. přenesená",J442,0)</f>
        <v>0</v>
      </c>
      <c r="BF442" s="121">
        <f>IF(N442="sníž. přenesená",J442,0)</f>
        <v>0</v>
      </c>
      <c r="BG442" s="121">
        <f>IF(N442="nulová",J442,0)</f>
        <v>0</v>
      </c>
      <c r="BH442" s="17" t="s">
        <v>63</v>
      </c>
      <c r="BI442" s="121">
        <f>ROUND(I442*H442,2)</f>
        <v>0</v>
      </c>
      <c r="BJ442" s="17"/>
      <c r="BK442" s="120"/>
    </row>
    <row r="443" spans="2:63" s="1" customFormat="1" ht="39.75" customHeight="1" x14ac:dyDescent="0.2">
      <c r="B443" s="109"/>
      <c r="C443" s="397"/>
      <c r="D443" s="397"/>
      <c r="E443" s="398"/>
      <c r="F443" s="128" t="s">
        <v>1827</v>
      </c>
      <c r="G443" s="486"/>
      <c r="H443" s="400"/>
      <c r="I443" s="401"/>
      <c r="J443" s="401"/>
      <c r="K443" s="399"/>
      <c r="L443" s="149"/>
      <c r="M443" s="394"/>
      <c r="N443" s="395"/>
      <c r="O443" s="396"/>
      <c r="P443" s="396"/>
      <c r="Q443" s="396"/>
      <c r="R443" s="396"/>
      <c r="S443" s="396"/>
      <c r="T443" s="396"/>
      <c r="W443"/>
      <c r="X443"/>
      <c r="Y443"/>
      <c r="AP443" s="120"/>
      <c r="AR443" s="120"/>
      <c r="AS443" s="120"/>
      <c r="AW443" s="17"/>
      <c r="BC443" s="121"/>
      <c r="BD443" s="121"/>
      <c r="BE443" s="121"/>
      <c r="BF443" s="121"/>
      <c r="BG443" s="121"/>
      <c r="BH443" s="17"/>
      <c r="BI443" s="121"/>
      <c r="BJ443" s="17"/>
      <c r="BK443" s="120"/>
    </row>
    <row r="444" spans="2:63" s="1" customFormat="1" ht="16.5" customHeight="1" x14ac:dyDescent="0.2">
      <c r="B444" s="109"/>
      <c r="C444" s="388"/>
      <c r="D444" s="388"/>
      <c r="E444" s="389"/>
      <c r="F444" s="390"/>
      <c r="G444" s="391"/>
      <c r="H444" s="392"/>
      <c r="I444" s="393"/>
      <c r="J444" s="393"/>
      <c r="K444" s="390"/>
      <c r="L444" s="149"/>
      <c r="M444" s="394"/>
      <c r="N444" s="395"/>
      <c r="O444" s="396"/>
      <c r="P444" s="396"/>
      <c r="Q444" s="396"/>
      <c r="R444" s="396"/>
      <c r="S444" s="396"/>
      <c r="T444" s="396"/>
      <c r="W444"/>
      <c r="X444"/>
      <c r="Y444"/>
      <c r="AP444" s="120"/>
      <c r="AR444" s="120"/>
      <c r="AS444" s="120"/>
      <c r="AW444" s="17"/>
      <c r="BC444" s="121"/>
      <c r="BD444" s="121"/>
      <c r="BE444" s="121"/>
      <c r="BF444" s="121"/>
      <c r="BG444" s="121"/>
      <c r="BH444" s="17"/>
      <c r="BI444" s="121"/>
      <c r="BJ444" s="17"/>
      <c r="BK444" s="120"/>
    </row>
    <row r="445" spans="2:63" s="1" customFormat="1" ht="16.5" customHeight="1" x14ac:dyDescent="0.2">
      <c r="B445" s="109"/>
      <c r="C445" s="388"/>
      <c r="D445" s="388"/>
      <c r="E445" s="389"/>
      <c r="F445" s="390"/>
      <c r="G445" s="391"/>
      <c r="H445" s="392"/>
      <c r="I445" s="393"/>
      <c r="J445" s="393"/>
      <c r="K445" s="390"/>
      <c r="L445" s="149"/>
      <c r="M445" s="394"/>
      <c r="N445" s="395"/>
      <c r="O445" s="396"/>
      <c r="P445" s="396"/>
      <c r="Q445" s="396"/>
      <c r="R445" s="396"/>
      <c r="S445" s="396"/>
      <c r="T445" s="396"/>
      <c r="W445"/>
      <c r="X445"/>
      <c r="Y445"/>
      <c r="AP445" s="120"/>
      <c r="AR445" s="120"/>
      <c r="AS445" s="120"/>
      <c r="AW445" s="17"/>
      <c r="BC445" s="121"/>
      <c r="BD445" s="121"/>
      <c r="BE445" s="121"/>
      <c r="BF445" s="121"/>
      <c r="BG445" s="121"/>
      <c r="BH445" s="17"/>
      <c r="BI445" s="121"/>
      <c r="BJ445" s="17"/>
      <c r="BK445" s="120"/>
    </row>
    <row r="446" spans="2:63" s="1" customFormat="1" ht="6.95" customHeight="1" x14ac:dyDescent="0.2">
      <c r="B446" s="37"/>
      <c r="C446" s="38"/>
      <c r="D446" s="38"/>
      <c r="E446" s="38"/>
      <c r="F446" s="38"/>
      <c r="G446" s="38"/>
      <c r="H446" s="38"/>
      <c r="I446" s="38"/>
      <c r="J446" s="38"/>
      <c r="K446" s="38"/>
      <c r="L446" s="28"/>
      <c r="W446"/>
      <c r="X446"/>
      <c r="Y446"/>
    </row>
  </sheetData>
  <autoFilter ref="C87:K433" xr:uid="{00000000-0009-0000-0000-000003000000}"/>
  <mergeCells count="9">
    <mergeCell ref="E50:H50"/>
    <mergeCell ref="E78:H78"/>
    <mergeCell ref="E80:H80"/>
    <mergeCell ref="L2:U2"/>
    <mergeCell ref="E7:H7"/>
    <mergeCell ref="E9:H9"/>
    <mergeCell ref="E18:H18"/>
    <mergeCell ref="E27:H27"/>
    <mergeCell ref="E48:H48"/>
  </mergeCells>
  <hyperlinks>
    <hyperlink ref="F92" r:id="rId1" xr:uid="{D9615978-A5CD-4EAA-9DCC-816C7B402E7B}"/>
    <hyperlink ref="F126" r:id="rId2" xr:uid="{E0B95584-F563-40F8-B9D1-CA6107E1E476}"/>
    <hyperlink ref="F134" r:id="rId3" xr:uid="{58744B1F-3BFB-4F83-8E48-6EDC601551B5}"/>
    <hyperlink ref="F146" r:id="rId4" xr:uid="{03AFE31C-EBD3-471B-A895-63E879AEB965}"/>
    <hyperlink ref="F153" r:id="rId5" xr:uid="{420968C0-2EE6-4666-850B-0F7DDB2BD6E6}"/>
    <hyperlink ref="F165" r:id="rId6" xr:uid="{F4141629-F57C-4BBA-8FDC-B52598C8E786}"/>
    <hyperlink ref="F172" r:id="rId7" xr:uid="{ABEDA2C2-76B4-4B9F-8A58-81346B83223E}"/>
    <hyperlink ref="F184" r:id="rId8" xr:uid="{511D06C9-9F67-4467-9DE4-1CD9391B1E1D}"/>
    <hyperlink ref="F191" r:id="rId9" xr:uid="{031B0AD1-4825-4FDD-ABFD-870556649A16}"/>
    <hyperlink ref="F201" r:id="rId10" xr:uid="{08A51AD3-4284-4F80-87F8-692B277E1A37}"/>
    <hyperlink ref="F211" r:id="rId11" xr:uid="{C9A4DFE7-E301-44CF-8CCB-F06D2316700D}"/>
    <hyperlink ref="F221" r:id="rId12" xr:uid="{1BF0CD17-6A27-4E4F-B434-762926763840}"/>
    <hyperlink ref="F225" r:id="rId13" xr:uid="{29BE0AB6-24EE-491E-ABDA-65CBC5D5F0D0}"/>
    <hyperlink ref="F233" r:id="rId14" xr:uid="{76E7325F-FF10-44D6-935A-871F4B6C1E7A}"/>
    <hyperlink ref="F235" r:id="rId15" xr:uid="{545957D3-DCCA-400B-A216-B45C5D6CDC51}"/>
    <hyperlink ref="F247" r:id="rId16" xr:uid="{C57D48CA-1D8E-46A2-87EF-CD8CD2DFB289}"/>
    <hyperlink ref="F249" r:id="rId17" xr:uid="{F2578577-D0FE-4B0F-9EDB-93BEFC5A3F4D}"/>
    <hyperlink ref="F252" r:id="rId18" xr:uid="{699C55AB-7ED1-41AD-996D-7EB504F97882}"/>
    <hyperlink ref="F255" r:id="rId19" xr:uid="{90A03C86-4E63-4822-A087-0FE0EA42D6CE}"/>
    <hyperlink ref="F257" r:id="rId20" xr:uid="{CF9558F1-EE1A-45C3-BDCC-AD4047E34808}"/>
    <hyperlink ref="F260" r:id="rId21" xr:uid="{B88455E7-AE8A-45AB-B1FD-4629DD3BE287}"/>
    <hyperlink ref="F270" r:id="rId22" xr:uid="{2D61F313-E4DE-455D-B2E6-3DC7F584A148}"/>
    <hyperlink ref="F272" r:id="rId23" xr:uid="{2B527C08-A7B3-479A-941F-3C0008BC43DC}"/>
    <hyperlink ref="F287" r:id="rId24" xr:uid="{D64084AD-946C-46FB-8835-6C5E5F3E18E2}"/>
    <hyperlink ref="F290" r:id="rId25" xr:uid="{5A0780A3-26A8-4F90-A3A1-75D370F0EFDA}"/>
    <hyperlink ref="F292" r:id="rId26" xr:uid="{74E8D2F7-2396-470F-969D-1290B31065B7}"/>
    <hyperlink ref="F345" r:id="rId27" xr:uid="{B81E5A4B-8B2E-4188-9378-2CB5D94DB8EC}"/>
    <hyperlink ref="F351" r:id="rId28" xr:uid="{3D22DD38-B261-4850-B9A3-168D93E75F33}"/>
    <hyperlink ref="F367" r:id="rId29" xr:uid="{563FEBF7-52E0-415D-A7B9-086102D4A650}"/>
    <hyperlink ref="F370" r:id="rId30" xr:uid="{8B4E0576-4359-4172-8E54-B332777F450D}"/>
    <hyperlink ref="F375" r:id="rId31" xr:uid="{BA0594CD-1425-4182-B316-3BE06BA1E3D0}"/>
    <hyperlink ref="F379" r:id="rId32" xr:uid="{F6BD6242-A1A6-48B5-98D1-540D175E45FF}"/>
    <hyperlink ref="F384" r:id="rId33" xr:uid="{333B021B-AF75-40FC-851A-45EC8D246DF9}"/>
    <hyperlink ref="F387" r:id="rId34" xr:uid="{7BD37A6E-A3C0-42A9-9060-BF4BFCA83A3A}"/>
    <hyperlink ref="F391" r:id="rId35" xr:uid="{89F8A159-D780-446D-92BC-3A59878B49AF}"/>
    <hyperlink ref="F395" r:id="rId36" xr:uid="{7AA4D13B-B2EB-423A-89A7-FCF4811CD2FC}"/>
    <hyperlink ref="F398" r:id="rId37" xr:uid="{599B5A6B-49E3-4C84-BBF2-5DE6AAD21D55}"/>
    <hyperlink ref="F400" r:id="rId38" xr:uid="{D4FC21F2-9BC9-44BB-818F-CD0B2EFF7A91}"/>
    <hyperlink ref="F403" r:id="rId39" xr:uid="{16483798-9D29-4C6A-846B-E3437CFB0BC4}"/>
    <hyperlink ref="F405" r:id="rId40" xr:uid="{1B92081E-8C14-4159-8ED3-A110C5F765D5}"/>
    <hyperlink ref="F408" r:id="rId41" xr:uid="{21A81457-5B21-4952-9DEC-8F18FF3E2A8C}"/>
    <hyperlink ref="F411" r:id="rId42" xr:uid="{049B9C34-43DF-4669-B993-BA23B6897245}"/>
    <hyperlink ref="F428" r:id="rId43" xr:uid="{4FE15CE8-F6B8-486F-846D-E0EB9772BD76}"/>
    <hyperlink ref="F430" r:id="rId44" xr:uid="{32505634-8548-4CE4-85CB-D4DDC11DED7B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FA7D-E10E-4C7F-AB0F-04B5D244B50E}">
  <sheetPr>
    <tabColor theme="4" tint="0.59999389629810485"/>
  </sheetPr>
  <dimension ref="A1:E43"/>
  <sheetViews>
    <sheetView workbookViewId="0">
      <selection activeCell="H23" sqref="H23"/>
    </sheetView>
  </sheetViews>
  <sheetFormatPr defaultColWidth="9.33203125" defaultRowHeight="12.75" x14ac:dyDescent="0.2"/>
  <cols>
    <col min="1" max="1" width="25.33203125" style="167" customWidth="1"/>
    <col min="2" max="2" width="32.5" style="167" customWidth="1"/>
    <col min="3" max="3" width="17.1640625" style="167" bestFit="1" customWidth="1"/>
    <col min="4" max="4" width="17.33203125" style="167" customWidth="1"/>
    <col min="5" max="5" width="18.1640625" style="167" customWidth="1"/>
    <col min="6" max="6" width="9.33203125" style="167"/>
    <col min="7" max="7" width="17.1640625" style="167" bestFit="1" customWidth="1"/>
    <col min="8" max="16384" width="9.33203125" style="167"/>
  </cols>
  <sheetData>
    <row r="1" spans="1:5" ht="20.25" x14ac:dyDescent="0.3">
      <c r="A1" s="311" t="s">
        <v>1590</v>
      </c>
      <c r="B1" s="307"/>
      <c r="C1" s="307"/>
      <c r="D1" s="307"/>
      <c r="E1" s="307"/>
    </row>
    <row r="2" spans="1:5" x14ac:dyDescent="0.2">
      <c r="A2" s="308"/>
      <c r="B2" s="307"/>
      <c r="C2" s="307"/>
      <c r="D2" s="307"/>
      <c r="E2" s="307"/>
    </row>
    <row r="3" spans="1:5" x14ac:dyDescent="0.2">
      <c r="A3" s="338"/>
      <c r="C3" s="337"/>
      <c r="D3" s="307"/>
      <c r="E3" s="307"/>
    </row>
    <row r="4" spans="1:5" x14ac:dyDescent="0.2">
      <c r="A4" s="167" t="s">
        <v>1502</v>
      </c>
      <c r="B4" s="167" t="s">
        <v>1501</v>
      </c>
    </row>
    <row r="6" spans="1:5" x14ac:dyDescent="0.2">
      <c r="A6" s="167" t="s">
        <v>1500</v>
      </c>
      <c r="B6" s="167" t="s">
        <v>1499</v>
      </c>
    </row>
    <row r="8" spans="1:5" x14ac:dyDescent="0.2">
      <c r="A8" s="167" t="s">
        <v>1498</v>
      </c>
      <c r="B8" s="167" t="s">
        <v>1497</v>
      </c>
      <c r="D8" s="307"/>
      <c r="E8" s="307"/>
    </row>
    <row r="9" spans="1:5" x14ac:dyDescent="0.2">
      <c r="A9" s="307"/>
      <c r="B9" s="307"/>
    </row>
    <row r="10" spans="1:5" x14ac:dyDescent="0.2">
      <c r="A10" s="307" t="s">
        <v>1589</v>
      </c>
      <c r="B10" s="307" t="s">
        <v>1588</v>
      </c>
      <c r="C10" s="307"/>
      <c r="D10" s="307"/>
      <c r="E10" s="307"/>
    </row>
    <row r="11" spans="1:5" x14ac:dyDescent="0.2">
      <c r="A11" s="308"/>
      <c r="B11" s="307"/>
      <c r="C11" s="307"/>
      <c r="D11" s="307"/>
      <c r="E11" s="307"/>
    </row>
    <row r="12" spans="1:5" x14ac:dyDescent="0.2">
      <c r="A12" s="307"/>
      <c r="B12" s="336"/>
      <c r="C12" s="307"/>
      <c r="D12" s="307"/>
      <c r="E12" s="307"/>
    </row>
    <row r="13" spans="1:5" x14ac:dyDescent="0.2">
      <c r="A13" s="307" t="s">
        <v>1587</v>
      </c>
      <c r="B13" s="336">
        <v>45263</v>
      </c>
      <c r="C13" s="307"/>
      <c r="D13" s="307"/>
      <c r="E13" s="307"/>
    </row>
    <row r="14" spans="1:5" x14ac:dyDescent="0.2">
      <c r="A14" s="307"/>
      <c r="B14" s="336"/>
      <c r="C14" s="307"/>
      <c r="D14" s="307"/>
      <c r="E14" s="307"/>
    </row>
    <row r="15" spans="1:5" ht="13.5" thickBot="1" x14ac:dyDescent="0.25">
      <c r="A15" s="307"/>
      <c r="B15" s="307"/>
      <c r="C15" s="307"/>
      <c r="D15" s="307"/>
      <c r="E15" s="307"/>
    </row>
    <row r="16" spans="1:5" ht="22.5" x14ac:dyDescent="0.2">
      <c r="A16" s="335" t="s">
        <v>1369</v>
      </c>
      <c r="B16" s="334" t="s">
        <v>49</v>
      </c>
      <c r="C16" s="333" t="s">
        <v>1586</v>
      </c>
      <c r="D16" s="332" t="s">
        <v>1585</v>
      </c>
      <c r="E16" s="331" t="s">
        <v>1584</v>
      </c>
    </row>
    <row r="17" spans="1:5" ht="13.5" thickBot="1" x14ac:dyDescent="0.25">
      <c r="A17" s="330"/>
      <c r="B17" s="328"/>
      <c r="C17" s="329" t="s">
        <v>1583</v>
      </c>
      <c r="D17" s="328" t="s">
        <v>1583</v>
      </c>
      <c r="E17" s="327" t="s">
        <v>1583</v>
      </c>
    </row>
    <row r="18" spans="1:5" x14ac:dyDescent="0.2">
      <c r="A18" s="326"/>
      <c r="B18" s="325"/>
      <c r="C18" s="324"/>
      <c r="D18" s="323"/>
      <c r="E18" s="322"/>
    </row>
    <row r="19" spans="1:5" x14ac:dyDescent="0.2">
      <c r="A19" s="319" t="s">
        <v>1582</v>
      </c>
      <c r="B19" s="319" t="s">
        <v>1889</v>
      </c>
      <c r="C19" s="405">
        <f>'VO materiál – 0-0,098 '!G67</f>
        <v>0</v>
      </c>
      <c r="D19" s="358">
        <f>'VO montáž – 0-0,098'!G80</f>
        <v>0</v>
      </c>
      <c r="E19" s="406">
        <f>C19+D19</f>
        <v>0</v>
      </c>
    </row>
    <row r="20" spans="1:5" x14ac:dyDescent="0.2">
      <c r="A20" s="319"/>
      <c r="B20" s="439" t="s">
        <v>1890</v>
      </c>
      <c r="C20" s="438">
        <f>'VO materiál – 0,098-KÚ'!G65</f>
        <v>0</v>
      </c>
      <c r="D20" s="437">
        <f>'VO montáž – 0,098-KÚ'!G80</f>
        <v>0</v>
      </c>
      <c r="E20" s="436"/>
    </row>
    <row r="21" spans="1:5" x14ac:dyDescent="0.2">
      <c r="A21" s="319"/>
      <c r="B21" s="204" t="s">
        <v>1581</v>
      </c>
      <c r="C21" s="405">
        <v>0</v>
      </c>
      <c r="D21" s="358">
        <f>C19+C20*0.03</f>
        <v>0</v>
      </c>
      <c r="E21" s="406">
        <f>C21+D21</f>
        <v>0</v>
      </c>
    </row>
    <row r="22" spans="1:5" ht="25.5" x14ac:dyDescent="0.2">
      <c r="A22" s="319"/>
      <c r="B22" s="200" t="s">
        <v>1580</v>
      </c>
      <c r="C22" s="405">
        <v>0</v>
      </c>
      <c r="D22" s="358">
        <f>'VO materiál – 0,098-KÚ'!G65*0.035+'VO montáž – 0-0,098'!G80*0.035</f>
        <v>0</v>
      </c>
      <c r="E22" s="406">
        <f>C22+D22</f>
        <v>0</v>
      </c>
    </row>
    <row r="23" spans="1:5" x14ac:dyDescent="0.2">
      <c r="A23" s="319"/>
      <c r="B23" s="204"/>
      <c r="C23" s="405"/>
      <c r="D23" s="358"/>
      <c r="E23" s="406"/>
    </row>
    <row r="24" spans="1:5" x14ac:dyDescent="0.2">
      <c r="A24" s="321"/>
      <c r="B24" s="320" t="s">
        <v>1579</v>
      </c>
      <c r="C24" s="402">
        <f>SUM(C19:C23)</f>
        <v>0</v>
      </c>
      <c r="D24" s="403">
        <f>SUM(D19:D23)</f>
        <v>0</v>
      </c>
      <c r="E24" s="404">
        <f>ROUND(SUM(E19:E23),2)</f>
        <v>0</v>
      </c>
    </row>
    <row r="25" spans="1:5" x14ac:dyDescent="0.2">
      <c r="A25" s="319"/>
      <c r="B25" s="318" t="s">
        <v>1578</v>
      </c>
      <c r="C25" s="407">
        <f>C24*0.21</f>
        <v>0</v>
      </c>
      <c r="D25" s="408">
        <f>D24*0.21</f>
        <v>0</v>
      </c>
      <c r="E25" s="409">
        <f>SUM(C25:D25)</f>
        <v>0</v>
      </c>
    </row>
    <row r="26" spans="1:5" x14ac:dyDescent="0.2">
      <c r="A26" s="319"/>
      <c r="B26" s="318" t="s">
        <v>1577</v>
      </c>
      <c r="C26" s="407">
        <f>SUM(C24:C25)</f>
        <v>0</v>
      </c>
      <c r="D26" s="408">
        <f>SUM(D24:D25)</f>
        <v>0</v>
      </c>
      <c r="E26" s="409">
        <f>ROUND(SUM(E24:E25),2)</f>
        <v>0</v>
      </c>
    </row>
    <row r="27" spans="1:5" ht="13.5" thickBot="1" x14ac:dyDescent="0.25">
      <c r="A27" s="317"/>
      <c r="B27" s="315"/>
      <c r="C27" s="316"/>
      <c r="D27" s="315"/>
      <c r="E27" s="314"/>
    </row>
    <row r="28" spans="1:5" x14ac:dyDescent="0.2">
      <c r="A28" s="307"/>
      <c r="B28" s="307"/>
      <c r="C28" s="307"/>
      <c r="D28" s="307"/>
      <c r="E28" s="307"/>
    </row>
    <row r="29" spans="1:5" x14ac:dyDescent="0.2">
      <c r="A29" s="307"/>
      <c r="B29" s="307"/>
      <c r="C29" s="307"/>
      <c r="D29" s="307"/>
      <c r="E29" s="307"/>
    </row>
    <row r="30" spans="1:5" x14ac:dyDescent="0.2">
      <c r="A30" s="307"/>
      <c r="B30" s="313" t="s">
        <v>1576</v>
      </c>
      <c r="C30" s="307"/>
      <c r="D30" s="307"/>
      <c r="E30" s="307"/>
    </row>
    <row r="31" spans="1:5" x14ac:dyDescent="0.2">
      <c r="A31" s="307"/>
      <c r="B31" s="313" t="s">
        <v>1575</v>
      </c>
      <c r="C31" s="307"/>
      <c r="D31" s="312"/>
      <c r="E31" s="307"/>
    </row>
    <row r="32" spans="1:5" x14ac:dyDescent="0.2">
      <c r="A32" s="307"/>
      <c r="B32" s="307"/>
      <c r="C32" s="307"/>
      <c r="D32" s="307"/>
      <c r="E32" s="307"/>
    </row>
    <row r="33" spans="1:5" ht="20.25" x14ac:dyDescent="0.3">
      <c r="A33" s="311" t="s">
        <v>1574</v>
      </c>
      <c r="B33" s="307"/>
      <c r="C33" s="307"/>
      <c r="D33" s="307"/>
      <c r="E33" s="307"/>
    </row>
    <row r="34" spans="1:5" x14ac:dyDescent="0.2">
      <c r="D34" s="307"/>
      <c r="E34" s="307"/>
    </row>
    <row r="35" spans="1:5" x14ac:dyDescent="0.2">
      <c r="A35" s="310" t="s">
        <v>1573</v>
      </c>
      <c r="B35" s="309"/>
      <c r="C35" s="309"/>
      <c r="D35" s="309"/>
      <c r="E35" s="307"/>
    </row>
    <row r="36" spans="1:5" x14ac:dyDescent="0.2">
      <c r="A36" s="308"/>
      <c r="B36" s="307"/>
      <c r="C36" s="307"/>
      <c r="D36" s="307"/>
      <c r="E36" s="307"/>
    </row>
    <row r="37" spans="1:5" x14ac:dyDescent="0.2">
      <c r="A37" s="307" t="s">
        <v>1572</v>
      </c>
      <c r="B37" s="307"/>
      <c r="C37" s="307"/>
      <c r="D37" s="307"/>
      <c r="E37" s="307"/>
    </row>
    <row r="38" spans="1:5" x14ac:dyDescent="0.2">
      <c r="A38" s="307" t="s">
        <v>1571</v>
      </c>
      <c r="B38" s="307"/>
      <c r="C38" s="307"/>
      <c r="D38" s="307"/>
      <c r="E38" s="307"/>
    </row>
    <row r="39" spans="1:5" x14ac:dyDescent="0.2">
      <c r="A39" s="307" t="s">
        <v>1570</v>
      </c>
      <c r="B39" s="307"/>
      <c r="C39" s="307"/>
      <c r="D39" s="307"/>
      <c r="E39" s="307"/>
    </row>
    <row r="40" spans="1:5" x14ac:dyDescent="0.2">
      <c r="A40" s="307" t="s">
        <v>1569</v>
      </c>
      <c r="B40" s="307"/>
      <c r="C40" s="307"/>
      <c r="D40" s="307"/>
      <c r="E40" s="307"/>
    </row>
    <row r="41" spans="1:5" x14ac:dyDescent="0.2">
      <c r="A41" s="307"/>
      <c r="B41" s="307"/>
      <c r="C41" s="307"/>
      <c r="D41" s="307"/>
      <c r="E41" s="307"/>
    </row>
    <row r="42" spans="1:5" x14ac:dyDescent="0.2">
      <c r="A42" s="307" t="s">
        <v>1568</v>
      </c>
      <c r="B42" s="308"/>
      <c r="C42" s="307"/>
      <c r="D42" s="307"/>
      <c r="E42" s="307"/>
    </row>
    <row r="43" spans="1:5" x14ac:dyDescent="0.2">
      <c r="A43" s="307" t="s">
        <v>1567</v>
      </c>
      <c r="B43" s="307"/>
      <c r="C43" s="307"/>
      <c r="D43" s="307"/>
      <c r="E43" s="307"/>
    </row>
  </sheetData>
  <pageMargins left="0.7" right="0.7" top="0.78740157499999996" bottom="0.78740157499999996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6AD6-1469-4ADB-83BA-9A090031E50F}">
  <dimension ref="A1:V68"/>
  <sheetViews>
    <sheetView zoomScaleNormal="100" workbookViewId="0">
      <selection activeCell="C8" sqref="C8"/>
    </sheetView>
  </sheetViews>
  <sheetFormatPr defaultColWidth="9.33203125" defaultRowHeight="12.75" x14ac:dyDescent="0.2"/>
  <cols>
    <col min="1" max="1" width="6.33203125" style="167" customWidth="1"/>
    <col min="2" max="2" width="11.1640625" style="167" customWidth="1"/>
    <col min="3" max="3" width="50.1640625" style="167" customWidth="1"/>
    <col min="4" max="4" width="5.33203125" style="167" customWidth="1"/>
    <col min="5" max="5" width="7.83203125" style="167" customWidth="1"/>
    <col min="6" max="6" width="14.33203125" style="339" customWidth="1"/>
    <col min="7" max="7" width="16.5" style="339" customWidth="1"/>
    <col min="8" max="8" width="13.5" style="167" customWidth="1"/>
    <col min="9" max="10" width="9.33203125" style="167"/>
    <col min="11" max="11" width="9.33203125" style="433"/>
    <col min="12" max="14" width="9.33203125" style="167"/>
    <col min="15" max="15" width="9.33203125" style="435"/>
    <col min="16" max="16" width="9.33203125" style="434"/>
    <col min="17" max="16384" width="9.33203125" style="167"/>
  </cols>
  <sheetData>
    <row r="1" spans="1:22" x14ac:dyDescent="0.2">
      <c r="A1" s="167" t="s">
        <v>1502</v>
      </c>
      <c r="B1" s="167" t="s">
        <v>1501</v>
      </c>
    </row>
    <row r="2" spans="1:22" x14ac:dyDescent="0.2">
      <c r="A2" s="167" t="s">
        <v>1500</v>
      </c>
      <c r="B2" s="167" t="s">
        <v>1499</v>
      </c>
    </row>
    <row r="3" spans="1:22" x14ac:dyDescent="0.2">
      <c r="A3" s="167" t="s">
        <v>1498</v>
      </c>
      <c r="B3" s="167" t="s">
        <v>1497</v>
      </c>
    </row>
    <row r="4" spans="1:22" ht="13.5" thickBot="1" x14ac:dyDescent="0.25"/>
    <row r="5" spans="1:22" x14ac:dyDescent="0.2">
      <c r="A5" s="266"/>
      <c r="B5" s="264"/>
      <c r="C5" s="265"/>
      <c r="D5" s="264"/>
      <c r="E5" s="264"/>
      <c r="F5" s="672" t="s">
        <v>1566</v>
      </c>
      <c r="G5" s="673"/>
      <c r="H5" s="263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2.6" customHeight="1" thickBot="1" x14ac:dyDescent="0.25">
      <c r="A6" s="306" t="s">
        <v>1495</v>
      </c>
      <c r="B6" s="305" t="s">
        <v>1494</v>
      </c>
      <c r="C6" s="260" t="s">
        <v>1493</v>
      </c>
      <c r="D6" s="304" t="s">
        <v>88</v>
      </c>
      <c r="E6" s="304" t="s">
        <v>1492</v>
      </c>
      <c r="F6" s="340" t="s">
        <v>1370</v>
      </c>
      <c r="G6" s="341" t="s">
        <v>1491</v>
      </c>
      <c r="H6" s="303" t="s">
        <v>91</v>
      </c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2">
      <c r="A7" s="192"/>
      <c r="B7" s="231"/>
      <c r="C7" s="190"/>
      <c r="D7" s="214"/>
      <c r="E7" s="214"/>
      <c r="F7" s="342"/>
      <c r="G7" s="342"/>
      <c r="H7" s="20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51" x14ac:dyDescent="0.2">
      <c r="A8" s="192" t="s">
        <v>1565</v>
      </c>
      <c r="B8" s="231">
        <v>341110372</v>
      </c>
      <c r="C8" s="190" t="s">
        <v>1564</v>
      </c>
      <c r="D8" s="214" t="s">
        <v>106</v>
      </c>
      <c r="E8" s="214">
        <f>1960*0.18</f>
        <v>352.8</v>
      </c>
      <c r="F8" s="342">
        <v>0</v>
      </c>
      <c r="G8" s="342">
        <f>E8*F8</f>
        <v>0</v>
      </c>
      <c r="H8" s="207" t="s">
        <v>1504</v>
      </c>
      <c r="J8"/>
      <c r="K8"/>
      <c r="L8"/>
      <c r="M8"/>
      <c r="N8"/>
      <c r="O8"/>
      <c r="P8"/>
      <c r="Q8"/>
      <c r="R8"/>
      <c r="S8"/>
      <c r="T8"/>
      <c r="U8"/>
      <c r="V8"/>
    </row>
    <row r="9" spans="1:22" ht="51" x14ac:dyDescent="0.2">
      <c r="A9" s="192" t="s">
        <v>1563</v>
      </c>
      <c r="B9" s="231">
        <v>341110367</v>
      </c>
      <c r="C9" s="190" t="s">
        <v>1562</v>
      </c>
      <c r="D9" s="214" t="s">
        <v>106</v>
      </c>
      <c r="E9" s="214">
        <f>392*0.18</f>
        <v>70.56</v>
      </c>
      <c r="F9" s="342">
        <v>0</v>
      </c>
      <c r="G9" s="342">
        <f>E9*F9</f>
        <v>0</v>
      </c>
      <c r="H9" s="207" t="s">
        <v>1504</v>
      </c>
      <c r="J9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">
      <c r="A10" s="192"/>
      <c r="B10" s="231"/>
      <c r="C10" s="190"/>
      <c r="D10" s="214"/>
      <c r="E10" s="214"/>
      <c r="F10" s="342"/>
      <c r="G10" s="342"/>
      <c r="H10" s="207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">
      <c r="A11" s="234" t="s">
        <v>1485</v>
      </c>
      <c r="B11" s="239"/>
      <c r="C11" s="216"/>
      <c r="D11" s="214"/>
      <c r="E11" s="214"/>
      <c r="F11" s="342"/>
      <c r="G11" s="342"/>
      <c r="H11" s="238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2">
      <c r="A12" s="192"/>
      <c r="B12" s="239"/>
      <c r="C12" s="216"/>
      <c r="D12" s="214"/>
      <c r="E12" s="214"/>
      <c r="F12" s="342"/>
      <c r="G12" s="342"/>
      <c r="H12" s="238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">
      <c r="A13" s="192" t="s">
        <v>1561</v>
      </c>
      <c r="B13" s="231">
        <v>321026108</v>
      </c>
      <c r="C13" s="186" t="s">
        <v>1560</v>
      </c>
      <c r="D13" s="215" t="s">
        <v>314</v>
      </c>
      <c r="E13" s="214">
        <v>25</v>
      </c>
      <c r="F13" s="342">
        <v>0</v>
      </c>
      <c r="G13" s="342">
        <f>E13*F13</f>
        <v>0</v>
      </c>
      <c r="H13" s="207" t="s">
        <v>1504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">
      <c r="A14" s="192" t="s">
        <v>1559</v>
      </c>
      <c r="B14" s="231">
        <v>321026103</v>
      </c>
      <c r="C14" s="186" t="s">
        <v>1558</v>
      </c>
      <c r="D14" s="215" t="s">
        <v>314</v>
      </c>
      <c r="E14" s="214">
        <v>53</v>
      </c>
      <c r="F14" s="342">
        <v>0</v>
      </c>
      <c r="G14" s="342">
        <f>E14*F14</f>
        <v>0</v>
      </c>
      <c r="H14" s="207" t="s">
        <v>1504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">
      <c r="A15" s="192"/>
      <c r="B15" s="231"/>
      <c r="C15" s="186"/>
      <c r="D15" s="215"/>
      <c r="E15" s="214"/>
      <c r="F15" s="342"/>
      <c r="G15" s="342"/>
      <c r="H15" s="207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">
      <c r="A16" s="237" t="s">
        <v>1480</v>
      </c>
      <c r="B16" s="233"/>
      <c r="C16" s="216"/>
      <c r="D16" s="214"/>
      <c r="E16" s="214"/>
      <c r="F16" s="342"/>
      <c r="G16" s="342"/>
      <c r="H16" s="205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">
      <c r="A17" s="218"/>
      <c r="B17" s="233"/>
      <c r="C17" s="216"/>
      <c r="D17" s="214"/>
      <c r="E17" s="214"/>
      <c r="F17" s="342"/>
      <c r="G17" s="342"/>
      <c r="H17" s="205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">
      <c r="A18" s="218" t="s">
        <v>1557</v>
      </c>
      <c r="B18" s="302">
        <v>354411100</v>
      </c>
      <c r="C18" s="301" t="s">
        <v>1556</v>
      </c>
      <c r="D18" s="209" t="s">
        <v>106</v>
      </c>
      <c r="E18" s="214">
        <f>1960*0.18</f>
        <v>352.8</v>
      </c>
      <c r="F18" s="342">
        <v>0</v>
      </c>
      <c r="G18" s="342">
        <f>E18*F18</f>
        <v>0</v>
      </c>
      <c r="H18" s="205" t="s">
        <v>1504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">
      <c r="A19" s="218" t="s">
        <v>1555</v>
      </c>
      <c r="B19" s="248">
        <v>354613112</v>
      </c>
      <c r="C19" s="187" t="s">
        <v>1554</v>
      </c>
      <c r="D19" s="209" t="s">
        <v>314</v>
      </c>
      <c r="E19" s="487">
        <v>17</v>
      </c>
      <c r="F19" s="342">
        <v>0</v>
      </c>
      <c r="G19" s="342">
        <f>E19*F19</f>
        <v>0</v>
      </c>
      <c r="H19" s="205" t="s">
        <v>1504</v>
      </c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">
      <c r="A20" s="192"/>
      <c r="B20" s="231"/>
      <c r="C20" s="190"/>
      <c r="D20" s="214"/>
      <c r="E20" s="214"/>
      <c r="F20" s="342"/>
      <c r="G20" s="342"/>
      <c r="H20" s="207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">
      <c r="A21" s="237" t="s">
        <v>1475</v>
      </c>
      <c r="B21" s="214"/>
      <c r="C21" s="186"/>
      <c r="D21" s="215"/>
      <c r="E21" s="214"/>
      <c r="F21" s="342"/>
      <c r="G21" s="342"/>
      <c r="H21" s="207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">
      <c r="A22" s="218"/>
      <c r="B22" s="214"/>
      <c r="C22" s="186"/>
      <c r="D22" s="215"/>
      <c r="E22" s="214"/>
      <c r="F22" s="342"/>
      <c r="G22" s="342"/>
      <c r="H22" s="207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5.5" x14ac:dyDescent="0.2">
      <c r="A23" s="218" t="s">
        <v>1553</v>
      </c>
      <c r="B23" s="299">
        <v>348531314</v>
      </c>
      <c r="C23" s="300" t="s">
        <v>1552</v>
      </c>
      <c r="D23" s="187" t="s">
        <v>314</v>
      </c>
      <c r="E23" s="187">
        <v>3</v>
      </c>
      <c r="F23" s="342">
        <v>0</v>
      </c>
      <c r="G23" s="342">
        <f t="shared" ref="G23:G28" si="0">E23*F23</f>
        <v>0</v>
      </c>
      <c r="H23" s="207" t="s">
        <v>1504</v>
      </c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5.5" x14ac:dyDescent="0.2">
      <c r="A24" s="218" t="s">
        <v>1551</v>
      </c>
      <c r="B24" s="299">
        <v>348531313</v>
      </c>
      <c r="C24" s="300" t="s">
        <v>1550</v>
      </c>
      <c r="D24" s="187" t="s">
        <v>314</v>
      </c>
      <c r="E24" s="187">
        <v>2</v>
      </c>
      <c r="F24" s="342">
        <v>0</v>
      </c>
      <c r="G24" s="342">
        <f t="shared" si="0"/>
        <v>0</v>
      </c>
      <c r="H24" s="207" t="s">
        <v>1504</v>
      </c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5.5" x14ac:dyDescent="0.2">
      <c r="A25" s="218" t="s">
        <v>1549</v>
      </c>
      <c r="B25" s="299">
        <v>348531311</v>
      </c>
      <c r="C25" s="300" t="s">
        <v>1548</v>
      </c>
      <c r="D25" s="187" t="s">
        <v>314</v>
      </c>
      <c r="E25" s="187">
        <v>1</v>
      </c>
      <c r="F25" s="342">
        <v>0</v>
      </c>
      <c r="G25" s="342">
        <f t="shared" si="0"/>
        <v>0</v>
      </c>
      <c r="H25" s="207" t="s">
        <v>1504</v>
      </c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">
      <c r="A26" s="218" t="s">
        <v>1547</v>
      </c>
      <c r="B26" s="299">
        <v>348531326</v>
      </c>
      <c r="C26" s="300" t="s">
        <v>1546</v>
      </c>
      <c r="D26" s="187" t="s">
        <v>314</v>
      </c>
      <c r="E26" s="187">
        <v>5</v>
      </c>
      <c r="F26" s="342">
        <v>0</v>
      </c>
      <c r="G26" s="342">
        <f t="shared" si="0"/>
        <v>0</v>
      </c>
      <c r="H26" s="207" t="s">
        <v>1504</v>
      </c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5.5" x14ac:dyDescent="0.2">
      <c r="A27" s="218" t="s">
        <v>1545</v>
      </c>
      <c r="B27" s="299">
        <v>348531325</v>
      </c>
      <c r="C27" s="244" t="s">
        <v>1544</v>
      </c>
      <c r="D27" s="242" t="s">
        <v>314</v>
      </c>
      <c r="E27" s="187">
        <v>5</v>
      </c>
      <c r="F27" s="342">
        <v>0</v>
      </c>
      <c r="G27" s="342">
        <f t="shared" si="0"/>
        <v>0</v>
      </c>
      <c r="H27" s="207" t="s">
        <v>1504</v>
      </c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">
      <c r="A28" s="218" t="s">
        <v>1543</v>
      </c>
      <c r="B28" s="299">
        <v>348531323</v>
      </c>
      <c r="C28" s="244" t="s">
        <v>1542</v>
      </c>
      <c r="D28" s="242" t="s">
        <v>314</v>
      </c>
      <c r="E28" s="214">
        <v>1</v>
      </c>
      <c r="F28" s="342">
        <v>0</v>
      </c>
      <c r="G28" s="342">
        <f t="shared" si="0"/>
        <v>0</v>
      </c>
      <c r="H28" s="207" t="s">
        <v>1504</v>
      </c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">
      <c r="A29" s="192"/>
      <c r="B29" s="231"/>
      <c r="C29" s="190"/>
      <c r="D29" s="214"/>
      <c r="E29" s="214"/>
      <c r="F29" s="342"/>
      <c r="G29" s="342"/>
      <c r="H29" s="207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">
      <c r="A30" s="234" t="s">
        <v>1463</v>
      </c>
      <c r="B30" s="239"/>
      <c r="C30" s="216"/>
      <c r="D30" s="214"/>
      <c r="E30" s="214"/>
      <c r="F30" s="342"/>
      <c r="G30" s="342"/>
      <c r="H30" s="207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">
      <c r="A31" s="192"/>
      <c r="B31" s="239"/>
      <c r="C31" s="216"/>
      <c r="D31" s="214"/>
      <c r="E31" s="214"/>
      <c r="F31" s="342"/>
      <c r="G31" s="342"/>
      <c r="H31" s="207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5.5" x14ac:dyDescent="0.2">
      <c r="A32" s="192" t="s">
        <v>1541</v>
      </c>
      <c r="B32" s="245">
        <v>348531422</v>
      </c>
      <c r="C32" s="298" t="s">
        <v>1540</v>
      </c>
      <c r="D32" s="215" t="s">
        <v>314</v>
      </c>
      <c r="E32" s="214">
        <v>3</v>
      </c>
      <c r="F32" s="342">
        <v>0</v>
      </c>
      <c r="G32" s="342">
        <f>E32*F32</f>
        <v>0</v>
      </c>
      <c r="H32" s="207" t="s">
        <v>1504</v>
      </c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5.5" x14ac:dyDescent="0.2">
      <c r="A33" s="192" t="s">
        <v>1539</v>
      </c>
      <c r="B33" s="245">
        <v>348531403</v>
      </c>
      <c r="C33" s="298" t="s">
        <v>1538</v>
      </c>
      <c r="D33" s="215" t="s">
        <v>314</v>
      </c>
      <c r="E33" s="214">
        <v>2</v>
      </c>
      <c r="F33" s="342">
        <v>0</v>
      </c>
      <c r="G33" s="342">
        <f>E33*F33</f>
        <v>0</v>
      </c>
      <c r="H33" s="207" t="s">
        <v>1504</v>
      </c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5.5" x14ac:dyDescent="0.2">
      <c r="A34" s="192" t="s">
        <v>1537</v>
      </c>
      <c r="B34" s="245">
        <v>348531405</v>
      </c>
      <c r="C34" s="298" t="s">
        <v>1536</v>
      </c>
      <c r="D34" s="215" t="s">
        <v>314</v>
      </c>
      <c r="E34" s="214">
        <v>1</v>
      </c>
      <c r="F34" s="342">
        <v>0</v>
      </c>
      <c r="G34" s="342">
        <f>E34*F34</f>
        <v>0</v>
      </c>
      <c r="H34" s="207" t="s">
        <v>1504</v>
      </c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">
      <c r="A35" s="192"/>
      <c r="B35" s="231"/>
      <c r="C35" s="190"/>
      <c r="D35" s="214"/>
      <c r="E35" s="214"/>
      <c r="F35" s="342"/>
      <c r="G35" s="342"/>
      <c r="H35" s="207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">
      <c r="A36" s="234" t="s">
        <v>1458</v>
      </c>
      <c r="B36" s="187"/>
      <c r="C36" s="193"/>
      <c r="D36" s="193"/>
      <c r="E36" s="187"/>
      <c r="F36" s="344"/>
      <c r="G36" s="342"/>
      <c r="H36" s="207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">
      <c r="A37" s="234"/>
      <c r="B37" s="187"/>
      <c r="C37" s="193"/>
      <c r="D37" s="193"/>
      <c r="E37" s="193"/>
      <c r="F37" s="344"/>
      <c r="G37" s="342"/>
      <c r="H37" s="20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">
      <c r="A38" s="192" t="s">
        <v>1535</v>
      </c>
      <c r="B38" s="198">
        <v>358218321</v>
      </c>
      <c r="C38" s="188" t="s">
        <v>1534</v>
      </c>
      <c r="D38" s="202" t="s">
        <v>314</v>
      </c>
      <c r="E38" s="488">
        <v>3</v>
      </c>
      <c r="F38" s="342">
        <v>0</v>
      </c>
      <c r="G38" s="342">
        <f>E38*F38</f>
        <v>0</v>
      </c>
      <c r="H38" s="207" t="s">
        <v>1504</v>
      </c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2">
      <c r="A39" s="192" t="s">
        <v>1533</v>
      </c>
      <c r="B39" s="198">
        <v>358218321</v>
      </c>
      <c r="C39" s="188" t="s">
        <v>1532</v>
      </c>
      <c r="D39" s="202" t="s">
        <v>314</v>
      </c>
      <c r="E39" s="488">
        <v>3</v>
      </c>
      <c r="F39" s="342">
        <v>0</v>
      </c>
      <c r="G39" s="342">
        <f>E39*F39</f>
        <v>0</v>
      </c>
      <c r="H39" s="207" t="s">
        <v>1504</v>
      </c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2">
      <c r="A40" s="192" t="s">
        <v>1531</v>
      </c>
      <c r="B40" s="245">
        <v>358218004</v>
      </c>
      <c r="C40" s="297" t="s">
        <v>1530</v>
      </c>
      <c r="D40" s="196" t="s">
        <v>314</v>
      </c>
      <c r="E40" s="489">
        <v>8</v>
      </c>
      <c r="F40" s="342">
        <v>0</v>
      </c>
      <c r="G40" s="342">
        <f>E40*F40</f>
        <v>0</v>
      </c>
      <c r="H40" s="207" t="s">
        <v>1504</v>
      </c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">
      <c r="A41" s="192"/>
      <c r="B41" s="231"/>
      <c r="C41" s="190"/>
      <c r="D41" s="214"/>
      <c r="E41" s="214"/>
      <c r="F41" s="342"/>
      <c r="G41" s="342"/>
      <c r="H41" s="207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">
      <c r="A42" s="237" t="s">
        <v>1451</v>
      </c>
      <c r="B42" s="214"/>
      <c r="C42" s="186"/>
      <c r="D42" s="215"/>
      <c r="E42" s="214"/>
      <c r="F42" s="342"/>
      <c r="G42" s="342"/>
      <c r="H42" s="207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x14ac:dyDescent="0.2">
      <c r="A43" s="218"/>
      <c r="B43" s="214"/>
      <c r="C43" s="186"/>
      <c r="D43" s="215"/>
      <c r="E43" s="214"/>
      <c r="F43" s="342"/>
      <c r="G43" s="342"/>
      <c r="H43" s="207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38.25" x14ac:dyDescent="0.2">
      <c r="A44" s="218" t="s">
        <v>1529</v>
      </c>
      <c r="B44" s="295">
        <v>10182828</v>
      </c>
      <c r="C44" s="282" t="s">
        <v>1528</v>
      </c>
      <c r="D44" s="215" t="s">
        <v>314</v>
      </c>
      <c r="E44" s="214">
        <v>1</v>
      </c>
      <c r="F44" s="342">
        <v>0</v>
      </c>
      <c r="G44" s="342">
        <f t="shared" ref="G44:G50" si="1">E44*F44</f>
        <v>0</v>
      </c>
      <c r="H44" s="207" t="s">
        <v>1504</v>
      </c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">
      <c r="A45" s="218" t="s">
        <v>1527</v>
      </c>
      <c r="B45" s="295">
        <v>10182826</v>
      </c>
      <c r="C45" s="282" t="s">
        <v>1948</v>
      </c>
      <c r="D45" s="215" t="s">
        <v>314</v>
      </c>
      <c r="E45" s="214">
        <v>1</v>
      </c>
      <c r="F45" s="342">
        <v>0</v>
      </c>
      <c r="G45" s="342">
        <f t="shared" si="1"/>
        <v>0</v>
      </c>
      <c r="H45" s="207" t="s">
        <v>1504</v>
      </c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">
      <c r="A46" s="218" t="s">
        <v>1526</v>
      </c>
      <c r="B46" s="295">
        <v>10182826</v>
      </c>
      <c r="C46" s="296" t="s">
        <v>1949</v>
      </c>
      <c r="D46" s="215" t="s">
        <v>314</v>
      </c>
      <c r="E46" s="214">
        <v>3</v>
      </c>
      <c r="F46" s="342">
        <v>0</v>
      </c>
      <c r="G46" s="342">
        <f t="shared" si="1"/>
        <v>0</v>
      </c>
      <c r="H46" s="207" t="s">
        <v>1504</v>
      </c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">
      <c r="A47" s="218" t="s">
        <v>1525</v>
      </c>
      <c r="B47" s="295">
        <v>10182826</v>
      </c>
      <c r="C47" s="282" t="s">
        <v>1950</v>
      </c>
      <c r="D47" s="215" t="s">
        <v>314</v>
      </c>
      <c r="E47" s="214">
        <v>3</v>
      </c>
      <c r="F47" s="342">
        <v>0</v>
      </c>
      <c r="G47" s="342">
        <f t="shared" si="1"/>
        <v>0</v>
      </c>
      <c r="H47" s="207" t="s">
        <v>1504</v>
      </c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">
      <c r="A48" s="218" t="s">
        <v>1524</v>
      </c>
      <c r="B48" s="295">
        <v>10182826</v>
      </c>
      <c r="C48" s="282" t="s">
        <v>1951</v>
      </c>
      <c r="D48" s="215" t="s">
        <v>314</v>
      </c>
      <c r="E48" s="214">
        <v>2</v>
      </c>
      <c r="F48" s="342">
        <v>0</v>
      </c>
      <c r="G48" s="342">
        <f t="shared" si="1"/>
        <v>0</v>
      </c>
      <c r="H48" s="207" t="s">
        <v>1504</v>
      </c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">
      <c r="A49" s="218" t="s">
        <v>1523</v>
      </c>
      <c r="B49" s="295">
        <v>10182826</v>
      </c>
      <c r="C49" s="282" t="s">
        <v>1952</v>
      </c>
      <c r="D49" s="215" t="s">
        <v>314</v>
      </c>
      <c r="E49" s="214">
        <v>1</v>
      </c>
      <c r="F49" s="342">
        <v>0</v>
      </c>
      <c r="G49" s="342">
        <f t="shared" si="1"/>
        <v>0</v>
      </c>
      <c r="H49" s="207" t="s">
        <v>1504</v>
      </c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5.5" x14ac:dyDescent="0.2">
      <c r="A50" s="218" t="s">
        <v>1522</v>
      </c>
      <c r="B50" s="198" t="s">
        <v>1413</v>
      </c>
      <c r="C50" s="235" t="s">
        <v>1521</v>
      </c>
      <c r="D50" s="215" t="s">
        <v>314</v>
      </c>
      <c r="E50" s="214">
        <v>9</v>
      </c>
      <c r="F50" s="342">
        <v>0</v>
      </c>
      <c r="G50" s="342">
        <f t="shared" si="1"/>
        <v>0</v>
      </c>
      <c r="H50" s="207" t="s">
        <v>1504</v>
      </c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">
      <c r="A51" s="218"/>
      <c r="B51" s="198"/>
      <c r="C51" s="235"/>
      <c r="D51" s="215"/>
      <c r="E51" s="214"/>
      <c r="F51" s="342"/>
      <c r="G51" s="342"/>
      <c r="H51" s="207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2">
      <c r="A52" s="234" t="s">
        <v>1520</v>
      </c>
      <c r="B52" s="233"/>
      <c r="C52" s="216"/>
      <c r="D52" s="214"/>
      <c r="E52" s="214"/>
      <c r="F52" s="342"/>
      <c r="G52" s="342"/>
      <c r="H52" s="207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2">
      <c r="A53" s="218"/>
      <c r="B53" s="233"/>
      <c r="C53" s="216"/>
      <c r="D53" s="214"/>
      <c r="E53" s="214"/>
      <c r="F53" s="342"/>
      <c r="G53" s="342"/>
      <c r="H53" s="207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51" x14ac:dyDescent="0.2">
      <c r="A54" s="218" t="s">
        <v>1519</v>
      </c>
      <c r="B54" s="217">
        <v>283128217</v>
      </c>
      <c r="C54" s="223" t="s">
        <v>1518</v>
      </c>
      <c r="D54" s="214" t="s">
        <v>106</v>
      </c>
      <c r="E54" s="215">
        <f>60*0.18</f>
        <v>10.799999999999999</v>
      </c>
      <c r="F54" s="342">
        <v>0</v>
      </c>
      <c r="G54" s="342">
        <f t="shared" ref="G54:G60" si="2">E54*F54</f>
        <v>0</v>
      </c>
      <c r="H54" s="207" t="s">
        <v>1504</v>
      </c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51" x14ac:dyDescent="0.2">
      <c r="A55" s="218" t="s">
        <v>1517</v>
      </c>
      <c r="B55" s="217">
        <v>283128220</v>
      </c>
      <c r="C55" s="201" t="s">
        <v>1516</v>
      </c>
      <c r="D55" s="209" t="s">
        <v>106</v>
      </c>
      <c r="E55" s="487">
        <f>1960*0.18</f>
        <v>352.8</v>
      </c>
      <c r="F55" s="342">
        <v>0</v>
      </c>
      <c r="G55" s="342">
        <f t="shared" si="2"/>
        <v>0</v>
      </c>
      <c r="H55" s="207" t="s">
        <v>1504</v>
      </c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2">
      <c r="A56" s="218" t="s">
        <v>1515</v>
      </c>
      <c r="B56" s="294">
        <v>283164112</v>
      </c>
      <c r="C56" s="187" t="s">
        <v>1514</v>
      </c>
      <c r="D56" s="209" t="s">
        <v>314</v>
      </c>
      <c r="E56" s="487">
        <v>343</v>
      </c>
      <c r="F56" s="342">
        <v>0</v>
      </c>
      <c r="G56" s="342">
        <f t="shared" si="2"/>
        <v>0</v>
      </c>
      <c r="H56" s="207" t="s">
        <v>1504</v>
      </c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2">
      <c r="A57" s="218" t="s">
        <v>1513</v>
      </c>
      <c r="B57" s="490">
        <v>201128106</v>
      </c>
      <c r="C57" s="491" t="s">
        <v>1512</v>
      </c>
      <c r="D57" s="492" t="s">
        <v>314</v>
      </c>
      <c r="E57" s="221">
        <v>1</v>
      </c>
      <c r="F57" s="342">
        <v>0</v>
      </c>
      <c r="G57" s="342">
        <f t="shared" si="2"/>
        <v>0</v>
      </c>
      <c r="H57" s="207" t="s">
        <v>1504</v>
      </c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2">
      <c r="A58" s="218" t="s">
        <v>1511</v>
      </c>
      <c r="B58" s="233">
        <v>235111000</v>
      </c>
      <c r="C58" s="188" t="s">
        <v>1510</v>
      </c>
      <c r="D58" s="196" t="s">
        <v>130</v>
      </c>
      <c r="E58" s="195">
        <f>7.5*0.18</f>
        <v>1.3499999999999999</v>
      </c>
      <c r="F58" s="342">
        <v>0</v>
      </c>
      <c r="G58" s="342">
        <f t="shared" si="2"/>
        <v>0</v>
      </c>
      <c r="H58" s="207" t="s">
        <v>1504</v>
      </c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2">
      <c r="A59" s="218" t="s">
        <v>1509</v>
      </c>
      <c r="B59" s="248">
        <v>348444171</v>
      </c>
      <c r="C59" s="293" t="s">
        <v>1508</v>
      </c>
      <c r="D59" s="292" t="s">
        <v>1077</v>
      </c>
      <c r="E59" s="291">
        <f>4.9*0.18</f>
        <v>0.88200000000000001</v>
      </c>
      <c r="F59" s="342">
        <v>0</v>
      </c>
      <c r="G59" s="342">
        <f t="shared" si="2"/>
        <v>0</v>
      </c>
      <c r="H59" s="207" t="s">
        <v>1504</v>
      </c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2">
      <c r="A60" s="218" t="s">
        <v>1507</v>
      </c>
      <c r="B60" s="217">
        <v>812121021</v>
      </c>
      <c r="C60" s="210" t="s">
        <v>1506</v>
      </c>
      <c r="D60" s="209" t="s">
        <v>130</v>
      </c>
      <c r="E60" s="208">
        <f>191*0.18</f>
        <v>34.379999999999995</v>
      </c>
      <c r="F60" s="342">
        <v>0</v>
      </c>
      <c r="G60" s="342">
        <f t="shared" si="2"/>
        <v>0</v>
      </c>
      <c r="H60" s="207" t="s">
        <v>1504</v>
      </c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2">
      <c r="A61" s="218"/>
      <c r="B61" s="198"/>
      <c r="C61" s="235"/>
      <c r="D61" s="215"/>
      <c r="E61" s="214"/>
      <c r="F61" s="342"/>
      <c r="G61" s="342"/>
      <c r="H61" s="207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x14ac:dyDescent="0.2">
      <c r="A62" s="290" t="s">
        <v>1402</v>
      </c>
      <c r="B62" s="289"/>
      <c r="C62" s="288"/>
      <c r="D62" s="287"/>
      <c r="E62" s="201"/>
      <c r="F62" s="346"/>
      <c r="G62" s="342"/>
      <c r="H62" s="207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x14ac:dyDescent="0.2">
      <c r="A63" s="285"/>
      <c r="B63" s="191"/>
      <c r="C63" s="286"/>
      <c r="D63" s="189"/>
      <c r="E63" s="201"/>
      <c r="F63" s="346"/>
      <c r="G63" s="342"/>
      <c r="H63" s="207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89.25" x14ac:dyDescent="0.2">
      <c r="A64" s="285" t="s">
        <v>1505</v>
      </c>
      <c r="B64" s="284">
        <v>341000000</v>
      </c>
      <c r="C64" s="282" t="s">
        <v>1884</v>
      </c>
      <c r="D64" s="283" t="s">
        <v>314</v>
      </c>
      <c r="E64" s="282">
        <v>1</v>
      </c>
      <c r="F64" s="347">
        <v>0</v>
      </c>
      <c r="G64" s="342">
        <f>E64*F64</f>
        <v>0</v>
      </c>
      <c r="H64" s="207" t="s">
        <v>1504</v>
      </c>
    </row>
    <row r="65" spans="1:8" ht="13.5" thickBot="1" x14ac:dyDescent="0.25">
      <c r="A65" s="281"/>
      <c r="B65" s="280"/>
      <c r="C65" s="279"/>
      <c r="D65" s="278"/>
      <c r="E65" s="277"/>
      <c r="F65" s="348"/>
      <c r="G65" s="349"/>
      <c r="H65" s="276"/>
    </row>
    <row r="66" spans="1:8" x14ac:dyDescent="0.2">
      <c r="A66" s="275"/>
      <c r="B66" s="256"/>
      <c r="C66" s="256"/>
      <c r="D66" s="256"/>
      <c r="E66" s="256"/>
      <c r="F66" s="350"/>
      <c r="G66" s="350"/>
      <c r="H66" s="274"/>
    </row>
    <row r="67" spans="1:8" x14ac:dyDescent="0.2">
      <c r="A67" s="273"/>
      <c r="B67" s="272" t="s">
        <v>1503</v>
      </c>
      <c r="C67" s="271"/>
      <c r="D67" s="271"/>
      <c r="E67" s="271"/>
      <c r="F67" s="351"/>
      <c r="G67" s="351">
        <f>SUM(G8:G66)</f>
        <v>0</v>
      </c>
      <c r="H67" s="270"/>
    </row>
    <row r="68" spans="1:8" ht="13.5" thickBot="1" x14ac:dyDescent="0.25">
      <c r="A68" s="269"/>
      <c r="B68" s="268"/>
      <c r="C68" s="268"/>
      <c r="D68" s="268"/>
      <c r="E68" s="268"/>
      <c r="F68" s="352"/>
      <c r="G68" s="352"/>
      <c r="H68" s="267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836F-93FC-4889-90D4-321BF90204A4}">
  <dimension ref="A1:V66"/>
  <sheetViews>
    <sheetView topLeftCell="A10" workbookViewId="0">
      <selection activeCell="F66" sqref="F66"/>
    </sheetView>
  </sheetViews>
  <sheetFormatPr defaultColWidth="9.33203125" defaultRowHeight="12.75" x14ac:dyDescent="0.2"/>
  <cols>
    <col min="1" max="1" width="6.33203125" style="167" customWidth="1"/>
    <col min="2" max="2" width="11.1640625" style="167" customWidth="1"/>
    <col min="3" max="3" width="50.1640625" style="167" customWidth="1"/>
    <col min="4" max="4" width="5.33203125" style="167" customWidth="1"/>
    <col min="5" max="5" width="7.83203125" style="167" customWidth="1"/>
    <col min="6" max="6" width="14.33203125" style="339" customWidth="1"/>
    <col min="7" max="7" width="16.5" style="339" customWidth="1"/>
    <col min="8" max="8" width="13.5" style="167" customWidth="1"/>
    <col min="9" max="10" width="9.33203125" style="167"/>
    <col min="11" max="11" width="9.33203125" style="433"/>
    <col min="12" max="14" width="9.33203125" style="167"/>
    <col min="15" max="15" width="9.33203125" style="434"/>
    <col min="16" max="16" width="9.33203125" style="435"/>
    <col min="17" max="18" width="9.33203125" style="167"/>
    <col min="19" max="19" width="26.83203125" style="167" customWidth="1"/>
    <col min="20" max="20" width="36.6640625" style="167" customWidth="1"/>
    <col min="21" max="16384" width="9.33203125" style="167"/>
  </cols>
  <sheetData>
    <row r="1" spans="1:22" x14ac:dyDescent="0.2">
      <c r="A1" s="167" t="s">
        <v>1502</v>
      </c>
      <c r="B1" s="167" t="s">
        <v>1501</v>
      </c>
    </row>
    <row r="2" spans="1:22" x14ac:dyDescent="0.2">
      <c r="A2" s="167" t="s">
        <v>1500</v>
      </c>
      <c r="B2" s="167" t="s">
        <v>1499</v>
      </c>
    </row>
    <row r="3" spans="1:22" x14ac:dyDescent="0.2">
      <c r="A3" s="167" t="s">
        <v>1498</v>
      </c>
      <c r="B3" s="167" t="s">
        <v>1497</v>
      </c>
    </row>
    <row r="4" spans="1:22" ht="13.5" thickBot="1" x14ac:dyDescent="0.25"/>
    <row r="5" spans="1:22" x14ac:dyDescent="0.2">
      <c r="A5" s="266"/>
      <c r="B5" s="264"/>
      <c r="C5" s="265"/>
      <c r="D5" s="264"/>
      <c r="E5" s="264"/>
      <c r="F5" s="672" t="s">
        <v>1566</v>
      </c>
      <c r="G5" s="673"/>
      <c r="H5" s="263"/>
    </row>
    <row r="6" spans="1:22" ht="12.6" customHeight="1" thickBot="1" x14ac:dyDescent="0.25">
      <c r="A6" s="306" t="s">
        <v>1495</v>
      </c>
      <c r="B6" s="305" t="s">
        <v>1494</v>
      </c>
      <c r="C6" s="260" t="s">
        <v>1493</v>
      </c>
      <c r="D6" s="304" t="s">
        <v>88</v>
      </c>
      <c r="E6" s="304" t="s">
        <v>1492</v>
      </c>
      <c r="F6" s="340" t="s">
        <v>1370</v>
      </c>
      <c r="G6" s="341" t="s">
        <v>1491</v>
      </c>
      <c r="H6" s="303" t="s">
        <v>91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2">
      <c r="A7" s="192"/>
      <c r="B7" s="231"/>
      <c r="C7" s="190"/>
      <c r="D7" s="214"/>
      <c r="E7" s="214"/>
      <c r="F7" s="342"/>
      <c r="G7" s="342"/>
      <c r="H7" s="207"/>
      <c r="K7"/>
      <c r="L7"/>
      <c r="M7"/>
      <c r="N7"/>
      <c r="O7"/>
      <c r="P7"/>
      <c r="Q7"/>
      <c r="R7"/>
      <c r="S7"/>
      <c r="T7"/>
      <c r="U7"/>
      <c r="V7"/>
    </row>
    <row r="8" spans="1:22" ht="51" x14ac:dyDescent="0.2">
      <c r="A8" s="192" t="s">
        <v>1565</v>
      </c>
      <c r="B8" s="231">
        <v>341110372</v>
      </c>
      <c r="C8" s="190" t="s">
        <v>1564</v>
      </c>
      <c r="D8" s="214" t="s">
        <v>106</v>
      </c>
      <c r="E8" s="214">
        <f>1960*0.82</f>
        <v>1607.1999999999998</v>
      </c>
      <c r="F8" s="342">
        <v>0</v>
      </c>
      <c r="G8" s="342">
        <f>E8*F8</f>
        <v>0</v>
      </c>
      <c r="H8" s="207" t="s">
        <v>1504</v>
      </c>
      <c r="K8"/>
      <c r="L8"/>
      <c r="M8"/>
      <c r="N8"/>
      <c r="O8"/>
      <c r="P8"/>
      <c r="Q8"/>
      <c r="R8"/>
      <c r="S8"/>
      <c r="T8"/>
      <c r="U8"/>
      <c r="V8"/>
    </row>
    <row r="9" spans="1:22" ht="51" x14ac:dyDescent="0.2">
      <c r="A9" s="192" t="s">
        <v>1563</v>
      </c>
      <c r="B9" s="231">
        <v>341110367</v>
      </c>
      <c r="C9" s="190" t="s">
        <v>1562</v>
      </c>
      <c r="D9" s="214" t="s">
        <v>106</v>
      </c>
      <c r="E9" s="214">
        <f>392*0.82</f>
        <v>321.44</v>
      </c>
      <c r="F9" s="342">
        <v>0</v>
      </c>
      <c r="G9" s="342">
        <f>E9*F9</f>
        <v>0</v>
      </c>
      <c r="H9" s="207" t="s">
        <v>1504</v>
      </c>
      <c r="K9"/>
      <c r="L9"/>
      <c r="M9"/>
      <c r="N9"/>
      <c r="O9"/>
      <c r="P9"/>
      <c r="Q9"/>
      <c r="R9"/>
      <c r="S9"/>
      <c r="T9"/>
      <c r="U9"/>
      <c r="V9"/>
    </row>
    <row r="10" spans="1:22" x14ac:dyDescent="0.2">
      <c r="A10" s="192"/>
      <c r="B10" s="231"/>
      <c r="C10" s="190"/>
      <c r="D10" s="214"/>
      <c r="E10" s="214"/>
      <c r="F10" s="342"/>
      <c r="G10" s="342"/>
      <c r="H10" s="207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">
      <c r="A11" s="234" t="s">
        <v>1485</v>
      </c>
      <c r="B11" s="239"/>
      <c r="C11" s="216"/>
      <c r="D11" s="214"/>
      <c r="E11" s="214"/>
      <c r="F11" s="342"/>
      <c r="G11" s="342"/>
      <c r="H11" s="238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2">
      <c r="A12" s="192"/>
      <c r="B12" s="239"/>
      <c r="C12" s="216"/>
      <c r="D12" s="214"/>
      <c r="E12" s="214"/>
      <c r="F12" s="342"/>
      <c r="G12" s="342"/>
      <c r="H12" s="238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">
      <c r="A13" s="192" t="s">
        <v>1561</v>
      </c>
      <c r="B13" s="231">
        <v>321026108</v>
      </c>
      <c r="C13" s="186" t="s">
        <v>1560</v>
      </c>
      <c r="D13" s="215" t="s">
        <v>314</v>
      </c>
      <c r="E13" s="214">
        <v>115</v>
      </c>
      <c r="F13" s="342">
        <v>0</v>
      </c>
      <c r="G13" s="342">
        <f>E13*F13</f>
        <v>0</v>
      </c>
      <c r="H13" s="207" t="s">
        <v>1504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">
      <c r="A14" s="192" t="s">
        <v>1559</v>
      </c>
      <c r="B14" s="231">
        <v>321026103</v>
      </c>
      <c r="C14" s="186" t="s">
        <v>1558</v>
      </c>
      <c r="D14" s="215" t="s">
        <v>314</v>
      </c>
      <c r="E14" s="214">
        <v>241</v>
      </c>
      <c r="F14" s="342">
        <v>0</v>
      </c>
      <c r="G14" s="342">
        <f>E14*F14</f>
        <v>0</v>
      </c>
      <c r="H14" s="207" t="s">
        <v>1504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">
      <c r="A15" s="192"/>
      <c r="B15" s="231"/>
      <c r="C15" s="186"/>
      <c r="D15" s="215"/>
      <c r="E15" s="214"/>
      <c r="F15" s="342"/>
      <c r="G15" s="342"/>
      <c r="H15" s="207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">
      <c r="A16" s="237" t="s">
        <v>1480</v>
      </c>
      <c r="B16" s="233"/>
      <c r="C16" s="216"/>
      <c r="D16" s="214"/>
      <c r="E16" s="214"/>
      <c r="F16" s="342"/>
      <c r="G16" s="342"/>
      <c r="H16" s="205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">
      <c r="A17" s="218"/>
      <c r="B17" s="233"/>
      <c r="C17" s="216"/>
      <c r="D17" s="214"/>
      <c r="E17" s="214"/>
      <c r="F17" s="342"/>
      <c r="G17" s="342"/>
      <c r="H17" s="205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">
      <c r="A18" s="218" t="s">
        <v>1557</v>
      </c>
      <c r="B18" s="302">
        <v>354411100</v>
      </c>
      <c r="C18" s="301" t="s">
        <v>1556</v>
      </c>
      <c r="D18" s="209" t="s">
        <v>106</v>
      </c>
      <c r="E18" s="214">
        <f>1960*0.82</f>
        <v>1607.1999999999998</v>
      </c>
      <c r="F18" s="342">
        <v>0</v>
      </c>
      <c r="G18" s="342">
        <f>E18*F18</f>
        <v>0</v>
      </c>
      <c r="H18" s="205" t="s">
        <v>1504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">
      <c r="A19" s="218" t="s">
        <v>1555</v>
      </c>
      <c r="B19" s="248">
        <v>354613112</v>
      </c>
      <c r="C19" s="187" t="s">
        <v>1554</v>
      </c>
      <c r="D19" s="209" t="s">
        <v>314</v>
      </c>
      <c r="E19" s="487">
        <v>81</v>
      </c>
      <c r="F19" s="342">
        <v>0</v>
      </c>
      <c r="G19" s="342">
        <f>E19*F19</f>
        <v>0</v>
      </c>
      <c r="H19" s="205" t="s">
        <v>1504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">
      <c r="A20" s="192"/>
      <c r="B20" s="231"/>
      <c r="C20" s="190"/>
      <c r="D20" s="214"/>
      <c r="E20" s="214"/>
      <c r="F20" s="342"/>
      <c r="G20" s="342"/>
      <c r="H20" s="207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">
      <c r="A21" s="237" t="s">
        <v>1475</v>
      </c>
      <c r="B21" s="214"/>
      <c r="C21" s="186"/>
      <c r="D21" s="215"/>
      <c r="E21" s="214"/>
      <c r="F21" s="342"/>
      <c r="G21" s="342"/>
      <c r="H21" s="207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">
      <c r="A22" s="218"/>
      <c r="B22" s="214"/>
      <c r="C22" s="186"/>
      <c r="D22" s="215"/>
      <c r="E22" s="214"/>
      <c r="F22" s="342"/>
      <c r="G22" s="342"/>
      <c r="H22" s="207"/>
      <c r="K22"/>
      <c r="L22"/>
      <c r="M22"/>
      <c r="N22"/>
      <c r="O22"/>
      <c r="P22"/>
      <c r="Q22"/>
      <c r="R22"/>
      <c r="S22"/>
      <c r="T22"/>
      <c r="U22"/>
      <c r="V22"/>
    </row>
    <row r="23" spans="1:22" ht="25.5" x14ac:dyDescent="0.2">
      <c r="A23" s="218" t="s">
        <v>1553</v>
      </c>
      <c r="B23" s="299">
        <v>348531314</v>
      </c>
      <c r="C23" s="300" t="s">
        <v>1552</v>
      </c>
      <c r="D23" s="187" t="s">
        <v>314</v>
      </c>
      <c r="E23" s="187">
        <v>14</v>
      </c>
      <c r="F23" s="342">
        <v>0</v>
      </c>
      <c r="G23" s="342">
        <f t="shared" ref="G23:G28" si="0">E23*F23</f>
        <v>0</v>
      </c>
      <c r="H23" s="207" t="s">
        <v>1504</v>
      </c>
      <c r="K23"/>
      <c r="L23"/>
      <c r="M23"/>
      <c r="N23"/>
      <c r="O23"/>
      <c r="P23"/>
      <c r="Q23"/>
      <c r="R23"/>
      <c r="S23"/>
      <c r="T23"/>
      <c r="U23"/>
      <c r="V23"/>
    </row>
    <row r="24" spans="1:22" ht="25.5" x14ac:dyDescent="0.2">
      <c r="A24" s="218" t="s">
        <v>1551</v>
      </c>
      <c r="B24" s="299">
        <v>348531313</v>
      </c>
      <c r="C24" s="300" t="s">
        <v>1550</v>
      </c>
      <c r="D24" s="187" t="s">
        <v>314</v>
      </c>
      <c r="E24" s="187">
        <v>8</v>
      </c>
      <c r="F24" s="342">
        <v>0</v>
      </c>
      <c r="G24" s="342">
        <f t="shared" si="0"/>
        <v>0</v>
      </c>
      <c r="H24" s="207" t="s">
        <v>1504</v>
      </c>
      <c r="K24"/>
      <c r="L24"/>
      <c r="M24"/>
      <c r="N24"/>
      <c r="O24"/>
      <c r="P24"/>
      <c r="Q24"/>
      <c r="R24"/>
      <c r="S24"/>
      <c r="T24"/>
      <c r="U24"/>
      <c r="V24"/>
    </row>
    <row r="25" spans="1:22" ht="25.5" x14ac:dyDescent="0.2">
      <c r="A25" s="218" t="s">
        <v>1549</v>
      </c>
      <c r="B25" s="299">
        <v>348531311</v>
      </c>
      <c r="C25" s="300" t="s">
        <v>1548</v>
      </c>
      <c r="D25" s="187" t="s">
        <v>314</v>
      </c>
      <c r="E25" s="187">
        <v>2</v>
      </c>
      <c r="F25" s="342">
        <v>0</v>
      </c>
      <c r="G25" s="342">
        <f t="shared" si="0"/>
        <v>0</v>
      </c>
      <c r="H25" s="207" t="s">
        <v>1504</v>
      </c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">
      <c r="A26" s="218" t="s">
        <v>1547</v>
      </c>
      <c r="B26" s="299">
        <v>348531326</v>
      </c>
      <c r="C26" s="300" t="s">
        <v>1546</v>
      </c>
      <c r="D26" s="187" t="s">
        <v>314</v>
      </c>
      <c r="E26" s="187">
        <v>25</v>
      </c>
      <c r="F26" s="342">
        <v>0</v>
      </c>
      <c r="G26" s="342">
        <f t="shared" si="0"/>
        <v>0</v>
      </c>
      <c r="H26" s="207" t="s">
        <v>1504</v>
      </c>
      <c r="K26"/>
      <c r="L26"/>
      <c r="M26"/>
      <c r="N26"/>
      <c r="O26"/>
      <c r="P26"/>
      <c r="Q26"/>
      <c r="R26"/>
      <c r="S26"/>
      <c r="T26"/>
      <c r="U26"/>
      <c r="V26"/>
    </row>
    <row r="27" spans="1:22" ht="25.5" x14ac:dyDescent="0.2">
      <c r="A27" s="218" t="s">
        <v>1545</v>
      </c>
      <c r="B27" s="299">
        <v>348531325</v>
      </c>
      <c r="C27" s="244" t="s">
        <v>1544</v>
      </c>
      <c r="D27" s="242" t="s">
        <v>314</v>
      </c>
      <c r="E27" s="187">
        <v>22</v>
      </c>
      <c r="F27" s="342">
        <v>0</v>
      </c>
      <c r="G27" s="342">
        <f t="shared" si="0"/>
        <v>0</v>
      </c>
      <c r="H27" s="207" t="s">
        <v>1504</v>
      </c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">
      <c r="A28" s="218" t="s">
        <v>1543</v>
      </c>
      <c r="B28" s="299">
        <v>348531323</v>
      </c>
      <c r="C28" s="244" t="s">
        <v>1542</v>
      </c>
      <c r="D28" s="242" t="s">
        <v>314</v>
      </c>
      <c r="E28" s="214">
        <v>2</v>
      </c>
      <c r="F28" s="342">
        <v>0</v>
      </c>
      <c r="G28" s="342">
        <f t="shared" si="0"/>
        <v>0</v>
      </c>
      <c r="H28" s="207" t="s">
        <v>1504</v>
      </c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">
      <c r="A29" s="192"/>
      <c r="B29" s="231"/>
      <c r="C29" s="190"/>
      <c r="D29" s="214"/>
      <c r="E29" s="214"/>
      <c r="F29" s="342"/>
      <c r="G29" s="342"/>
      <c r="H29" s="207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">
      <c r="A30" s="234" t="s">
        <v>1463</v>
      </c>
      <c r="B30" s="239"/>
      <c r="C30" s="216"/>
      <c r="D30" s="214"/>
      <c r="E30" s="214"/>
      <c r="F30" s="342"/>
      <c r="G30" s="342"/>
      <c r="H30" s="207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">
      <c r="A31" s="192"/>
      <c r="B31" s="239"/>
      <c r="C31" s="216"/>
      <c r="D31" s="214"/>
      <c r="E31" s="214"/>
      <c r="F31" s="342"/>
      <c r="G31" s="342"/>
      <c r="H31" s="207"/>
      <c r="K31"/>
      <c r="L31"/>
      <c r="M31"/>
      <c r="N31"/>
      <c r="O31"/>
      <c r="P31"/>
      <c r="Q31"/>
      <c r="R31"/>
      <c r="S31"/>
      <c r="T31"/>
      <c r="U31"/>
      <c r="V31"/>
    </row>
    <row r="32" spans="1:22" ht="25.5" x14ac:dyDescent="0.2">
      <c r="A32" s="192" t="s">
        <v>1541</v>
      </c>
      <c r="B32" s="245">
        <v>348531422</v>
      </c>
      <c r="C32" s="298" t="s">
        <v>1540</v>
      </c>
      <c r="D32" s="215" t="s">
        <v>314</v>
      </c>
      <c r="E32" s="214">
        <v>11</v>
      </c>
      <c r="F32" s="342">
        <v>0</v>
      </c>
      <c r="G32" s="342">
        <f>E32*F32</f>
        <v>0</v>
      </c>
      <c r="H32" s="207" t="s">
        <v>1504</v>
      </c>
      <c r="K32"/>
      <c r="L32"/>
      <c r="M32"/>
      <c r="N32"/>
      <c r="O32"/>
      <c r="P32"/>
      <c r="Q32"/>
      <c r="R32"/>
      <c r="S32"/>
      <c r="T32"/>
      <c r="U32"/>
      <c r="V32"/>
    </row>
    <row r="33" spans="1:22" ht="25.5" x14ac:dyDescent="0.2">
      <c r="A33" s="192" t="s">
        <v>1539</v>
      </c>
      <c r="B33" s="245">
        <v>348531403</v>
      </c>
      <c r="C33" s="298" t="s">
        <v>1538</v>
      </c>
      <c r="D33" s="215" t="s">
        <v>314</v>
      </c>
      <c r="E33" s="214">
        <v>7</v>
      </c>
      <c r="F33" s="342">
        <v>0</v>
      </c>
      <c r="G33" s="342">
        <f>E33*F33</f>
        <v>0</v>
      </c>
      <c r="H33" s="207" t="s">
        <v>1504</v>
      </c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">
      <c r="A34" s="192"/>
      <c r="B34" s="231"/>
      <c r="C34" s="190"/>
      <c r="D34" s="214"/>
      <c r="E34" s="214"/>
      <c r="F34" s="342"/>
      <c r="G34" s="342"/>
      <c r="H34" s="207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">
      <c r="A35" s="234" t="s">
        <v>1458</v>
      </c>
      <c r="B35" s="187"/>
      <c r="C35" s="193"/>
      <c r="D35" s="193"/>
      <c r="E35" s="187"/>
      <c r="F35" s="344"/>
      <c r="G35" s="342"/>
      <c r="H35" s="207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">
      <c r="A36" s="234"/>
      <c r="B36" s="187"/>
      <c r="C36" s="193"/>
      <c r="D36" s="193"/>
      <c r="E36" s="193"/>
      <c r="F36" s="344"/>
      <c r="G36" s="342"/>
      <c r="H36" s="207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">
      <c r="A37" s="192" t="s">
        <v>1535</v>
      </c>
      <c r="B37" s="198">
        <v>358218321</v>
      </c>
      <c r="C37" s="188" t="s">
        <v>1534</v>
      </c>
      <c r="D37" s="202" t="s">
        <v>314</v>
      </c>
      <c r="E37" s="488">
        <v>12</v>
      </c>
      <c r="F37" s="342">
        <v>0</v>
      </c>
      <c r="G37" s="342">
        <f>E37*F37</f>
        <v>0</v>
      </c>
      <c r="H37" s="207" t="s">
        <v>1504</v>
      </c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">
      <c r="A38" s="192" t="s">
        <v>1533</v>
      </c>
      <c r="B38" s="198">
        <v>358218321</v>
      </c>
      <c r="C38" s="188" t="s">
        <v>1532</v>
      </c>
      <c r="D38" s="202" t="s">
        <v>314</v>
      </c>
      <c r="E38" s="488">
        <v>11</v>
      </c>
      <c r="F38" s="342">
        <v>0</v>
      </c>
      <c r="G38" s="342">
        <f>E38*F38</f>
        <v>0</v>
      </c>
      <c r="H38" s="207" t="s">
        <v>1504</v>
      </c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2">
      <c r="A39" s="192" t="s">
        <v>1531</v>
      </c>
      <c r="B39" s="245">
        <v>358218004</v>
      </c>
      <c r="C39" s="297" t="s">
        <v>1530</v>
      </c>
      <c r="D39" s="196" t="s">
        <v>314</v>
      </c>
      <c r="E39" s="489">
        <v>36</v>
      </c>
      <c r="F39" s="342">
        <v>0</v>
      </c>
      <c r="G39" s="342">
        <f>E39*F39</f>
        <v>0</v>
      </c>
      <c r="H39" s="207" t="s">
        <v>1504</v>
      </c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2">
      <c r="A40" s="192"/>
      <c r="B40" s="231"/>
      <c r="C40" s="190"/>
      <c r="D40" s="214"/>
      <c r="E40" s="214"/>
      <c r="F40" s="342"/>
      <c r="G40" s="342"/>
      <c r="H40" s="207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">
      <c r="A41" s="237" t="s">
        <v>1451</v>
      </c>
      <c r="B41" s="214"/>
      <c r="C41" s="186"/>
      <c r="D41" s="215"/>
      <c r="E41" s="214"/>
      <c r="F41" s="342"/>
      <c r="G41" s="342"/>
      <c r="H41" s="207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">
      <c r="A42" s="218"/>
      <c r="B42" s="214"/>
      <c r="C42" s="186"/>
      <c r="D42" s="215"/>
      <c r="E42" s="214"/>
      <c r="F42" s="342"/>
      <c r="G42" s="342"/>
      <c r="H42" s="207"/>
      <c r="K42"/>
      <c r="L42"/>
      <c r="M42"/>
      <c r="N42"/>
      <c r="O42"/>
      <c r="P42"/>
      <c r="Q42"/>
      <c r="R42"/>
      <c r="S42"/>
      <c r="T42"/>
      <c r="U42"/>
      <c r="V42"/>
    </row>
    <row r="43" spans="1:22" ht="38.25" x14ac:dyDescent="0.2">
      <c r="A43" s="218" t="s">
        <v>1529</v>
      </c>
      <c r="B43" s="295">
        <v>10182828</v>
      </c>
      <c r="C43" s="282" t="s">
        <v>1528</v>
      </c>
      <c r="D43" s="215" t="s">
        <v>314</v>
      </c>
      <c r="E43" s="214">
        <v>4</v>
      </c>
      <c r="F43" s="342">
        <v>0</v>
      </c>
      <c r="G43" s="342">
        <f t="shared" ref="G43:G49" si="1">E43*F43</f>
        <v>0</v>
      </c>
      <c r="H43" s="207" t="s">
        <v>1504</v>
      </c>
      <c r="K43"/>
      <c r="L43"/>
      <c r="M43"/>
      <c r="N43"/>
      <c r="O43"/>
      <c r="P43"/>
      <c r="Q43"/>
      <c r="R43"/>
      <c r="S43"/>
      <c r="T43"/>
      <c r="U43"/>
      <c r="V43"/>
    </row>
    <row r="44" spans="1:22" x14ac:dyDescent="0.2">
      <c r="A44" s="218" t="s">
        <v>1527</v>
      </c>
      <c r="B44" s="295">
        <v>10182826</v>
      </c>
      <c r="C44" s="282" t="s">
        <v>1953</v>
      </c>
      <c r="D44" s="215" t="s">
        <v>314</v>
      </c>
      <c r="E44" s="214">
        <v>2</v>
      </c>
      <c r="F44" s="342">
        <v>0</v>
      </c>
      <c r="G44" s="342">
        <f t="shared" si="1"/>
        <v>0</v>
      </c>
      <c r="H44" s="207" t="s">
        <v>1504</v>
      </c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">
      <c r="A45" s="218" t="s">
        <v>1526</v>
      </c>
      <c r="B45" s="295">
        <v>10182826</v>
      </c>
      <c r="C45" s="296" t="s">
        <v>1949</v>
      </c>
      <c r="D45" s="215" t="s">
        <v>314</v>
      </c>
      <c r="E45" s="214">
        <v>11</v>
      </c>
      <c r="F45" s="342">
        <v>0</v>
      </c>
      <c r="G45" s="342">
        <f t="shared" si="1"/>
        <v>0</v>
      </c>
      <c r="H45" s="207" t="s">
        <v>1504</v>
      </c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">
      <c r="A46" s="218" t="s">
        <v>1525</v>
      </c>
      <c r="B46" s="295">
        <v>10182826</v>
      </c>
      <c r="C46" s="282" t="s">
        <v>1950</v>
      </c>
      <c r="D46" s="215" t="s">
        <v>314</v>
      </c>
      <c r="E46" s="214">
        <v>11</v>
      </c>
      <c r="F46" s="342">
        <v>0</v>
      </c>
      <c r="G46" s="342">
        <f t="shared" si="1"/>
        <v>0</v>
      </c>
      <c r="H46" s="207" t="s">
        <v>1504</v>
      </c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">
      <c r="A47" s="218" t="s">
        <v>1524</v>
      </c>
      <c r="B47" s="295">
        <v>10182826</v>
      </c>
      <c r="C47" s="282" t="s">
        <v>1951</v>
      </c>
      <c r="D47" s="215" t="s">
        <v>314</v>
      </c>
      <c r="E47" s="214">
        <v>8</v>
      </c>
      <c r="F47" s="342">
        <v>0</v>
      </c>
      <c r="G47" s="342">
        <f t="shared" si="1"/>
        <v>0</v>
      </c>
      <c r="H47" s="207" t="s">
        <v>1504</v>
      </c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">
      <c r="A48" s="218" t="s">
        <v>1523</v>
      </c>
      <c r="B48" s="295">
        <v>10182826</v>
      </c>
      <c r="C48" s="282" t="s">
        <v>1952</v>
      </c>
      <c r="D48" s="215" t="s">
        <v>314</v>
      </c>
      <c r="E48" s="214">
        <v>2</v>
      </c>
      <c r="F48" s="342">
        <v>0</v>
      </c>
      <c r="G48" s="342">
        <f t="shared" si="1"/>
        <v>0</v>
      </c>
      <c r="H48" s="207" t="s">
        <v>1504</v>
      </c>
      <c r="K48"/>
      <c r="L48"/>
      <c r="M48"/>
      <c r="N48"/>
      <c r="O48"/>
      <c r="P48"/>
      <c r="Q48"/>
      <c r="R48"/>
      <c r="S48"/>
      <c r="T48"/>
      <c r="U48"/>
      <c r="V48"/>
    </row>
    <row r="49" spans="1:22" ht="25.5" x14ac:dyDescent="0.2">
      <c r="A49" s="218" t="s">
        <v>1522</v>
      </c>
      <c r="B49" s="198" t="s">
        <v>1413</v>
      </c>
      <c r="C49" s="235" t="s">
        <v>1521</v>
      </c>
      <c r="D49" s="215" t="s">
        <v>314</v>
      </c>
      <c r="E49" s="214">
        <v>40</v>
      </c>
      <c r="F49" s="342">
        <v>0</v>
      </c>
      <c r="G49" s="342">
        <f t="shared" si="1"/>
        <v>0</v>
      </c>
      <c r="H49" s="207" t="s">
        <v>1504</v>
      </c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2">
      <c r="A50" s="218"/>
      <c r="B50" s="198"/>
      <c r="C50" s="235"/>
      <c r="D50" s="215"/>
      <c r="E50" s="214"/>
      <c r="F50" s="342"/>
      <c r="G50" s="342"/>
      <c r="H50" s="207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">
      <c r="A51" s="234" t="s">
        <v>1520</v>
      </c>
      <c r="B51" s="233"/>
      <c r="C51" s="216"/>
      <c r="D51" s="214"/>
      <c r="E51" s="214"/>
      <c r="F51" s="342"/>
      <c r="G51" s="342"/>
      <c r="H51" s="207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2">
      <c r="A52" s="218"/>
      <c r="B52" s="233"/>
      <c r="C52" s="216"/>
      <c r="D52" s="214"/>
      <c r="E52" s="214"/>
      <c r="F52" s="342"/>
      <c r="G52" s="342"/>
      <c r="H52" s="207"/>
      <c r="K52"/>
      <c r="L52"/>
      <c r="M52"/>
      <c r="N52"/>
      <c r="O52"/>
      <c r="P52"/>
      <c r="Q52"/>
      <c r="R52"/>
      <c r="S52"/>
      <c r="T52"/>
      <c r="U52"/>
      <c r="V52"/>
    </row>
    <row r="53" spans="1:22" ht="51" x14ac:dyDescent="0.2">
      <c r="A53" s="218" t="s">
        <v>1519</v>
      </c>
      <c r="B53" s="217">
        <v>283128217</v>
      </c>
      <c r="C53" s="223" t="s">
        <v>1518</v>
      </c>
      <c r="D53" s="214" t="s">
        <v>106</v>
      </c>
      <c r="E53" s="215">
        <f>60*0.82</f>
        <v>49.199999999999996</v>
      </c>
      <c r="F53" s="342">
        <v>0</v>
      </c>
      <c r="G53" s="342">
        <f t="shared" ref="G53:G58" si="2">E53*F53</f>
        <v>0</v>
      </c>
      <c r="H53" s="207" t="s">
        <v>1504</v>
      </c>
      <c r="K53"/>
      <c r="L53"/>
      <c r="M53"/>
      <c r="N53"/>
      <c r="O53"/>
      <c r="P53"/>
      <c r="Q53"/>
      <c r="R53"/>
      <c r="S53"/>
      <c r="T53"/>
      <c r="U53"/>
      <c r="V53"/>
    </row>
    <row r="54" spans="1:22" ht="51" x14ac:dyDescent="0.2">
      <c r="A54" s="218" t="s">
        <v>1517</v>
      </c>
      <c r="B54" s="217">
        <v>283128220</v>
      </c>
      <c r="C54" s="201" t="s">
        <v>1516</v>
      </c>
      <c r="D54" s="209" t="s">
        <v>106</v>
      </c>
      <c r="E54" s="487">
        <f>1960*0.82</f>
        <v>1607.1999999999998</v>
      </c>
      <c r="F54" s="342">
        <v>0</v>
      </c>
      <c r="G54" s="342">
        <f t="shared" si="2"/>
        <v>0</v>
      </c>
      <c r="H54" s="207" t="s">
        <v>1504</v>
      </c>
      <c r="K54"/>
      <c r="L54"/>
      <c r="M54"/>
      <c r="N54"/>
      <c r="O54"/>
      <c r="P54"/>
      <c r="Q54"/>
      <c r="R54"/>
      <c r="S54"/>
      <c r="T54"/>
      <c r="U54"/>
      <c r="V54"/>
    </row>
    <row r="55" spans="1:22" x14ac:dyDescent="0.2">
      <c r="A55" s="218" t="s">
        <v>1515</v>
      </c>
      <c r="B55" s="294">
        <v>283164112</v>
      </c>
      <c r="C55" s="187" t="s">
        <v>1514</v>
      </c>
      <c r="D55" s="209" t="s">
        <v>314</v>
      </c>
      <c r="E55" s="487">
        <v>1567</v>
      </c>
      <c r="F55" s="342">
        <v>0</v>
      </c>
      <c r="G55" s="342">
        <f t="shared" si="2"/>
        <v>0</v>
      </c>
      <c r="H55" s="207" t="s">
        <v>1504</v>
      </c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2">
      <c r="A56" s="218" t="s">
        <v>1511</v>
      </c>
      <c r="B56" s="233">
        <v>235111000</v>
      </c>
      <c r="C56" s="188" t="s">
        <v>1510</v>
      </c>
      <c r="D56" s="196" t="s">
        <v>130</v>
      </c>
      <c r="E56" s="195">
        <f>7.5*0.82</f>
        <v>6.1499999999999995</v>
      </c>
      <c r="F56" s="342">
        <v>0</v>
      </c>
      <c r="G56" s="342">
        <f t="shared" si="2"/>
        <v>0</v>
      </c>
      <c r="H56" s="207" t="s">
        <v>1504</v>
      </c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2">
      <c r="A57" s="218" t="s">
        <v>1509</v>
      </c>
      <c r="B57" s="248">
        <v>348444171</v>
      </c>
      <c r="C57" s="293" t="s">
        <v>1508</v>
      </c>
      <c r="D57" s="292" t="s">
        <v>1077</v>
      </c>
      <c r="E57" s="291">
        <f>4.9*0.82</f>
        <v>4.0179999999999998</v>
      </c>
      <c r="F57" s="342">
        <v>0</v>
      </c>
      <c r="G57" s="342">
        <f t="shared" si="2"/>
        <v>0</v>
      </c>
      <c r="H57" s="207" t="s">
        <v>1504</v>
      </c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2">
      <c r="A58" s="218" t="s">
        <v>1507</v>
      </c>
      <c r="B58" s="217">
        <v>812121021</v>
      </c>
      <c r="C58" s="210" t="s">
        <v>1506</v>
      </c>
      <c r="D58" s="209" t="s">
        <v>130</v>
      </c>
      <c r="E58" s="208">
        <f>191*0.82</f>
        <v>156.62</v>
      </c>
      <c r="F58" s="342">
        <v>0</v>
      </c>
      <c r="G58" s="342">
        <f t="shared" si="2"/>
        <v>0</v>
      </c>
      <c r="H58" s="207" t="s">
        <v>1504</v>
      </c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2">
      <c r="A59" s="218"/>
      <c r="B59" s="198"/>
      <c r="C59" s="235"/>
      <c r="D59" s="215"/>
      <c r="E59" s="214"/>
      <c r="F59" s="342"/>
      <c r="G59" s="342"/>
      <c r="H59" s="207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2">
      <c r="A60" s="290" t="s">
        <v>1402</v>
      </c>
      <c r="B60" s="289"/>
      <c r="C60" s="288"/>
      <c r="D60" s="287"/>
      <c r="E60" s="201"/>
      <c r="F60" s="346"/>
      <c r="G60" s="342"/>
      <c r="H60" s="207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2">
      <c r="A61" s="285"/>
      <c r="B61" s="191"/>
      <c r="C61" s="286"/>
      <c r="D61" s="189"/>
      <c r="E61" s="201"/>
      <c r="F61" s="346"/>
      <c r="G61" s="342"/>
      <c r="H61" s="207"/>
      <c r="K61"/>
      <c r="L61"/>
      <c r="M61"/>
      <c r="N61"/>
      <c r="O61"/>
      <c r="P61"/>
      <c r="Q61"/>
      <c r="R61"/>
      <c r="S61"/>
      <c r="T61"/>
      <c r="U61"/>
      <c r="V61"/>
    </row>
    <row r="62" spans="1:22" ht="89.25" x14ac:dyDescent="0.2">
      <c r="A62" s="285" t="s">
        <v>1505</v>
      </c>
      <c r="B62" s="284">
        <v>341000000</v>
      </c>
      <c r="C62" s="282" t="s">
        <v>1883</v>
      </c>
      <c r="D62" s="283" t="s">
        <v>314</v>
      </c>
      <c r="E62" s="282">
        <v>1</v>
      </c>
      <c r="F62" s="347">
        <v>0</v>
      </c>
      <c r="G62" s="342">
        <f>E62*F62</f>
        <v>0</v>
      </c>
      <c r="H62" s="207" t="s">
        <v>1504</v>
      </c>
      <c r="K62"/>
      <c r="L62"/>
      <c r="M62"/>
      <c r="N62"/>
      <c r="O62"/>
      <c r="P62"/>
      <c r="Q62"/>
      <c r="R62"/>
      <c r="S62"/>
      <c r="T62"/>
      <c r="U62"/>
      <c r="V62"/>
    </row>
    <row r="63" spans="1:22" ht="13.5" thickBot="1" x14ac:dyDescent="0.25">
      <c r="A63" s="281"/>
      <c r="B63" s="280"/>
      <c r="C63" s="279"/>
      <c r="D63" s="278"/>
      <c r="E63" s="277"/>
      <c r="F63" s="348"/>
      <c r="G63" s="349"/>
      <c r="H63" s="276"/>
    </row>
    <row r="64" spans="1:22" x14ac:dyDescent="0.2">
      <c r="A64" s="275"/>
      <c r="B64" s="256"/>
      <c r="C64" s="256"/>
      <c r="D64" s="256"/>
      <c r="E64" s="256"/>
      <c r="F64" s="350"/>
      <c r="G64" s="350"/>
      <c r="H64" s="274"/>
    </row>
    <row r="65" spans="1:8" x14ac:dyDescent="0.2">
      <c r="A65" s="273"/>
      <c r="B65" s="272" t="s">
        <v>1503</v>
      </c>
      <c r="C65" s="271"/>
      <c r="D65" s="271"/>
      <c r="E65" s="271"/>
      <c r="F65" s="351"/>
      <c r="G65" s="351">
        <f>SUM(G8:G64)</f>
        <v>0</v>
      </c>
      <c r="H65" s="270"/>
    </row>
    <row r="66" spans="1:8" ht="13.5" thickBot="1" x14ac:dyDescent="0.25">
      <c r="A66" s="269"/>
      <c r="B66" s="268"/>
      <c r="C66" s="268"/>
      <c r="D66" s="268"/>
      <c r="E66" s="268"/>
      <c r="F66" s="352"/>
      <c r="G66" s="352"/>
      <c r="H66" s="267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441F-6DAC-4F9F-B647-C338F19DC7C4}">
  <dimension ref="A1:W81"/>
  <sheetViews>
    <sheetView topLeftCell="A64" workbookViewId="0">
      <selection activeCell="C10" sqref="C10"/>
    </sheetView>
  </sheetViews>
  <sheetFormatPr defaultColWidth="9.33203125" defaultRowHeight="12.75" x14ac:dyDescent="0.2"/>
  <cols>
    <col min="1" max="1" width="6.83203125" style="167" customWidth="1"/>
    <col min="2" max="2" width="12.5" style="167" customWidth="1"/>
    <col min="3" max="3" width="42.5" style="167" customWidth="1"/>
    <col min="4" max="4" width="6.83203125" style="167" customWidth="1"/>
    <col min="5" max="5" width="8.5" style="167" customWidth="1"/>
    <col min="6" max="6" width="15.33203125" style="339" customWidth="1"/>
    <col min="7" max="7" width="19" style="339" customWidth="1"/>
    <col min="8" max="8" width="15" style="167" customWidth="1"/>
    <col min="9" max="12" width="9.33203125" style="167"/>
    <col min="17" max="17" width="9.33203125" style="435"/>
    <col min="18" max="18" width="9.33203125" style="434"/>
    <col min="19" max="16384" width="9.33203125" style="167"/>
  </cols>
  <sheetData>
    <row r="1" spans="1:23" x14ac:dyDescent="0.2">
      <c r="A1" s="167" t="s">
        <v>1502</v>
      </c>
      <c r="B1" s="167" t="s">
        <v>1501</v>
      </c>
    </row>
    <row r="2" spans="1:23" x14ac:dyDescent="0.2">
      <c r="A2" s="167" t="s">
        <v>1500</v>
      </c>
      <c r="B2" s="167" t="s">
        <v>1499</v>
      </c>
    </row>
    <row r="3" spans="1:23" x14ac:dyDescent="0.2">
      <c r="A3" s="167" t="s">
        <v>1498</v>
      </c>
      <c r="B3" s="167" t="s">
        <v>1497</v>
      </c>
    </row>
    <row r="4" spans="1:23" ht="13.5" thickBot="1" x14ac:dyDescent="0.25"/>
    <row r="5" spans="1:23" x14ac:dyDescent="0.2">
      <c r="A5" s="266"/>
      <c r="B5" s="264"/>
      <c r="C5" s="265"/>
      <c r="D5" s="264"/>
      <c r="E5" s="264"/>
      <c r="F5" s="672" t="s">
        <v>1496</v>
      </c>
      <c r="G5" s="673"/>
      <c r="H5" s="263"/>
    </row>
    <row r="6" spans="1:23" ht="12" customHeight="1" thickBot="1" x14ac:dyDescent="0.25">
      <c r="A6" s="262" t="s">
        <v>1495</v>
      </c>
      <c r="B6" s="261" t="s">
        <v>1494</v>
      </c>
      <c r="C6" s="260" t="s">
        <v>1493</v>
      </c>
      <c r="D6" s="259" t="s">
        <v>88</v>
      </c>
      <c r="E6" s="259" t="s">
        <v>1492</v>
      </c>
      <c r="F6" s="353" t="s">
        <v>1370</v>
      </c>
      <c r="G6" s="341" t="s">
        <v>1491</v>
      </c>
      <c r="H6" s="258" t="s">
        <v>91</v>
      </c>
    </row>
    <row r="7" spans="1:23" x14ac:dyDescent="0.2">
      <c r="A7" s="257"/>
      <c r="B7" s="255"/>
      <c r="C7" s="256"/>
      <c r="D7" s="255"/>
      <c r="E7" s="255"/>
      <c r="F7" s="354"/>
      <c r="G7" s="355"/>
      <c r="H7" s="254"/>
    </row>
    <row r="8" spans="1:23" x14ac:dyDescent="0.2">
      <c r="A8" s="234" t="s">
        <v>1490</v>
      </c>
      <c r="B8" s="233"/>
      <c r="C8" s="216"/>
      <c r="D8" s="214"/>
      <c r="E8" s="214"/>
      <c r="F8" s="342"/>
      <c r="G8" s="356"/>
      <c r="H8" s="253"/>
    </row>
    <row r="9" spans="1:23" x14ac:dyDescent="0.2">
      <c r="A9" s="192"/>
      <c r="B9" s="239"/>
      <c r="C9" s="216"/>
      <c r="D9" s="214"/>
      <c r="E9" s="214"/>
      <c r="F9" s="342"/>
      <c r="G9" s="356"/>
      <c r="H9" s="238"/>
    </row>
    <row r="10" spans="1:23" ht="51" x14ac:dyDescent="0.2">
      <c r="A10" s="192" t="s">
        <v>1489</v>
      </c>
      <c r="B10" s="250">
        <v>741122623</v>
      </c>
      <c r="C10" s="210" t="s">
        <v>1488</v>
      </c>
      <c r="D10" s="219" t="s">
        <v>106</v>
      </c>
      <c r="E10" s="214">
        <f>1960*0.18</f>
        <v>352.8</v>
      </c>
      <c r="F10" s="357">
        <v>0</v>
      </c>
      <c r="G10" s="357">
        <f>E10*F10</f>
        <v>0</v>
      </c>
      <c r="H10" s="185" t="s">
        <v>107</v>
      </c>
    </row>
    <row r="11" spans="1:23" ht="51" x14ac:dyDescent="0.2">
      <c r="A11" s="192" t="s">
        <v>1487</v>
      </c>
      <c r="B11" s="250">
        <v>741122611</v>
      </c>
      <c r="C11" s="197" t="s">
        <v>1486</v>
      </c>
      <c r="D11" s="210" t="s">
        <v>106</v>
      </c>
      <c r="E11" s="214">
        <f>392*0.18</f>
        <v>70.56</v>
      </c>
      <c r="F11" s="357">
        <v>0</v>
      </c>
      <c r="G11" s="357">
        <f>E11*F11</f>
        <v>0</v>
      </c>
      <c r="H11" s="194" t="s">
        <v>107</v>
      </c>
    </row>
    <row r="12" spans="1:23" x14ac:dyDescent="0.2">
      <c r="A12" s="192"/>
      <c r="B12" s="239"/>
      <c r="C12" s="216"/>
      <c r="D12" s="214"/>
      <c r="E12" s="214"/>
      <c r="F12" s="342"/>
      <c r="G12" s="357"/>
      <c r="H12" s="207"/>
      <c r="K12"/>
      <c r="L12"/>
      <c r="Q12"/>
      <c r="R12"/>
      <c r="S12"/>
      <c r="T12"/>
      <c r="U12"/>
      <c r="V12"/>
      <c r="W12"/>
    </row>
    <row r="13" spans="1:23" x14ac:dyDescent="0.2">
      <c r="A13" s="234" t="s">
        <v>1485</v>
      </c>
      <c r="B13" s="239"/>
      <c r="C13" s="216"/>
      <c r="D13" s="214"/>
      <c r="E13" s="214"/>
      <c r="F13" s="342"/>
      <c r="G13" s="357"/>
      <c r="H13" s="238"/>
      <c r="K13"/>
      <c r="L13"/>
      <c r="Q13"/>
      <c r="R13"/>
      <c r="S13"/>
      <c r="T13"/>
      <c r="U13"/>
      <c r="V13"/>
      <c r="W13"/>
    </row>
    <row r="14" spans="1:23" x14ac:dyDescent="0.2">
      <c r="A14" s="192"/>
      <c r="B14" s="239"/>
      <c r="C14" s="216"/>
      <c r="D14" s="214"/>
      <c r="E14" s="214"/>
      <c r="F14" s="342"/>
      <c r="G14" s="357"/>
      <c r="H14" s="238"/>
      <c r="K14"/>
      <c r="L14"/>
      <c r="Q14"/>
      <c r="R14"/>
      <c r="S14"/>
      <c r="T14"/>
      <c r="U14"/>
      <c r="V14"/>
      <c r="W14"/>
    </row>
    <row r="15" spans="1:23" ht="38.25" x14ac:dyDescent="0.2">
      <c r="A15" s="192" t="s">
        <v>1484</v>
      </c>
      <c r="B15" s="250">
        <v>741132132</v>
      </c>
      <c r="C15" s="230" t="s">
        <v>1483</v>
      </c>
      <c r="D15" s="215" t="s">
        <v>314</v>
      </c>
      <c r="E15" s="214">
        <v>13</v>
      </c>
      <c r="F15" s="357">
        <v>0</v>
      </c>
      <c r="G15" s="357">
        <f>E15*F15</f>
        <v>0</v>
      </c>
      <c r="H15" s="185" t="s">
        <v>107</v>
      </c>
      <c r="K15"/>
      <c r="L15"/>
      <c r="Q15"/>
      <c r="R15"/>
      <c r="S15"/>
      <c r="T15"/>
      <c r="U15"/>
      <c r="V15"/>
      <c r="W15"/>
    </row>
    <row r="16" spans="1:23" ht="38.25" x14ac:dyDescent="0.2">
      <c r="A16" s="192" t="s">
        <v>1482</v>
      </c>
      <c r="B16" s="250">
        <v>741132103</v>
      </c>
      <c r="C16" s="230" t="s">
        <v>1481</v>
      </c>
      <c r="D16" s="215" t="s">
        <v>314</v>
      </c>
      <c r="E16" s="214">
        <v>18</v>
      </c>
      <c r="F16" s="357">
        <v>0</v>
      </c>
      <c r="G16" s="357">
        <f>E16*F16</f>
        <v>0</v>
      </c>
      <c r="H16" s="185" t="s">
        <v>107</v>
      </c>
      <c r="K16"/>
      <c r="L16"/>
      <c r="Q16"/>
      <c r="R16"/>
      <c r="S16"/>
      <c r="T16"/>
      <c r="U16"/>
      <c r="V16"/>
      <c r="W16"/>
    </row>
    <row r="17" spans="1:23" x14ac:dyDescent="0.2">
      <c r="A17" s="192"/>
      <c r="B17" s="231"/>
      <c r="C17" s="186"/>
      <c r="D17" s="215"/>
      <c r="E17" s="214"/>
      <c r="F17" s="342"/>
      <c r="G17" s="357"/>
      <c r="H17" s="207"/>
      <c r="K17"/>
      <c r="L17"/>
      <c r="Q17"/>
      <c r="R17"/>
      <c r="S17"/>
      <c r="T17"/>
      <c r="U17"/>
      <c r="V17"/>
      <c r="W17"/>
    </row>
    <row r="18" spans="1:23" x14ac:dyDescent="0.2">
      <c r="A18" s="237" t="s">
        <v>1480</v>
      </c>
      <c r="B18" s="233"/>
      <c r="C18" s="216"/>
      <c r="D18" s="214"/>
      <c r="E18" s="214"/>
      <c r="F18" s="342"/>
      <c r="G18" s="357"/>
      <c r="H18" s="205"/>
      <c r="K18"/>
      <c r="L18"/>
      <c r="Q18"/>
      <c r="R18"/>
      <c r="S18"/>
      <c r="T18"/>
      <c r="U18"/>
      <c r="V18"/>
      <c r="W18"/>
    </row>
    <row r="19" spans="1:23" x14ac:dyDescent="0.2">
      <c r="A19" s="218"/>
      <c r="B19" s="233"/>
      <c r="C19" s="216"/>
      <c r="D19" s="214"/>
      <c r="E19" s="214"/>
      <c r="F19" s="342"/>
      <c r="G19" s="357"/>
      <c r="H19" s="205"/>
      <c r="K19"/>
      <c r="L19"/>
      <c r="Q19"/>
      <c r="R19"/>
      <c r="S19"/>
      <c r="T19"/>
      <c r="U19"/>
      <c r="V19"/>
      <c r="W19"/>
    </row>
    <row r="20" spans="1:23" ht="25.5" x14ac:dyDescent="0.2">
      <c r="A20" s="218" t="s">
        <v>1479</v>
      </c>
      <c r="B20" s="252">
        <v>741420022</v>
      </c>
      <c r="C20" s="251" t="s">
        <v>1478</v>
      </c>
      <c r="D20" s="209" t="s">
        <v>314</v>
      </c>
      <c r="E20" s="214">
        <v>353</v>
      </c>
      <c r="F20" s="357">
        <v>0</v>
      </c>
      <c r="G20" s="357">
        <f>E20*F20</f>
        <v>0</v>
      </c>
      <c r="H20" s="185" t="s">
        <v>107</v>
      </c>
      <c r="K20"/>
      <c r="L20"/>
      <c r="Q20"/>
      <c r="R20"/>
      <c r="S20"/>
      <c r="T20"/>
      <c r="U20"/>
      <c r="V20"/>
      <c r="W20"/>
    </row>
    <row r="21" spans="1:23" ht="63.75" x14ac:dyDescent="0.2">
      <c r="A21" s="218" t="s">
        <v>1477</v>
      </c>
      <c r="B21" s="250">
        <v>741410041</v>
      </c>
      <c r="C21" s="249" t="s">
        <v>1476</v>
      </c>
      <c r="D21" s="209" t="s">
        <v>106</v>
      </c>
      <c r="E21" s="487">
        <f>70*0.18</f>
        <v>12.6</v>
      </c>
      <c r="F21" s="357">
        <v>0</v>
      </c>
      <c r="G21" s="357">
        <f>E21*F21</f>
        <v>0</v>
      </c>
      <c r="H21" s="194" t="s">
        <v>107</v>
      </c>
      <c r="K21"/>
      <c r="L21"/>
      <c r="Q21"/>
      <c r="R21"/>
      <c r="S21"/>
      <c r="T21"/>
      <c r="U21"/>
      <c r="V21"/>
      <c r="W21"/>
    </row>
    <row r="22" spans="1:23" x14ac:dyDescent="0.2">
      <c r="A22" s="218"/>
      <c r="B22" s="248"/>
      <c r="C22" s="187"/>
      <c r="D22" s="247"/>
      <c r="E22" s="214"/>
      <c r="F22" s="342"/>
      <c r="G22" s="357"/>
      <c r="H22" s="205"/>
      <c r="K22"/>
      <c r="L22"/>
      <c r="Q22"/>
      <c r="R22"/>
      <c r="S22"/>
      <c r="T22"/>
      <c r="U22"/>
      <c r="V22"/>
      <c r="W22"/>
    </row>
    <row r="23" spans="1:23" x14ac:dyDescent="0.2">
      <c r="A23" s="237" t="s">
        <v>1475</v>
      </c>
      <c r="B23" s="214"/>
      <c r="C23" s="186"/>
      <c r="D23" s="215"/>
      <c r="E23" s="214"/>
      <c r="F23" s="342"/>
      <c r="G23" s="357"/>
      <c r="H23" s="207"/>
      <c r="K23"/>
      <c r="L23"/>
      <c r="Q23"/>
      <c r="R23"/>
      <c r="S23"/>
      <c r="T23"/>
      <c r="U23"/>
      <c r="V23"/>
      <c r="W23"/>
    </row>
    <row r="24" spans="1:23" x14ac:dyDescent="0.2">
      <c r="A24" s="218"/>
      <c r="B24" s="214"/>
      <c r="C24" s="186"/>
      <c r="D24" s="215"/>
      <c r="E24" s="214"/>
      <c r="F24" s="342"/>
      <c r="G24" s="357"/>
      <c r="H24" s="207"/>
      <c r="K24"/>
      <c r="L24"/>
      <c r="Q24"/>
      <c r="R24"/>
      <c r="S24"/>
      <c r="T24"/>
      <c r="U24"/>
      <c r="V24"/>
      <c r="W24"/>
    </row>
    <row r="25" spans="1:23" ht="25.5" x14ac:dyDescent="0.2">
      <c r="A25" s="218" t="s">
        <v>1474</v>
      </c>
      <c r="B25" s="233">
        <v>210204011</v>
      </c>
      <c r="C25" s="210" t="s">
        <v>1473</v>
      </c>
      <c r="D25" s="187" t="s">
        <v>314</v>
      </c>
      <c r="E25" s="187">
        <v>5</v>
      </c>
      <c r="F25" s="357">
        <v>0</v>
      </c>
      <c r="G25" s="357">
        <f>E25*F25</f>
        <v>0</v>
      </c>
      <c r="H25" s="185" t="s">
        <v>107</v>
      </c>
      <c r="K25"/>
      <c r="L25"/>
      <c r="Q25"/>
      <c r="R25"/>
      <c r="S25"/>
      <c r="T25"/>
      <c r="U25"/>
      <c r="V25"/>
      <c r="W25"/>
    </row>
    <row r="26" spans="1:23" x14ac:dyDescent="0.2">
      <c r="A26" s="218" t="s">
        <v>1472</v>
      </c>
      <c r="B26" s="233" t="s">
        <v>1471</v>
      </c>
      <c r="C26" s="246" t="s">
        <v>1470</v>
      </c>
      <c r="D26" s="187" t="s">
        <v>1381</v>
      </c>
      <c r="E26" s="187">
        <f>15*0.18</f>
        <v>2.6999999999999997</v>
      </c>
      <c r="F26" s="357">
        <v>0</v>
      </c>
      <c r="G26" s="357">
        <f>E26*F26</f>
        <v>0</v>
      </c>
      <c r="H26" s="207" t="s">
        <v>1380</v>
      </c>
      <c r="K26"/>
      <c r="L26"/>
      <c r="Q26"/>
      <c r="R26"/>
      <c r="S26"/>
      <c r="T26"/>
      <c r="U26"/>
      <c r="V26"/>
      <c r="W26"/>
    </row>
    <row r="27" spans="1:23" ht="25.5" x14ac:dyDescent="0.2">
      <c r="A27" s="218" t="s">
        <v>1469</v>
      </c>
      <c r="B27" s="233" t="s">
        <v>1468</v>
      </c>
      <c r="C27" s="244" t="s">
        <v>1467</v>
      </c>
      <c r="D27" s="193" t="s">
        <v>1381</v>
      </c>
      <c r="E27" s="187">
        <f>33*0.18</f>
        <v>5.9399999999999995</v>
      </c>
      <c r="F27" s="357">
        <v>0</v>
      </c>
      <c r="G27" s="357">
        <f>E27*F27</f>
        <v>0</v>
      </c>
      <c r="H27" s="207" t="s">
        <v>1380</v>
      </c>
      <c r="K27"/>
      <c r="L27"/>
      <c r="Q27"/>
      <c r="R27"/>
      <c r="S27"/>
      <c r="T27"/>
      <c r="U27"/>
      <c r="V27"/>
      <c r="W27"/>
    </row>
    <row r="28" spans="1:23" ht="38.25" x14ac:dyDescent="0.2">
      <c r="A28" s="218" t="s">
        <v>1466</v>
      </c>
      <c r="B28" s="233" t="s">
        <v>1465</v>
      </c>
      <c r="C28" s="244" t="s">
        <v>1464</v>
      </c>
      <c r="D28" s="193" t="s">
        <v>1381</v>
      </c>
      <c r="E28" s="187">
        <f>10*0.18</f>
        <v>1.7999999999999998</v>
      </c>
      <c r="F28" s="357">
        <v>0</v>
      </c>
      <c r="G28" s="357">
        <f>E28*F28</f>
        <v>0</v>
      </c>
      <c r="H28" s="207" t="s">
        <v>1380</v>
      </c>
      <c r="K28"/>
      <c r="L28"/>
      <c r="Q28"/>
      <c r="R28"/>
      <c r="S28"/>
      <c r="T28"/>
      <c r="U28"/>
      <c r="V28"/>
      <c r="W28"/>
    </row>
    <row r="29" spans="1:23" x14ac:dyDescent="0.2">
      <c r="A29" s="218"/>
      <c r="B29" s="245"/>
      <c r="C29" s="244"/>
      <c r="D29" s="242"/>
      <c r="E29" s="187"/>
      <c r="F29" s="345"/>
      <c r="G29" s="357"/>
      <c r="H29" s="207"/>
      <c r="K29"/>
      <c r="L29"/>
      <c r="Q29"/>
      <c r="R29"/>
      <c r="S29"/>
      <c r="T29"/>
      <c r="U29"/>
      <c r="V29"/>
      <c r="W29"/>
    </row>
    <row r="30" spans="1:23" x14ac:dyDescent="0.2">
      <c r="A30" s="234" t="s">
        <v>1463</v>
      </c>
      <c r="B30" s="239"/>
      <c r="C30" s="186"/>
      <c r="D30" s="215"/>
      <c r="E30" s="214"/>
      <c r="F30" s="342"/>
      <c r="G30" s="357"/>
      <c r="H30" s="207"/>
      <c r="K30"/>
      <c r="L30"/>
      <c r="Q30"/>
      <c r="R30"/>
      <c r="S30"/>
      <c r="T30"/>
      <c r="U30"/>
      <c r="V30"/>
      <c r="W30"/>
    </row>
    <row r="31" spans="1:23" x14ac:dyDescent="0.2">
      <c r="A31" s="192"/>
      <c r="B31" s="239"/>
      <c r="C31" s="219"/>
      <c r="D31" s="215"/>
      <c r="E31" s="214"/>
      <c r="F31" s="342"/>
      <c r="G31" s="357"/>
      <c r="H31" s="207"/>
      <c r="K31"/>
      <c r="L31"/>
      <c r="Q31"/>
      <c r="R31"/>
      <c r="S31"/>
      <c r="T31"/>
      <c r="U31"/>
      <c r="V31"/>
      <c r="W31"/>
    </row>
    <row r="32" spans="1:23" ht="38.25" x14ac:dyDescent="0.2">
      <c r="A32" s="192" t="s">
        <v>1462</v>
      </c>
      <c r="B32" s="236">
        <v>210204105</v>
      </c>
      <c r="C32" s="200" t="s">
        <v>1461</v>
      </c>
      <c r="D32" s="215" t="s">
        <v>314</v>
      </c>
      <c r="E32" s="214">
        <v>3</v>
      </c>
      <c r="F32" s="357">
        <v>0</v>
      </c>
      <c r="G32" s="357">
        <f>E32*F32</f>
        <v>0</v>
      </c>
      <c r="H32" s="238" t="s">
        <v>107</v>
      </c>
      <c r="K32"/>
      <c r="L32"/>
      <c r="Q32"/>
      <c r="R32"/>
      <c r="S32"/>
      <c r="T32"/>
      <c r="U32"/>
      <c r="V32"/>
      <c r="W32"/>
    </row>
    <row r="33" spans="1:23" ht="38.25" x14ac:dyDescent="0.2">
      <c r="A33" s="192" t="s">
        <v>1460</v>
      </c>
      <c r="B33" s="236">
        <v>210204104</v>
      </c>
      <c r="C33" s="200" t="s">
        <v>1459</v>
      </c>
      <c r="D33" s="215" t="s">
        <v>314</v>
      </c>
      <c r="E33" s="493">
        <v>2</v>
      </c>
      <c r="F33" s="357">
        <v>0</v>
      </c>
      <c r="G33" s="357">
        <f>E33*F33</f>
        <v>0</v>
      </c>
      <c r="H33" s="238" t="s">
        <v>107</v>
      </c>
      <c r="K33"/>
      <c r="L33"/>
      <c r="Q33"/>
      <c r="R33"/>
      <c r="S33"/>
      <c r="T33"/>
      <c r="U33"/>
      <c r="V33"/>
      <c r="W33"/>
    </row>
    <row r="34" spans="1:23" x14ac:dyDescent="0.2">
      <c r="A34" s="218"/>
      <c r="B34" s="243"/>
      <c r="C34" s="193"/>
      <c r="D34" s="242"/>
      <c r="E34" s="187"/>
      <c r="F34" s="345"/>
      <c r="G34" s="357"/>
      <c r="H34" s="207"/>
      <c r="K34"/>
      <c r="L34"/>
      <c r="Q34"/>
      <c r="R34"/>
      <c r="S34"/>
      <c r="T34"/>
      <c r="U34"/>
      <c r="V34"/>
      <c r="W34"/>
    </row>
    <row r="35" spans="1:23" x14ac:dyDescent="0.2">
      <c r="A35" s="234" t="s">
        <v>1458</v>
      </c>
      <c r="B35" s="187"/>
      <c r="C35" s="193"/>
      <c r="D35" s="193"/>
      <c r="E35" s="187"/>
      <c r="F35" s="344"/>
      <c r="G35" s="357"/>
      <c r="H35" s="207"/>
      <c r="K35"/>
      <c r="L35"/>
      <c r="Q35"/>
      <c r="R35"/>
      <c r="S35"/>
      <c r="T35"/>
      <c r="U35"/>
      <c r="V35"/>
      <c r="W35"/>
    </row>
    <row r="36" spans="1:23" x14ac:dyDescent="0.2">
      <c r="A36" s="234"/>
      <c r="B36" s="187"/>
      <c r="C36" s="193"/>
      <c r="D36" s="193"/>
      <c r="E36" s="193"/>
      <c r="F36" s="344"/>
      <c r="G36" s="357"/>
      <c r="H36" s="207"/>
      <c r="K36"/>
      <c r="L36"/>
      <c r="Q36"/>
      <c r="R36"/>
      <c r="S36"/>
      <c r="T36"/>
      <c r="U36"/>
      <c r="V36"/>
      <c r="W36"/>
    </row>
    <row r="37" spans="1:23" ht="25.5" x14ac:dyDescent="0.2">
      <c r="A37" s="192" t="s">
        <v>1457</v>
      </c>
      <c r="B37" s="233">
        <v>210204201</v>
      </c>
      <c r="C37" s="222" t="s">
        <v>1456</v>
      </c>
      <c r="D37" s="209" t="s">
        <v>314</v>
      </c>
      <c r="E37" s="487">
        <v>3</v>
      </c>
      <c r="F37" s="357">
        <v>0</v>
      </c>
      <c r="G37" s="357">
        <f>E37*F37</f>
        <v>0</v>
      </c>
      <c r="H37" s="185" t="s">
        <v>107</v>
      </c>
      <c r="K37"/>
      <c r="L37"/>
      <c r="Q37"/>
      <c r="R37"/>
      <c r="S37"/>
      <c r="T37"/>
      <c r="U37"/>
      <c r="V37"/>
      <c r="W37"/>
    </row>
    <row r="38" spans="1:23" ht="25.5" x14ac:dyDescent="0.2">
      <c r="A38" s="192" t="s">
        <v>1455</v>
      </c>
      <c r="B38" s="233">
        <v>210204201</v>
      </c>
      <c r="C38" s="222" t="s">
        <v>1454</v>
      </c>
      <c r="D38" s="202" t="s">
        <v>314</v>
      </c>
      <c r="E38" s="488">
        <v>3</v>
      </c>
      <c r="F38" s="357">
        <v>0</v>
      </c>
      <c r="G38" s="357">
        <f>E38*F38</f>
        <v>0</v>
      </c>
      <c r="H38" s="185" t="s">
        <v>107</v>
      </c>
      <c r="K38"/>
      <c r="L38"/>
      <c r="Q38"/>
      <c r="R38"/>
      <c r="S38"/>
      <c r="T38"/>
      <c r="U38"/>
      <c r="V38"/>
      <c r="W38"/>
    </row>
    <row r="39" spans="1:23" ht="38.25" x14ac:dyDescent="0.2">
      <c r="A39" s="192" t="s">
        <v>1453</v>
      </c>
      <c r="B39" s="241">
        <v>741320041</v>
      </c>
      <c r="C39" s="240" t="s">
        <v>1452</v>
      </c>
      <c r="D39" s="210" t="s">
        <v>314</v>
      </c>
      <c r="E39" s="494">
        <v>8</v>
      </c>
      <c r="F39" s="357">
        <v>0</v>
      </c>
      <c r="G39" s="357">
        <f>E39*F39</f>
        <v>0</v>
      </c>
      <c r="H39" s="185" t="s">
        <v>107</v>
      </c>
      <c r="K39"/>
      <c r="L39"/>
      <c r="Q39"/>
      <c r="R39"/>
      <c r="S39"/>
      <c r="T39"/>
      <c r="U39"/>
      <c r="V39"/>
      <c r="W39"/>
    </row>
    <row r="40" spans="1:23" x14ac:dyDescent="0.2">
      <c r="A40" s="192"/>
      <c r="B40" s="239"/>
      <c r="C40" s="216"/>
      <c r="D40" s="214"/>
      <c r="E40" s="214"/>
      <c r="F40" s="342"/>
      <c r="G40" s="357"/>
      <c r="H40" s="238"/>
      <c r="K40"/>
      <c r="L40"/>
      <c r="Q40"/>
      <c r="R40"/>
      <c r="S40"/>
      <c r="T40"/>
      <c r="U40"/>
      <c r="V40"/>
      <c r="W40"/>
    </row>
    <row r="41" spans="1:23" x14ac:dyDescent="0.2">
      <c r="A41" s="237" t="s">
        <v>1451</v>
      </c>
      <c r="B41" s="214"/>
      <c r="C41" s="186"/>
      <c r="D41" s="215"/>
      <c r="E41" s="214"/>
      <c r="F41" s="342"/>
      <c r="G41" s="357"/>
      <c r="H41" s="207"/>
      <c r="K41"/>
      <c r="L41"/>
      <c r="Q41"/>
      <c r="R41"/>
      <c r="S41"/>
      <c r="T41"/>
      <c r="U41"/>
      <c r="V41"/>
      <c r="W41"/>
    </row>
    <row r="42" spans="1:23" x14ac:dyDescent="0.2">
      <c r="A42" s="218"/>
      <c r="B42" s="214"/>
      <c r="C42" s="186"/>
      <c r="D42" s="215"/>
      <c r="E42" s="214"/>
      <c r="F42" s="342"/>
      <c r="G42" s="357"/>
      <c r="H42" s="207"/>
      <c r="K42"/>
      <c r="L42"/>
      <c r="Q42"/>
      <c r="R42"/>
      <c r="S42"/>
      <c r="T42"/>
      <c r="U42"/>
      <c r="V42"/>
      <c r="W42"/>
    </row>
    <row r="43" spans="1:23" ht="38.25" x14ac:dyDescent="0.2">
      <c r="A43" s="218" t="s">
        <v>1450</v>
      </c>
      <c r="B43" s="236">
        <v>210202013</v>
      </c>
      <c r="C43" s="232" t="s">
        <v>1449</v>
      </c>
      <c r="D43" s="215" t="s">
        <v>314</v>
      </c>
      <c r="E43" s="214">
        <v>8</v>
      </c>
      <c r="F43" s="357">
        <v>0</v>
      </c>
      <c r="G43" s="357">
        <f>E43*F43</f>
        <v>0</v>
      </c>
      <c r="H43" s="185" t="s">
        <v>107</v>
      </c>
      <c r="K43"/>
      <c r="L43"/>
      <c r="Q43"/>
      <c r="R43"/>
      <c r="S43"/>
      <c r="T43"/>
      <c r="U43"/>
      <c r="V43"/>
      <c r="W43"/>
    </row>
    <row r="44" spans="1:23" x14ac:dyDescent="0.2">
      <c r="A44" s="218"/>
      <c r="B44" s="198"/>
      <c r="C44" s="235"/>
      <c r="D44" s="215"/>
      <c r="E44" s="214"/>
      <c r="F44" s="342"/>
      <c r="G44" s="357"/>
      <c r="H44" s="207"/>
      <c r="K44"/>
      <c r="L44"/>
      <c r="Q44"/>
      <c r="R44"/>
      <c r="S44"/>
      <c r="T44"/>
      <c r="U44"/>
      <c r="V44"/>
      <c r="W44"/>
    </row>
    <row r="45" spans="1:23" x14ac:dyDescent="0.2">
      <c r="A45" s="234" t="s">
        <v>1448</v>
      </c>
      <c r="B45" s="233"/>
      <c r="C45" s="216"/>
      <c r="D45" s="214"/>
      <c r="E45" s="214"/>
      <c r="F45" s="342"/>
      <c r="G45" s="357"/>
      <c r="H45" s="207"/>
      <c r="K45"/>
      <c r="L45"/>
      <c r="Q45"/>
      <c r="R45"/>
      <c r="S45"/>
      <c r="T45"/>
      <c r="U45"/>
      <c r="V45"/>
      <c r="W45"/>
    </row>
    <row r="46" spans="1:23" x14ac:dyDescent="0.2">
      <c r="A46" s="218"/>
      <c r="B46" s="233"/>
      <c r="C46" s="216"/>
      <c r="D46" s="214"/>
      <c r="E46" s="214"/>
      <c r="F46" s="342"/>
      <c r="G46" s="357"/>
      <c r="H46" s="207"/>
      <c r="K46"/>
      <c r="L46"/>
      <c r="Q46"/>
      <c r="R46"/>
      <c r="S46"/>
      <c r="T46"/>
      <c r="U46"/>
      <c r="V46"/>
      <c r="W46"/>
    </row>
    <row r="47" spans="1:23" ht="25.5" x14ac:dyDescent="0.2">
      <c r="A47" s="192" t="s">
        <v>1447</v>
      </c>
      <c r="B47" s="233">
        <v>460010024</v>
      </c>
      <c r="C47" s="232" t="s">
        <v>1446</v>
      </c>
      <c r="D47" s="193" t="s">
        <v>1443</v>
      </c>
      <c r="E47" s="193">
        <f>1.91*0.18</f>
        <v>0.34379999999999999</v>
      </c>
      <c r="F47" s="357">
        <v>0</v>
      </c>
      <c r="G47" s="357">
        <f t="shared" ref="G47:G65" si="0">E47*F47</f>
        <v>0</v>
      </c>
      <c r="H47" s="185" t="s">
        <v>107</v>
      </c>
      <c r="K47"/>
      <c r="L47"/>
      <c r="Q47"/>
      <c r="R47"/>
      <c r="S47"/>
      <c r="T47"/>
      <c r="U47"/>
      <c r="V47"/>
      <c r="W47"/>
    </row>
    <row r="48" spans="1:23" ht="25.5" x14ac:dyDescent="0.2">
      <c r="A48" s="192" t="s">
        <v>1445</v>
      </c>
      <c r="B48" s="233">
        <v>460010025</v>
      </c>
      <c r="C48" s="232" t="s">
        <v>1444</v>
      </c>
      <c r="D48" s="193" t="s">
        <v>1443</v>
      </c>
      <c r="E48" s="193">
        <f>1.91*0.18</f>
        <v>0.34379999999999999</v>
      </c>
      <c r="F48" s="357">
        <v>0</v>
      </c>
      <c r="G48" s="357">
        <f t="shared" si="0"/>
        <v>0</v>
      </c>
      <c r="H48" s="185" t="s">
        <v>107</v>
      </c>
      <c r="K48"/>
      <c r="L48"/>
      <c r="Q48"/>
      <c r="R48"/>
      <c r="S48"/>
      <c r="T48"/>
      <c r="U48"/>
      <c r="V48"/>
      <c r="W48"/>
    </row>
    <row r="49" spans="1:23" x14ac:dyDescent="0.2">
      <c r="A49" s="192" t="s">
        <v>1442</v>
      </c>
      <c r="B49" s="217" t="s">
        <v>1441</v>
      </c>
      <c r="C49" s="219" t="s">
        <v>1440</v>
      </c>
      <c r="D49" s="214" t="s">
        <v>1381</v>
      </c>
      <c r="E49" s="215">
        <f>24*2*0.18</f>
        <v>8.64</v>
      </c>
      <c r="F49" s="357">
        <v>0</v>
      </c>
      <c r="G49" s="357">
        <f t="shared" si="0"/>
        <v>0</v>
      </c>
      <c r="H49" s="207" t="s">
        <v>1380</v>
      </c>
      <c r="K49"/>
      <c r="L49"/>
      <c r="Q49"/>
      <c r="R49"/>
      <c r="S49"/>
      <c r="T49"/>
      <c r="U49"/>
      <c r="V49"/>
      <c r="W49"/>
    </row>
    <row r="50" spans="1:23" ht="89.25" x14ac:dyDescent="0.2">
      <c r="A50" s="192" t="s">
        <v>1439</v>
      </c>
      <c r="B50" s="198">
        <v>460171271</v>
      </c>
      <c r="C50" s="226" t="s">
        <v>1438</v>
      </c>
      <c r="D50" s="214" t="s">
        <v>106</v>
      </c>
      <c r="E50" s="215">
        <f>1850*0.18</f>
        <v>333</v>
      </c>
      <c r="F50" s="357">
        <v>0</v>
      </c>
      <c r="G50" s="357">
        <f t="shared" si="0"/>
        <v>0</v>
      </c>
      <c r="H50" s="185" t="s">
        <v>107</v>
      </c>
      <c r="K50"/>
      <c r="L50"/>
      <c r="Q50"/>
      <c r="R50"/>
      <c r="S50"/>
      <c r="T50"/>
      <c r="U50"/>
      <c r="V50"/>
      <c r="W50"/>
    </row>
    <row r="51" spans="1:23" ht="38.25" x14ac:dyDescent="0.2">
      <c r="A51" s="192" t="s">
        <v>1437</v>
      </c>
      <c r="B51" s="198">
        <v>460431271</v>
      </c>
      <c r="C51" s="216" t="s">
        <v>1436</v>
      </c>
      <c r="D51" s="214" t="s">
        <v>106</v>
      </c>
      <c r="E51" s="215">
        <f>1850*0.18</f>
        <v>333</v>
      </c>
      <c r="F51" s="357">
        <v>0</v>
      </c>
      <c r="G51" s="357">
        <f t="shared" si="0"/>
        <v>0</v>
      </c>
      <c r="H51" s="185" t="s">
        <v>107</v>
      </c>
      <c r="K51"/>
      <c r="L51"/>
      <c r="Q51"/>
      <c r="R51"/>
      <c r="S51"/>
      <c r="T51"/>
      <c r="U51"/>
      <c r="V51"/>
      <c r="W51"/>
    </row>
    <row r="52" spans="1:23" ht="38.25" x14ac:dyDescent="0.2">
      <c r="A52" s="192" t="s">
        <v>1435</v>
      </c>
      <c r="B52" s="198">
        <v>460171331</v>
      </c>
      <c r="C52" s="216" t="s">
        <v>1434</v>
      </c>
      <c r="D52" s="214" t="s">
        <v>106</v>
      </c>
      <c r="E52" s="215">
        <f>60*0.18</f>
        <v>10.799999999999999</v>
      </c>
      <c r="F52" s="357">
        <v>0</v>
      </c>
      <c r="G52" s="357">
        <f t="shared" si="0"/>
        <v>0</v>
      </c>
      <c r="H52" s="185" t="s">
        <v>107</v>
      </c>
      <c r="K52"/>
      <c r="L52"/>
      <c r="Q52"/>
      <c r="R52"/>
      <c r="S52"/>
      <c r="T52"/>
      <c r="U52"/>
      <c r="V52"/>
      <c r="W52"/>
    </row>
    <row r="53" spans="1:23" ht="38.25" x14ac:dyDescent="0.2">
      <c r="A53" s="192" t="s">
        <v>1433</v>
      </c>
      <c r="B53" s="227">
        <v>460431321</v>
      </c>
      <c r="C53" s="216" t="s">
        <v>1432</v>
      </c>
      <c r="D53" s="214" t="s">
        <v>106</v>
      </c>
      <c r="E53" s="215">
        <f>60*0.18</f>
        <v>10.799999999999999</v>
      </c>
      <c r="F53" s="357">
        <v>0</v>
      </c>
      <c r="G53" s="357">
        <f t="shared" si="0"/>
        <v>0</v>
      </c>
      <c r="H53" s="185" t="s">
        <v>107</v>
      </c>
      <c r="K53"/>
      <c r="L53"/>
      <c r="Q53"/>
      <c r="R53"/>
      <c r="S53"/>
      <c r="T53"/>
      <c r="U53"/>
      <c r="V53"/>
      <c r="W53"/>
    </row>
    <row r="54" spans="1:23" ht="25.5" x14ac:dyDescent="0.2">
      <c r="A54" s="192" t="s">
        <v>1431</v>
      </c>
      <c r="B54" s="231">
        <v>460791212</v>
      </c>
      <c r="C54" s="230" t="s">
        <v>1430</v>
      </c>
      <c r="D54" s="186" t="s">
        <v>106</v>
      </c>
      <c r="E54" s="219">
        <f>1960*0.18</f>
        <v>352.8</v>
      </c>
      <c r="F54" s="357">
        <v>0</v>
      </c>
      <c r="G54" s="357">
        <f t="shared" si="0"/>
        <v>0</v>
      </c>
      <c r="H54" s="185" t="s">
        <v>107</v>
      </c>
      <c r="K54"/>
      <c r="L54"/>
      <c r="Q54"/>
      <c r="R54"/>
      <c r="S54"/>
      <c r="T54"/>
      <c r="U54"/>
      <c r="V54"/>
      <c r="W54"/>
    </row>
    <row r="55" spans="1:23" ht="25.5" x14ac:dyDescent="0.2">
      <c r="A55" s="192" t="s">
        <v>1429</v>
      </c>
      <c r="B55" s="231">
        <v>460791214</v>
      </c>
      <c r="C55" s="230" t="s">
        <v>1428</v>
      </c>
      <c r="D55" s="186" t="s">
        <v>106</v>
      </c>
      <c r="E55" s="219">
        <f>60*0.18</f>
        <v>10.799999999999999</v>
      </c>
      <c r="F55" s="357">
        <v>0</v>
      </c>
      <c r="G55" s="357">
        <f t="shared" si="0"/>
        <v>0</v>
      </c>
      <c r="H55" s="185" t="s">
        <v>107</v>
      </c>
      <c r="K55"/>
      <c r="L55"/>
      <c r="Q55"/>
      <c r="R55"/>
      <c r="S55"/>
      <c r="T55"/>
      <c r="U55"/>
      <c r="V55"/>
      <c r="W55"/>
    </row>
    <row r="56" spans="1:23" ht="25.5" x14ac:dyDescent="0.2">
      <c r="A56" s="192" t="s">
        <v>1427</v>
      </c>
      <c r="B56" s="229">
        <v>460641112</v>
      </c>
      <c r="C56" s="228" t="s">
        <v>1426</v>
      </c>
      <c r="D56" s="214" t="s">
        <v>130</v>
      </c>
      <c r="E56" s="215">
        <f>7.5*0.18</f>
        <v>1.3499999999999999</v>
      </c>
      <c r="F56" s="357">
        <v>0</v>
      </c>
      <c r="G56" s="357">
        <f t="shared" si="0"/>
        <v>0</v>
      </c>
      <c r="H56" s="185" t="s">
        <v>107</v>
      </c>
      <c r="K56"/>
      <c r="L56"/>
      <c r="Q56"/>
      <c r="R56"/>
      <c r="S56"/>
      <c r="T56"/>
      <c r="U56"/>
      <c r="V56"/>
      <c r="W56"/>
    </row>
    <row r="57" spans="1:23" ht="38.25" x14ac:dyDescent="0.2">
      <c r="A57" s="192" t="s">
        <v>1425</v>
      </c>
      <c r="B57" s="227">
        <v>460661112</v>
      </c>
      <c r="C57" s="226" t="s">
        <v>1424</v>
      </c>
      <c r="D57" s="214" t="s">
        <v>106</v>
      </c>
      <c r="E57" s="215">
        <f>1850*0.18</f>
        <v>333</v>
      </c>
      <c r="F57" s="357">
        <v>0</v>
      </c>
      <c r="G57" s="357">
        <f t="shared" si="0"/>
        <v>0</v>
      </c>
      <c r="H57" s="185" t="s">
        <v>1423</v>
      </c>
      <c r="K57"/>
      <c r="L57"/>
      <c r="Q57"/>
      <c r="R57"/>
      <c r="S57"/>
      <c r="T57"/>
      <c r="U57"/>
      <c r="V57"/>
      <c r="W57"/>
    </row>
    <row r="58" spans="1:23" ht="25.5" x14ac:dyDescent="0.2">
      <c r="A58" s="192" t="s">
        <v>1422</v>
      </c>
      <c r="B58" s="198">
        <v>468041122</v>
      </c>
      <c r="C58" s="200" t="s">
        <v>1421</v>
      </c>
      <c r="D58" s="204" t="s">
        <v>106</v>
      </c>
      <c r="E58" s="204">
        <f>60*0.18</f>
        <v>10.799999999999999</v>
      </c>
      <c r="F58" s="357">
        <v>0</v>
      </c>
      <c r="G58" s="357">
        <f t="shared" si="0"/>
        <v>0</v>
      </c>
      <c r="H58" s="185" t="s">
        <v>107</v>
      </c>
      <c r="K58"/>
      <c r="L58"/>
      <c r="Q58"/>
      <c r="R58"/>
      <c r="S58"/>
      <c r="T58"/>
      <c r="U58"/>
      <c r="V58"/>
      <c r="W58"/>
    </row>
    <row r="59" spans="1:23" ht="63.75" x14ac:dyDescent="0.2">
      <c r="A59" s="192" t="s">
        <v>1420</v>
      </c>
      <c r="B59" s="198">
        <v>460341113</v>
      </c>
      <c r="C59" s="223" t="s">
        <v>1419</v>
      </c>
      <c r="D59" s="200" t="s">
        <v>130</v>
      </c>
      <c r="E59" s="200">
        <f>191*0.18</f>
        <v>34.379999999999995</v>
      </c>
      <c r="F59" s="357">
        <v>0</v>
      </c>
      <c r="G59" s="357">
        <f t="shared" si="0"/>
        <v>0</v>
      </c>
      <c r="H59" s="185" t="s">
        <v>107</v>
      </c>
      <c r="K59"/>
      <c r="L59"/>
      <c r="Q59"/>
      <c r="R59"/>
      <c r="S59"/>
      <c r="T59"/>
      <c r="U59"/>
      <c r="V59"/>
      <c r="W59"/>
    </row>
    <row r="60" spans="1:23" ht="76.5" x14ac:dyDescent="0.2">
      <c r="A60" s="192" t="s">
        <v>1418</v>
      </c>
      <c r="B60" s="198">
        <v>460341121</v>
      </c>
      <c r="C60" s="223" t="s">
        <v>1417</v>
      </c>
      <c r="D60" s="200" t="s">
        <v>130</v>
      </c>
      <c r="E60" s="200">
        <f>191*19*0.18</f>
        <v>653.22</v>
      </c>
      <c r="F60" s="357">
        <v>0</v>
      </c>
      <c r="G60" s="357">
        <f t="shared" si="0"/>
        <v>0</v>
      </c>
      <c r="H60" s="185" t="s">
        <v>107</v>
      </c>
      <c r="K60"/>
      <c r="L60"/>
      <c r="Q60"/>
      <c r="R60"/>
      <c r="S60"/>
      <c r="T60"/>
      <c r="U60"/>
      <c r="V60"/>
      <c r="W60"/>
    </row>
    <row r="61" spans="1:23" ht="38.25" x14ac:dyDescent="0.2">
      <c r="A61" s="192" t="s">
        <v>1416</v>
      </c>
      <c r="B61" s="198">
        <v>460361111</v>
      </c>
      <c r="C61" s="201" t="s">
        <v>1415</v>
      </c>
      <c r="D61" s="225" t="s">
        <v>231</v>
      </c>
      <c r="E61" s="225">
        <f>188.2*0.18</f>
        <v>33.875999999999998</v>
      </c>
      <c r="F61" s="357">
        <v>0</v>
      </c>
      <c r="G61" s="357">
        <f t="shared" si="0"/>
        <v>0</v>
      </c>
      <c r="H61" s="224" t="s">
        <v>107</v>
      </c>
      <c r="K61"/>
      <c r="L61"/>
      <c r="Q61"/>
      <c r="R61"/>
      <c r="S61"/>
      <c r="T61"/>
      <c r="U61"/>
      <c r="V61"/>
      <c r="W61"/>
    </row>
    <row r="62" spans="1:23" ht="38.25" x14ac:dyDescent="0.2">
      <c r="A62" s="192" t="s">
        <v>1414</v>
      </c>
      <c r="B62" s="198" t="s">
        <v>1413</v>
      </c>
      <c r="C62" s="223" t="s">
        <v>1412</v>
      </c>
      <c r="D62" s="200" t="s">
        <v>1381</v>
      </c>
      <c r="E62" s="200">
        <f>60*0.18</f>
        <v>10.799999999999999</v>
      </c>
      <c r="F62" s="357">
        <v>0</v>
      </c>
      <c r="G62" s="357">
        <f t="shared" si="0"/>
        <v>0</v>
      </c>
      <c r="H62" s="185" t="s">
        <v>1380</v>
      </c>
      <c r="K62"/>
      <c r="L62"/>
      <c r="Q62"/>
      <c r="R62"/>
      <c r="S62"/>
      <c r="T62"/>
      <c r="U62"/>
      <c r="V62"/>
      <c r="W62"/>
    </row>
    <row r="63" spans="1:23" x14ac:dyDescent="0.2">
      <c r="A63" s="192" t="s">
        <v>1411</v>
      </c>
      <c r="B63" s="198" t="s">
        <v>1410</v>
      </c>
      <c r="C63" s="222" t="s">
        <v>1409</v>
      </c>
      <c r="D63" s="214" t="s">
        <v>1381</v>
      </c>
      <c r="E63" s="215">
        <f>17*0.18</f>
        <v>3.06</v>
      </c>
      <c r="F63" s="357">
        <v>0</v>
      </c>
      <c r="G63" s="357">
        <f t="shared" si="0"/>
        <v>0</v>
      </c>
      <c r="H63" s="207" t="s">
        <v>1380</v>
      </c>
      <c r="K63"/>
      <c r="L63"/>
      <c r="Q63"/>
      <c r="R63"/>
      <c r="S63"/>
      <c r="T63"/>
      <c r="U63"/>
      <c r="V63"/>
      <c r="W63"/>
    </row>
    <row r="64" spans="1:23" x14ac:dyDescent="0.2">
      <c r="A64" s="192" t="s">
        <v>1408</v>
      </c>
      <c r="B64" s="198" t="s">
        <v>1407</v>
      </c>
      <c r="C64" s="221" t="s">
        <v>1406</v>
      </c>
      <c r="D64" s="220" t="s">
        <v>1381</v>
      </c>
      <c r="E64" s="491">
        <f>8*0.18</f>
        <v>1.44</v>
      </c>
      <c r="F64" s="357">
        <v>0</v>
      </c>
      <c r="G64" s="357">
        <f t="shared" si="0"/>
        <v>0</v>
      </c>
      <c r="H64" s="207" t="s">
        <v>1380</v>
      </c>
      <c r="K64"/>
      <c r="L64"/>
      <c r="Q64"/>
      <c r="R64"/>
      <c r="S64"/>
      <c r="T64"/>
      <c r="U64"/>
      <c r="V64"/>
      <c r="W64"/>
    </row>
    <row r="65" spans="1:23" x14ac:dyDescent="0.2">
      <c r="A65" s="192" t="s">
        <v>1405</v>
      </c>
      <c r="B65" s="198" t="s">
        <v>1404</v>
      </c>
      <c r="C65" s="219" t="s">
        <v>1403</v>
      </c>
      <c r="D65" s="214" t="s">
        <v>1381</v>
      </c>
      <c r="E65" s="215">
        <f>24*0.18</f>
        <v>4.32</v>
      </c>
      <c r="F65" s="357">
        <v>0</v>
      </c>
      <c r="G65" s="357">
        <f t="shared" si="0"/>
        <v>0</v>
      </c>
      <c r="H65" s="207" t="s">
        <v>1380</v>
      </c>
      <c r="K65"/>
      <c r="L65"/>
      <c r="Q65"/>
      <c r="R65"/>
      <c r="S65"/>
      <c r="T65"/>
      <c r="U65"/>
      <c r="V65"/>
      <c r="W65"/>
    </row>
    <row r="66" spans="1:23" x14ac:dyDescent="0.2">
      <c r="A66" s="218"/>
      <c r="B66" s="217"/>
      <c r="C66" s="216"/>
      <c r="D66" s="214"/>
      <c r="E66" s="215"/>
      <c r="F66" s="342"/>
      <c r="G66" s="357"/>
      <c r="H66" s="207"/>
      <c r="K66"/>
      <c r="L66"/>
      <c r="Q66"/>
      <c r="R66"/>
      <c r="S66"/>
      <c r="T66"/>
      <c r="U66"/>
      <c r="V66"/>
      <c r="W66"/>
    </row>
    <row r="67" spans="1:23" x14ac:dyDescent="0.2">
      <c r="A67" s="213" t="s">
        <v>1402</v>
      </c>
      <c r="B67" s="211"/>
      <c r="C67" s="210"/>
      <c r="D67" s="209"/>
      <c r="E67" s="208"/>
      <c r="F67" s="343"/>
      <c r="G67" s="357"/>
      <c r="H67" s="207"/>
      <c r="K67"/>
      <c r="L67"/>
      <c r="Q67"/>
      <c r="R67"/>
      <c r="S67"/>
      <c r="T67"/>
      <c r="U67"/>
      <c r="V67"/>
      <c r="W67"/>
    </row>
    <row r="68" spans="1:23" x14ac:dyDescent="0.2">
      <c r="A68" s="212"/>
      <c r="B68" s="211"/>
      <c r="C68" s="210"/>
      <c r="D68" s="209"/>
      <c r="E68" s="208"/>
      <c r="F68" s="343"/>
      <c r="G68" s="357"/>
      <c r="H68" s="207"/>
      <c r="K68"/>
      <c r="L68"/>
      <c r="Q68"/>
      <c r="R68"/>
      <c r="S68"/>
      <c r="T68"/>
      <c r="U68"/>
      <c r="V68"/>
      <c r="W68"/>
    </row>
    <row r="69" spans="1:23" x14ac:dyDescent="0.2">
      <c r="A69" s="192" t="s">
        <v>1401</v>
      </c>
      <c r="B69" s="198" t="s">
        <v>1400</v>
      </c>
      <c r="C69" s="204" t="s">
        <v>1399</v>
      </c>
      <c r="D69" s="188" t="s">
        <v>1381</v>
      </c>
      <c r="E69" s="188">
        <f>8*0.18</f>
        <v>1.44</v>
      </c>
      <c r="F69" s="357">
        <v>0</v>
      </c>
      <c r="G69" s="357">
        <f t="shared" ref="G69:G77" si="1">E69*F69</f>
        <v>0</v>
      </c>
      <c r="H69" s="207" t="s">
        <v>1380</v>
      </c>
      <c r="K69"/>
      <c r="L69"/>
      <c r="Q69"/>
      <c r="R69"/>
      <c r="S69"/>
      <c r="T69"/>
      <c r="U69"/>
      <c r="V69"/>
      <c r="W69"/>
    </row>
    <row r="70" spans="1:23" ht="38.25" x14ac:dyDescent="0.2">
      <c r="A70" s="192" t="s">
        <v>1398</v>
      </c>
      <c r="B70" s="198" t="s">
        <v>1397</v>
      </c>
      <c r="C70" s="206" t="s">
        <v>1396</v>
      </c>
      <c r="D70" s="206" t="s">
        <v>1395</v>
      </c>
      <c r="E70" s="201">
        <f>18*0.18</f>
        <v>3.2399999999999998</v>
      </c>
      <c r="F70" s="357">
        <v>0</v>
      </c>
      <c r="G70" s="357">
        <f t="shared" si="1"/>
        <v>0</v>
      </c>
      <c r="H70" s="205" t="s">
        <v>1394</v>
      </c>
      <c r="K70"/>
      <c r="L70"/>
      <c r="Q70"/>
      <c r="R70"/>
      <c r="S70"/>
      <c r="T70"/>
      <c r="U70"/>
      <c r="V70"/>
      <c r="W70"/>
    </row>
    <row r="71" spans="1:23" x14ac:dyDescent="0.2">
      <c r="A71" s="192" t="s">
        <v>1393</v>
      </c>
      <c r="B71" s="198" t="s">
        <v>1392</v>
      </c>
      <c r="C71" s="204" t="s">
        <v>1391</v>
      </c>
      <c r="D71" s="190" t="s">
        <v>1381</v>
      </c>
      <c r="E71" s="188">
        <f>8*0.18</f>
        <v>1.44</v>
      </c>
      <c r="F71" s="357">
        <v>0</v>
      </c>
      <c r="G71" s="357">
        <f t="shared" si="1"/>
        <v>0</v>
      </c>
      <c r="H71" s="199" t="s">
        <v>1380</v>
      </c>
      <c r="K71"/>
      <c r="L71"/>
      <c r="Q71"/>
      <c r="R71"/>
      <c r="S71"/>
      <c r="T71"/>
      <c r="U71"/>
      <c r="V71"/>
      <c r="W71"/>
    </row>
    <row r="72" spans="1:23" ht="51" x14ac:dyDescent="0.2">
      <c r="A72" s="192" t="s">
        <v>1390</v>
      </c>
      <c r="B72" s="198" t="s">
        <v>1389</v>
      </c>
      <c r="C72" s="200" t="s">
        <v>1388</v>
      </c>
      <c r="D72" s="190" t="s">
        <v>1381</v>
      </c>
      <c r="E72" s="495">
        <f>24*0.18</f>
        <v>4.32</v>
      </c>
      <c r="F72" s="357">
        <v>0</v>
      </c>
      <c r="G72" s="357">
        <f t="shared" si="1"/>
        <v>0</v>
      </c>
      <c r="H72" s="203" t="s">
        <v>1380</v>
      </c>
      <c r="K72"/>
      <c r="L72"/>
      <c r="Q72"/>
      <c r="R72"/>
      <c r="S72"/>
      <c r="T72"/>
      <c r="U72"/>
      <c r="V72"/>
      <c r="W72"/>
    </row>
    <row r="73" spans="1:23" ht="25.5" x14ac:dyDescent="0.2">
      <c r="A73" s="192" t="s">
        <v>1387</v>
      </c>
      <c r="B73" s="198" t="s">
        <v>1386</v>
      </c>
      <c r="C73" s="200" t="s">
        <v>1385</v>
      </c>
      <c r="D73" s="202" t="s">
        <v>1381</v>
      </c>
      <c r="E73" s="195">
        <f>8*0.18</f>
        <v>1.44</v>
      </c>
      <c r="F73" s="357">
        <v>0</v>
      </c>
      <c r="G73" s="357">
        <f t="shared" si="1"/>
        <v>0</v>
      </c>
      <c r="H73" s="199" t="s">
        <v>1380</v>
      </c>
      <c r="K73"/>
      <c r="L73"/>
      <c r="Q73"/>
      <c r="R73"/>
      <c r="S73"/>
      <c r="T73"/>
      <c r="U73"/>
      <c r="V73"/>
      <c r="W73"/>
    </row>
    <row r="74" spans="1:23" ht="25.5" x14ac:dyDescent="0.2">
      <c r="A74" s="192" t="s">
        <v>1384</v>
      </c>
      <c r="B74" s="198" t="s">
        <v>1383</v>
      </c>
      <c r="C74" s="200" t="s">
        <v>1382</v>
      </c>
      <c r="D74" s="190" t="s">
        <v>1381</v>
      </c>
      <c r="E74" s="201">
        <f>17*0.18</f>
        <v>3.06</v>
      </c>
      <c r="F74" s="357">
        <v>0</v>
      </c>
      <c r="G74" s="357">
        <f t="shared" si="1"/>
        <v>0</v>
      </c>
      <c r="H74" s="199" t="s">
        <v>1380</v>
      </c>
      <c r="K74"/>
      <c r="L74"/>
      <c r="Q74"/>
      <c r="R74"/>
      <c r="S74"/>
      <c r="T74"/>
      <c r="U74"/>
      <c r="V74"/>
      <c r="W74"/>
    </row>
    <row r="75" spans="1:23" ht="51" x14ac:dyDescent="0.2">
      <c r="A75" s="192" t="s">
        <v>1379</v>
      </c>
      <c r="B75" s="198">
        <v>741810003</v>
      </c>
      <c r="C75" s="197" t="s">
        <v>1886</v>
      </c>
      <c r="D75" s="196" t="s">
        <v>314</v>
      </c>
      <c r="E75" s="195">
        <v>1</v>
      </c>
      <c r="F75" s="357">
        <v>0</v>
      </c>
      <c r="G75" s="357">
        <f t="shared" si="1"/>
        <v>0</v>
      </c>
      <c r="H75" s="194" t="s">
        <v>107</v>
      </c>
      <c r="K75"/>
      <c r="L75"/>
      <c r="Q75"/>
      <c r="R75"/>
      <c r="S75"/>
      <c r="T75"/>
      <c r="U75"/>
      <c r="V75"/>
      <c r="W75"/>
    </row>
    <row r="76" spans="1:23" ht="25.5" x14ac:dyDescent="0.2">
      <c r="A76" s="192" t="s">
        <v>1378</v>
      </c>
      <c r="B76" s="191">
        <v>741820014</v>
      </c>
      <c r="C76" s="190" t="s">
        <v>1887</v>
      </c>
      <c r="D76" s="189" t="s">
        <v>314</v>
      </c>
      <c r="E76" s="188">
        <v>1</v>
      </c>
      <c r="F76" s="357">
        <v>0</v>
      </c>
      <c r="G76" s="357">
        <f t="shared" si="1"/>
        <v>0</v>
      </c>
      <c r="H76" s="185" t="s">
        <v>107</v>
      </c>
      <c r="K76"/>
      <c r="L76"/>
      <c r="Q76"/>
      <c r="R76"/>
      <c r="S76"/>
      <c r="T76"/>
      <c r="U76"/>
      <c r="V76"/>
      <c r="W76"/>
    </row>
    <row r="77" spans="1:23" ht="38.25" x14ac:dyDescent="0.2">
      <c r="A77" s="192" t="s">
        <v>1376</v>
      </c>
      <c r="B77" s="191">
        <v>741820102</v>
      </c>
      <c r="C77" s="190" t="s">
        <v>1888</v>
      </c>
      <c r="D77" s="189" t="s">
        <v>314</v>
      </c>
      <c r="E77" s="188">
        <v>1</v>
      </c>
      <c r="F77" s="357">
        <v>0</v>
      </c>
      <c r="G77" s="357">
        <f t="shared" si="1"/>
        <v>0</v>
      </c>
      <c r="H77" s="185" t="s">
        <v>107</v>
      </c>
      <c r="K77"/>
      <c r="L77"/>
      <c r="Q77"/>
      <c r="R77"/>
      <c r="S77"/>
      <c r="T77"/>
      <c r="U77"/>
      <c r="V77"/>
      <c r="W77"/>
    </row>
    <row r="78" spans="1:23" ht="13.5" thickBot="1" x14ac:dyDescent="0.25">
      <c r="A78" s="184"/>
      <c r="B78" s="183"/>
      <c r="C78" s="182"/>
      <c r="D78" s="181"/>
      <c r="E78" s="496"/>
      <c r="F78" s="359"/>
      <c r="G78" s="360"/>
      <c r="H78" s="180"/>
      <c r="K78"/>
      <c r="L78"/>
      <c r="Q78"/>
      <c r="R78"/>
      <c r="S78"/>
      <c r="T78"/>
      <c r="U78"/>
      <c r="V78"/>
      <c r="W78"/>
    </row>
    <row r="79" spans="1:23" x14ac:dyDescent="0.2">
      <c r="A79" s="179"/>
      <c r="B79" s="178"/>
      <c r="C79" s="178"/>
      <c r="D79" s="177"/>
      <c r="E79" s="177"/>
      <c r="F79" s="361"/>
      <c r="G79" s="361"/>
      <c r="H79" s="176"/>
      <c r="K79"/>
      <c r="L79"/>
      <c r="Q79"/>
      <c r="R79"/>
      <c r="S79"/>
      <c r="T79"/>
      <c r="U79"/>
      <c r="V79"/>
      <c r="W79"/>
    </row>
    <row r="80" spans="1:23" x14ac:dyDescent="0.2">
      <c r="A80" s="175"/>
      <c r="B80" s="174" t="s">
        <v>1374</v>
      </c>
      <c r="C80" s="174"/>
      <c r="D80" s="173"/>
      <c r="E80" s="173"/>
      <c r="F80" s="362"/>
      <c r="G80" s="362">
        <f>SUM(G10:G79)</f>
        <v>0</v>
      </c>
      <c r="H80" s="172"/>
      <c r="K80"/>
      <c r="L80"/>
      <c r="Q80"/>
      <c r="R80"/>
      <c r="S80"/>
      <c r="T80"/>
      <c r="U80"/>
      <c r="V80"/>
      <c r="W80"/>
    </row>
    <row r="81" spans="1:8" ht="13.5" thickBot="1" x14ac:dyDescent="0.25">
      <c r="A81" s="171"/>
      <c r="B81" s="170"/>
      <c r="C81" s="170"/>
      <c r="D81" s="169"/>
      <c r="E81" s="169"/>
      <c r="F81" s="363"/>
      <c r="G81" s="363"/>
      <c r="H81" s="168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DC4C-F953-452B-96EB-D850C35C423C}">
  <dimension ref="A1:Z81"/>
  <sheetViews>
    <sheetView topLeftCell="A54" workbookViewId="0">
      <selection activeCell="F85" sqref="F85"/>
    </sheetView>
  </sheetViews>
  <sheetFormatPr defaultColWidth="9.33203125" defaultRowHeight="12.75" x14ac:dyDescent="0.2"/>
  <cols>
    <col min="1" max="1" width="6.83203125" style="167" customWidth="1"/>
    <col min="2" max="2" width="12.5" style="167" customWidth="1"/>
    <col min="3" max="3" width="42.5" style="167" customWidth="1"/>
    <col min="4" max="4" width="6.83203125" style="167" customWidth="1"/>
    <col min="5" max="5" width="8.5" style="167" customWidth="1"/>
    <col min="6" max="6" width="15.33203125" style="339" customWidth="1"/>
    <col min="7" max="7" width="19" style="339" customWidth="1"/>
    <col min="8" max="8" width="15" style="167" customWidth="1"/>
    <col min="9" max="12" width="9.33203125" style="167"/>
    <col min="17" max="17" width="9.33203125" style="434"/>
    <col min="18" max="18" width="9.33203125" style="435"/>
    <col min="19" max="19" width="9.33203125" style="167"/>
    <col min="20" max="20" width="30.5" style="167" customWidth="1"/>
    <col min="21" max="21" width="45.33203125" style="167" customWidth="1"/>
    <col min="22" max="16384" width="9.33203125" style="167"/>
  </cols>
  <sheetData>
    <row r="1" spans="1:26" x14ac:dyDescent="0.2">
      <c r="A1" s="167" t="s">
        <v>1502</v>
      </c>
      <c r="B1" s="167" t="s">
        <v>1501</v>
      </c>
    </row>
    <row r="2" spans="1:26" x14ac:dyDescent="0.2">
      <c r="A2" s="167" t="s">
        <v>1500</v>
      </c>
      <c r="B2" s="167" t="s">
        <v>1499</v>
      </c>
    </row>
    <row r="3" spans="1:26" x14ac:dyDescent="0.2">
      <c r="A3" s="167" t="s">
        <v>1498</v>
      </c>
      <c r="B3" s="167" t="s">
        <v>1497</v>
      </c>
    </row>
    <row r="4" spans="1:26" ht="13.5" thickBot="1" x14ac:dyDescent="0.25"/>
    <row r="5" spans="1:26" x14ac:dyDescent="0.2">
      <c r="A5" s="266"/>
      <c r="B5" s="264"/>
      <c r="C5" s="265"/>
      <c r="D5" s="264"/>
      <c r="E5" s="264"/>
      <c r="F5" s="672" t="s">
        <v>1496</v>
      </c>
      <c r="G5" s="673"/>
      <c r="H5" s="263"/>
    </row>
    <row r="6" spans="1:26" ht="12" customHeight="1" thickBot="1" x14ac:dyDescent="0.25">
      <c r="A6" s="262" t="s">
        <v>1495</v>
      </c>
      <c r="B6" s="261" t="s">
        <v>1494</v>
      </c>
      <c r="C6" s="260" t="s">
        <v>1493</v>
      </c>
      <c r="D6" s="259" t="s">
        <v>88</v>
      </c>
      <c r="E6" s="259" t="s">
        <v>1492</v>
      </c>
      <c r="F6" s="353" t="s">
        <v>1370</v>
      </c>
      <c r="G6" s="341" t="s">
        <v>1491</v>
      </c>
      <c r="H6" s="258" t="s">
        <v>91</v>
      </c>
    </row>
    <row r="7" spans="1:26" x14ac:dyDescent="0.2">
      <c r="A7" s="257"/>
      <c r="B7" s="255"/>
      <c r="C7" s="256"/>
      <c r="D7" s="255"/>
      <c r="E7" s="255"/>
      <c r="F7" s="354"/>
      <c r="G7" s="355"/>
      <c r="H7" s="254"/>
      <c r="K7"/>
      <c r="L7"/>
      <c r="Q7"/>
      <c r="R7"/>
      <c r="S7"/>
      <c r="T7"/>
      <c r="U7"/>
      <c r="V7"/>
      <c r="W7"/>
      <c r="X7"/>
      <c r="Y7"/>
      <c r="Z7"/>
    </row>
    <row r="8" spans="1:26" x14ac:dyDescent="0.2">
      <c r="A8" s="234" t="s">
        <v>1490</v>
      </c>
      <c r="B8" s="233"/>
      <c r="C8" s="216"/>
      <c r="D8" s="214"/>
      <c r="E8" s="214"/>
      <c r="F8" s="342"/>
      <c r="G8" s="356"/>
      <c r="H8" s="253"/>
      <c r="K8"/>
      <c r="L8"/>
      <c r="Q8"/>
      <c r="R8"/>
      <c r="S8"/>
      <c r="T8"/>
      <c r="U8"/>
      <c r="V8"/>
      <c r="W8"/>
      <c r="X8"/>
      <c r="Y8"/>
      <c r="Z8"/>
    </row>
    <row r="9" spans="1:26" x14ac:dyDescent="0.2">
      <c r="A9" s="192"/>
      <c r="B9" s="239"/>
      <c r="C9" s="216"/>
      <c r="D9" s="214"/>
      <c r="E9" s="214"/>
      <c r="F9" s="342"/>
      <c r="G9" s="356"/>
      <c r="H9" s="238"/>
      <c r="K9"/>
      <c r="L9"/>
      <c r="Q9"/>
      <c r="R9"/>
      <c r="S9"/>
      <c r="T9"/>
      <c r="U9"/>
      <c r="V9"/>
      <c r="W9"/>
      <c r="X9"/>
      <c r="Y9"/>
      <c r="Z9"/>
    </row>
    <row r="10" spans="1:26" ht="51" x14ac:dyDescent="0.2">
      <c r="A10" s="192" t="s">
        <v>1489</v>
      </c>
      <c r="B10" s="250">
        <v>741122623</v>
      </c>
      <c r="C10" s="210" t="s">
        <v>1488</v>
      </c>
      <c r="D10" s="219" t="s">
        <v>106</v>
      </c>
      <c r="E10" s="214">
        <f>1960*0.82</f>
        <v>1607.1999999999998</v>
      </c>
      <c r="F10" s="357">
        <v>0</v>
      </c>
      <c r="G10" s="357">
        <f>E10*F10</f>
        <v>0</v>
      </c>
      <c r="H10" s="185" t="s">
        <v>107</v>
      </c>
      <c r="K10"/>
      <c r="L10"/>
      <c r="Q10"/>
      <c r="R10"/>
      <c r="S10"/>
      <c r="T10"/>
      <c r="U10"/>
      <c r="V10"/>
      <c r="W10"/>
      <c r="X10"/>
      <c r="Y10"/>
      <c r="Z10"/>
    </row>
    <row r="11" spans="1:26" ht="51" x14ac:dyDescent="0.2">
      <c r="A11" s="192" t="s">
        <v>1487</v>
      </c>
      <c r="B11" s="250">
        <v>741122611</v>
      </c>
      <c r="C11" s="197" t="s">
        <v>1486</v>
      </c>
      <c r="D11" s="210" t="s">
        <v>106</v>
      </c>
      <c r="E11" s="214">
        <f>392*0.82</f>
        <v>321.44</v>
      </c>
      <c r="F11" s="357">
        <v>0</v>
      </c>
      <c r="G11" s="357">
        <f>E11*F11</f>
        <v>0</v>
      </c>
      <c r="H11" s="194" t="s">
        <v>107</v>
      </c>
      <c r="K11"/>
      <c r="L11"/>
      <c r="Q11"/>
      <c r="R11"/>
      <c r="S11"/>
      <c r="T11"/>
      <c r="U11"/>
      <c r="V11"/>
      <c r="W11"/>
      <c r="X11"/>
      <c r="Y11"/>
      <c r="Z11"/>
    </row>
    <row r="12" spans="1:26" x14ac:dyDescent="0.2">
      <c r="A12" s="192"/>
      <c r="B12" s="239"/>
      <c r="C12" s="216"/>
      <c r="D12" s="214"/>
      <c r="E12" s="214"/>
      <c r="F12" s="342"/>
      <c r="G12" s="357"/>
      <c r="H12" s="207"/>
      <c r="K12"/>
      <c r="L12"/>
      <c r="Q12"/>
      <c r="R12"/>
      <c r="S12"/>
      <c r="T12"/>
      <c r="U12"/>
      <c r="V12"/>
      <c r="W12"/>
      <c r="X12"/>
      <c r="Y12"/>
      <c r="Z12"/>
    </row>
    <row r="13" spans="1:26" x14ac:dyDescent="0.2">
      <c r="A13" s="234" t="s">
        <v>1485</v>
      </c>
      <c r="B13" s="239"/>
      <c r="C13" s="216"/>
      <c r="D13" s="214"/>
      <c r="E13" s="214"/>
      <c r="F13" s="342"/>
      <c r="G13" s="357"/>
      <c r="H13" s="238"/>
      <c r="K13"/>
      <c r="L13"/>
      <c r="Q13"/>
      <c r="R13"/>
      <c r="S13"/>
      <c r="T13"/>
      <c r="U13"/>
      <c r="V13"/>
      <c r="W13"/>
      <c r="X13"/>
      <c r="Y13"/>
      <c r="Z13"/>
    </row>
    <row r="14" spans="1:26" x14ac:dyDescent="0.2">
      <c r="A14" s="192"/>
      <c r="B14" s="239"/>
      <c r="C14" s="216"/>
      <c r="D14" s="214"/>
      <c r="E14" s="214"/>
      <c r="F14" s="342"/>
      <c r="G14" s="357"/>
      <c r="H14" s="238"/>
      <c r="K14"/>
      <c r="L14"/>
      <c r="Q14"/>
      <c r="R14"/>
      <c r="S14"/>
      <c r="T14"/>
      <c r="U14"/>
      <c r="V14"/>
      <c r="W14"/>
      <c r="X14"/>
      <c r="Y14"/>
      <c r="Z14"/>
    </row>
    <row r="15" spans="1:26" ht="38.25" x14ac:dyDescent="0.2">
      <c r="A15" s="192" t="s">
        <v>1484</v>
      </c>
      <c r="B15" s="250">
        <v>741132132</v>
      </c>
      <c r="C15" s="230" t="s">
        <v>1483</v>
      </c>
      <c r="D15" s="215" t="s">
        <v>314</v>
      </c>
      <c r="E15" s="214">
        <v>57</v>
      </c>
      <c r="F15" s="357">
        <v>0</v>
      </c>
      <c r="G15" s="357">
        <f>E15*F15</f>
        <v>0</v>
      </c>
      <c r="H15" s="185" t="s">
        <v>107</v>
      </c>
      <c r="K15"/>
      <c r="L15"/>
      <c r="Q15"/>
      <c r="R15"/>
      <c r="S15"/>
      <c r="T15"/>
      <c r="U15"/>
      <c r="V15"/>
      <c r="W15"/>
      <c r="X15"/>
      <c r="Y15"/>
      <c r="Z15"/>
    </row>
    <row r="16" spans="1:26" ht="38.25" x14ac:dyDescent="0.2">
      <c r="A16" s="192" t="s">
        <v>1482</v>
      </c>
      <c r="B16" s="250">
        <v>741132103</v>
      </c>
      <c r="C16" s="230" t="s">
        <v>1481</v>
      </c>
      <c r="D16" s="215" t="s">
        <v>314</v>
      </c>
      <c r="E16" s="214">
        <v>80</v>
      </c>
      <c r="F16" s="357">
        <v>0</v>
      </c>
      <c r="G16" s="357">
        <f>E16*F16</f>
        <v>0</v>
      </c>
      <c r="H16" s="185" t="s">
        <v>107</v>
      </c>
      <c r="K16"/>
      <c r="L16"/>
      <c r="Q16"/>
      <c r="R16"/>
      <c r="S16"/>
      <c r="T16"/>
      <c r="U16"/>
      <c r="V16"/>
      <c r="W16"/>
      <c r="X16"/>
      <c r="Y16"/>
      <c r="Z16"/>
    </row>
    <row r="17" spans="1:26" x14ac:dyDescent="0.2">
      <c r="A17" s="192"/>
      <c r="B17" s="231"/>
      <c r="C17" s="186"/>
      <c r="D17" s="215"/>
      <c r="E17" s="214"/>
      <c r="F17" s="342"/>
      <c r="G17" s="357"/>
      <c r="H17" s="207"/>
      <c r="K17"/>
      <c r="L17"/>
      <c r="Q17"/>
      <c r="R17"/>
      <c r="S17"/>
      <c r="T17"/>
      <c r="U17"/>
      <c r="V17"/>
      <c r="W17"/>
      <c r="X17"/>
      <c r="Y17"/>
      <c r="Z17"/>
    </row>
    <row r="18" spans="1:26" x14ac:dyDescent="0.2">
      <c r="A18" s="237" t="s">
        <v>1480</v>
      </c>
      <c r="B18" s="233"/>
      <c r="C18" s="216"/>
      <c r="D18" s="214"/>
      <c r="E18" s="214"/>
      <c r="F18" s="342"/>
      <c r="G18" s="357"/>
      <c r="H18" s="205"/>
      <c r="K18"/>
      <c r="L18"/>
      <c r="Q18"/>
      <c r="R18"/>
      <c r="S18"/>
      <c r="T18"/>
      <c r="U18"/>
      <c r="V18"/>
      <c r="W18"/>
      <c r="X18"/>
      <c r="Y18"/>
      <c r="Z18"/>
    </row>
    <row r="19" spans="1:26" x14ac:dyDescent="0.2">
      <c r="A19" s="218"/>
      <c r="B19" s="233"/>
      <c r="C19" s="216"/>
      <c r="D19" s="214"/>
      <c r="E19" s="214"/>
      <c r="F19" s="342"/>
      <c r="G19" s="357"/>
      <c r="H19" s="205"/>
      <c r="K19"/>
      <c r="L19"/>
      <c r="Q19"/>
      <c r="R19"/>
      <c r="S19"/>
      <c r="T19"/>
      <c r="U19"/>
      <c r="V19"/>
      <c r="W19"/>
      <c r="X19"/>
      <c r="Y19"/>
      <c r="Z19"/>
    </row>
    <row r="20" spans="1:26" ht="25.5" x14ac:dyDescent="0.2">
      <c r="A20" s="218" t="s">
        <v>1479</v>
      </c>
      <c r="B20" s="252">
        <v>741420022</v>
      </c>
      <c r="C20" s="251" t="s">
        <v>1478</v>
      </c>
      <c r="D20" s="209" t="s">
        <v>314</v>
      </c>
      <c r="E20" s="214">
        <v>1607</v>
      </c>
      <c r="F20" s="357">
        <v>0</v>
      </c>
      <c r="G20" s="357">
        <f>E20*F20</f>
        <v>0</v>
      </c>
      <c r="H20" s="185" t="s">
        <v>107</v>
      </c>
      <c r="K20"/>
      <c r="L20"/>
      <c r="Q20"/>
      <c r="R20"/>
      <c r="S20"/>
      <c r="T20"/>
      <c r="U20"/>
      <c r="V20"/>
      <c r="W20"/>
      <c r="X20"/>
      <c r="Y20"/>
      <c r="Z20"/>
    </row>
    <row r="21" spans="1:26" ht="63.75" x14ac:dyDescent="0.2">
      <c r="A21" s="218" t="s">
        <v>1477</v>
      </c>
      <c r="B21" s="250">
        <v>741410041</v>
      </c>
      <c r="C21" s="249" t="s">
        <v>1476</v>
      </c>
      <c r="D21" s="209" t="s">
        <v>106</v>
      </c>
      <c r="E21" s="487">
        <f>70*0.82</f>
        <v>57.4</v>
      </c>
      <c r="F21" s="357">
        <v>0</v>
      </c>
      <c r="G21" s="357">
        <f>E21*F21</f>
        <v>0</v>
      </c>
      <c r="H21" s="194" t="s">
        <v>107</v>
      </c>
      <c r="K21"/>
      <c r="L21"/>
      <c r="Q21"/>
      <c r="R21"/>
      <c r="S21"/>
      <c r="T21"/>
      <c r="U21"/>
      <c r="V21"/>
      <c r="W21"/>
      <c r="X21"/>
      <c r="Y21"/>
      <c r="Z21"/>
    </row>
    <row r="22" spans="1:26" x14ac:dyDescent="0.2">
      <c r="A22" s="218"/>
      <c r="B22" s="248"/>
      <c r="C22" s="187"/>
      <c r="D22" s="247"/>
      <c r="E22" s="214"/>
      <c r="F22" s="342"/>
      <c r="G22" s="357"/>
      <c r="H22" s="205"/>
      <c r="K22"/>
      <c r="L22"/>
      <c r="Q22"/>
      <c r="R22"/>
      <c r="S22"/>
      <c r="T22"/>
      <c r="U22"/>
      <c r="V22"/>
      <c r="W22"/>
      <c r="X22"/>
      <c r="Y22"/>
      <c r="Z22"/>
    </row>
    <row r="23" spans="1:26" x14ac:dyDescent="0.2">
      <c r="A23" s="237" t="s">
        <v>1475</v>
      </c>
      <c r="B23" s="214"/>
      <c r="C23" s="186"/>
      <c r="D23" s="215"/>
      <c r="E23" s="214"/>
      <c r="F23" s="342"/>
      <c r="G23" s="357"/>
      <c r="H23" s="207"/>
      <c r="K23"/>
      <c r="L23"/>
      <c r="Q23"/>
      <c r="R23"/>
      <c r="S23"/>
      <c r="T23"/>
      <c r="U23"/>
      <c r="V23"/>
      <c r="W23"/>
      <c r="X23"/>
      <c r="Y23"/>
      <c r="Z23"/>
    </row>
    <row r="24" spans="1:26" x14ac:dyDescent="0.2">
      <c r="A24" s="218"/>
      <c r="B24" s="214"/>
      <c r="C24" s="186"/>
      <c r="D24" s="215"/>
      <c r="E24" s="214"/>
      <c r="F24" s="342"/>
      <c r="G24" s="357"/>
      <c r="H24" s="207"/>
      <c r="K24"/>
      <c r="L24"/>
      <c r="Q24"/>
      <c r="R24"/>
      <c r="S24"/>
      <c r="T24"/>
      <c r="U24"/>
      <c r="V24"/>
      <c r="W24"/>
      <c r="X24"/>
      <c r="Y24"/>
      <c r="Z24"/>
    </row>
    <row r="25" spans="1:26" ht="25.5" x14ac:dyDescent="0.2">
      <c r="A25" s="218" t="s">
        <v>1474</v>
      </c>
      <c r="B25" s="233">
        <v>210204011</v>
      </c>
      <c r="C25" s="210" t="s">
        <v>1473</v>
      </c>
      <c r="D25" s="187" t="s">
        <v>314</v>
      </c>
      <c r="E25" s="187">
        <v>25</v>
      </c>
      <c r="F25" s="357">
        <v>0</v>
      </c>
      <c r="G25" s="357">
        <f>E25*F25</f>
        <v>0</v>
      </c>
      <c r="H25" s="185" t="s">
        <v>107</v>
      </c>
      <c r="K25"/>
      <c r="L25"/>
      <c r="Q25"/>
      <c r="R25"/>
      <c r="S25"/>
      <c r="T25"/>
      <c r="U25"/>
      <c r="V25"/>
      <c r="W25"/>
      <c r="X25"/>
      <c r="Y25"/>
      <c r="Z25"/>
    </row>
    <row r="26" spans="1:26" x14ac:dyDescent="0.2">
      <c r="A26" s="218" t="s">
        <v>1472</v>
      </c>
      <c r="B26" s="233" t="s">
        <v>1471</v>
      </c>
      <c r="C26" s="246" t="s">
        <v>1470</v>
      </c>
      <c r="D26" s="187" t="s">
        <v>1381</v>
      </c>
      <c r="E26" s="187">
        <f>15*0.82</f>
        <v>12.299999999999999</v>
      </c>
      <c r="F26" s="357">
        <v>0</v>
      </c>
      <c r="G26" s="357">
        <f>E26*F26</f>
        <v>0</v>
      </c>
      <c r="H26" s="207" t="s">
        <v>1380</v>
      </c>
      <c r="K26"/>
      <c r="L26"/>
      <c r="Q26"/>
      <c r="R26"/>
      <c r="S26"/>
      <c r="T26"/>
      <c r="U26"/>
      <c r="V26"/>
      <c r="W26"/>
      <c r="X26"/>
      <c r="Y26"/>
      <c r="Z26"/>
    </row>
    <row r="27" spans="1:26" ht="25.5" x14ac:dyDescent="0.2">
      <c r="A27" s="218" t="s">
        <v>1469</v>
      </c>
      <c r="B27" s="233" t="s">
        <v>1468</v>
      </c>
      <c r="C27" s="244" t="s">
        <v>1467</v>
      </c>
      <c r="D27" s="193" t="s">
        <v>1381</v>
      </c>
      <c r="E27" s="187">
        <f>33*0.82</f>
        <v>27.06</v>
      </c>
      <c r="F27" s="357">
        <v>0</v>
      </c>
      <c r="G27" s="357">
        <f>E27*F27</f>
        <v>0</v>
      </c>
      <c r="H27" s="207" t="s">
        <v>1380</v>
      </c>
      <c r="K27"/>
      <c r="L27"/>
      <c r="Q27"/>
      <c r="R27"/>
      <c r="S27"/>
      <c r="T27"/>
      <c r="U27"/>
      <c r="V27"/>
      <c r="W27"/>
      <c r="X27"/>
      <c r="Y27"/>
      <c r="Z27"/>
    </row>
    <row r="28" spans="1:26" ht="38.25" x14ac:dyDescent="0.2">
      <c r="A28" s="218" t="s">
        <v>1466</v>
      </c>
      <c r="B28" s="233" t="s">
        <v>1465</v>
      </c>
      <c r="C28" s="244" t="s">
        <v>1464</v>
      </c>
      <c r="D28" s="193" t="s">
        <v>1381</v>
      </c>
      <c r="E28" s="187">
        <f>10*0.82</f>
        <v>8.1999999999999993</v>
      </c>
      <c r="F28" s="357">
        <v>0</v>
      </c>
      <c r="G28" s="357">
        <f>E28*F28</f>
        <v>0</v>
      </c>
      <c r="H28" s="207" t="s">
        <v>1380</v>
      </c>
      <c r="K28"/>
      <c r="L28"/>
      <c r="Q28"/>
      <c r="R28"/>
      <c r="S28"/>
      <c r="T28"/>
      <c r="U28"/>
      <c r="V28"/>
      <c r="W28"/>
      <c r="X28"/>
      <c r="Y28"/>
      <c r="Z28"/>
    </row>
    <row r="29" spans="1:26" x14ac:dyDescent="0.2">
      <c r="A29" s="218"/>
      <c r="B29" s="245"/>
      <c r="C29" s="244"/>
      <c r="D29" s="242"/>
      <c r="E29" s="187"/>
      <c r="F29" s="345"/>
      <c r="G29" s="357"/>
      <c r="H29" s="207"/>
      <c r="K29"/>
      <c r="L29"/>
      <c r="Q29"/>
      <c r="R29"/>
      <c r="S29"/>
      <c r="T29"/>
      <c r="U29"/>
      <c r="V29"/>
      <c r="W29"/>
      <c r="X29"/>
      <c r="Y29"/>
      <c r="Z29"/>
    </row>
    <row r="30" spans="1:26" x14ac:dyDescent="0.2">
      <c r="A30" s="234" t="s">
        <v>1463</v>
      </c>
      <c r="B30" s="239"/>
      <c r="C30" s="186"/>
      <c r="D30" s="215"/>
      <c r="E30" s="214"/>
      <c r="F30" s="342"/>
      <c r="G30" s="357"/>
      <c r="H30" s="207"/>
      <c r="K30"/>
      <c r="L30"/>
      <c r="Q30"/>
      <c r="R30"/>
      <c r="S30"/>
      <c r="T30"/>
      <c r="U30"/>
      <c r="V30"/>
      <c r="W30"/>
      <c r="X30"/>
      <c r="Y30"/>
      <c r="Z30"/>
    </row>
    <row r="31" spans="1:26" x14ac:dyDescent="0.2">
      <c r="A31" s="192"/>
      <c r="B31" s="239"/>
      <c r="C31" s="219"/>
      <c r="D31" s="215"/>
      <c r="E31" s="214"/>
      <c r="F31" s="342"/>
      <c r="G31" s="357"/>
      <c r="H31" s="207"/>
      <c r="K31"/>
      <c r="L31"/>
      <c r="Q31"/>
      <c r="R31"/>
      <c r="S31"/>
      <c r="T31"/>
      <c r="U31"/>
      <c r="V31"/>
      <c r="W31"/>
      <c r="X31"/>
      <c r="Y31"/>
      <c r="Z31"/>
    </row>
    <row r="32" spans="1:26" ht="38.25" x14ac:dyDescent="0.2">
      <c r="A32" s="192" t="s">
        <v>1462</v>
      </c>
      <c r="B32" s="236">
        <v>210204105</v>
      </c>
      <c r="C32" s="200" t="s">
        <v>1461</v>
      </c>
      <c r="D32" s="215" t="s">
        <v>314</v>
      </c>
      <c r="E32" s="214">
        <v>11</v>
      </c>
      <c r="F32" s="357">
        <v>0</v>
      </c>
      <c r="G32" s="357">
        <f>E32*F32</f>
        <v>0</v>
      </c>
      <c r="H32" s="238" t="s">
        <v>107</v>
      </c>
      <c r="K32"/>
      <c r="L32"/>
      <c r="Q32"/>
      <c r="R32"/>
      <c r="S32"/>
      <c r="T32"/>
      <c r="U32"/>
      <c r="V32"/>
      <c r="W32"/>
      <c r="X32"/>
      <c r="Y32"/>
      <c r="Z32"/>
    </row>
    <row r="33" spans="1:26" ht="38.25" x14ac:dyDescent="0.2">
      <c r="A33" s="192" t="s">
        <v>1460</v>
      </c>
      <c r="B33" s="236">
        <v>210204104</v>
      </c>
      <c r="C33" s="200" t="s">
        <v>1459</v>
      </c>
      <c r="D33" s="215" t="s">
        <v>314</v>
      </c>
      <c r="E33" s="493">
        <v>8</v>
      </c>
      <c r="F33" s="357">
        <v>0</v>
      </c>
      <c r="G33" s="357">
        <f>E33*F33</f>
        <v>0</v>
      </c>
      <c r="H33" s="238" t="s">
        <v>107</v>
      </c>
      <c r="K33"/>
      <c r="L33"/>
      <c r="Q33"/>
      <c r="R33"/>
      <c r="S33"/>
      <c r="T33"/>
      <c r="U33"/>
      <c r="V33"/>
      <c r="W33"/>
      <c r="X33"/>
      <c r="Y33"/>
      <c r="Z33"/>
    </row>
    <row r="34" spans="1:26" x14ac:dyDescent="0.2">
      <c r="A34" s="218"/>
      <c r="B34" s="243"/>
      <c r="C34" s="193"/>
      <c r="D34" s="242"/>
      <c r="E34" s="187"/>
      <c r="F34" s="345"/>
      <c r="G34" s="357"/>
      <c r="H34" s="207"/>
      <c r="K34"/>
      <c r="L34"/>
      <c r="Q34"/>
      <c r="R34"/>
      <c r="S34"/>
      <c r="T34"/>
      <c r="U34"/>
      <c r="V34"/>
      <c r="W34"/>
      <c r="X34"/>
      <c r="Y34"/>
      <c r="Z34"/>
    </row>
    <row r="35" spans="1:26" x14ac:dyDescent="0.2">
      <c r="A35" s="234" t="s">
        <v>1458</v>
      </c>
      <c r="B35" s="187"/>
      <c r="C35" s="193"/>
      <c r="D35" s="193"/>
      <c r="E35" s="187"/>
      <c r="F35" s="344"/>
      <c r="G35" s="357"/>
      <c r="H35" s="207"/>
      <c r="K35"/>
      <c r="L35"/>
      <c r="Q35"/>
      <c r="R35"/>
      <c r="S35"/>
      <c r="T35"/>
      <c r="U35"/>
      <c r="V35"/>
      <c r="W35"/>
      <c r="X35"/>
      <c r="Y35"/>
      <c r="Z35"/>
    </row>
    <row r="36" spans="1:26" x14ac:dyDescent="0.2">
      <c r="A36" s="234"/>
      <c r="B36" s="187"/>
      <c r="C36" s="193"/>
      <c r="D36" s="193"/>
      <c r="E36" s="193"/>
      <c r="F36" s="344"/>
      <c r="G36" s="357"/>
      <c r="H36" s="207"/>
      <c r="K36"/>
      <c r="L36"/>
      <c r="Q36"/>
      <c r="R36"/>
      <c r="S36"/>
      <c r="T36"/>
      <c r="U36"/>
      <c r="V36"/>
      <c r="W36"/>
      <c r="X36"/>
      <c r="Y36"/>
      <c r="Z36"/>
    </row>
    <row r="37" spans="1:26" ht="25.5" x14ac:dyDescent="0.2">
      <c r="A37" s="192" t="s">
        <v>1457</v>
      </c>
      <c r="B37" s="233">
        <v>210204201</v>
      </c>
      <c r="C37" s="222" t="s">
        <v>1456</v>
      </c>
      <c r="D37" s="209" t="s">
        <v>314</v>
      </c>
      <c r="E37" s="487">
        <v>12</v>
      </c>
      <c r="F37" s="357">
        <v>0</v>
      </c>
      <c r="G37" s="357">
        <f>E37*F37</f>
        <v>0</v>
      </c>
      <c r="H37" s="185" t="s">
        <v>107</v>
      </c>
      <c r="K37"/>
      <c r="L37"/>
      <c r="Q37"/>
      <c r="R37"/>
      <c r="S37"/>
      <c r="T37"/>
      <c r="U37"/>
      <c r="V37"/>
      <c r="W37"/>
      <c r="X37"/>
      <c r="Y37"/>
      <c r="Z37"/>
    </row>
    <row r="38" spans="1:26" ht="25.5" x14ac:dyDescent="0.2">
      <c r="A38" s="192" t="s">
        <v>1455</v>
      </c>
      <c r="B38" s="233">
        <v>210204201</v>
      </c>
      <c r="C38" s="222" t="s">
        <v>1454</v>
      </c>
      <c r="D38" s="202" t="s">
        <v>314</v>
      </c>
      <c r="E38" s="488">
        <v>11</v>
      </c>
      <c r="F38" s="357">
        <v>0</v>
      </c>
      <c r="G38" s="357">
        <f>E38*F38</f>
        <v>0</v>
      </c>
      <c r="H38" s="185" t="s">
        <v>107</v>
      </c>
      <c r="K38"/>
      <c r="L38"/>
      <c r="Q38"/>
      <c r="R38"/>
      <c r="S38"/>
      <c r="T38"/>
      <c r="U38"/>
      <c r="V38"/>
      <c r="W38"/>
      <c r="X38"/>
      <c r="Y38"/>
      <c r="Z38"/>
    </row>
    <row r="39" spans="1:26" ht="38.25" x14ac:dyDescent="0.2">
      <c r="A39" s="192" t="s">
        <v>1453</v>
      </c>
      <c r="B39" s="241">
        <v>741320041</v>
      </c>
      <c r="C39" s="240" t="s">
        <v>1452</v>
      </c>
      <c r="D39" s="210" t="s">
        <v>314</v>
      </c>
      <c r="E39" s="494">
        <v>36</v>
      </c>
      <c r="F39" s="357">
        <v>0</v>
      </c>
      <c r="G39" s="357">
        <f>E39*F39</f>
        <v>0</v>
      </c>
      <c r="H39" s="185" t="s">
        <v>107</v>
      </c>
      <c r="K39"/>
      <c r="L39"/>
      <c r="Q39"/>
      <c r="R39"/>
      <c r="S39"/>
      <c r="T39"/>
      <c r="U39"/>
      <c r="V39"/>
      <c r="W39"/>
      <c r="X39"/>
      <c r="Y39"/>
      <c r="Z39"/>
    </row>
    <row r="40" spans="1:26" x14ac:dyDescent="0.2">
      <c r="A40" s="192"/>
      <c r="B40" s="239"/>
      <c r="C40" s="216"/>
      <c r="D40" s="214"/>
      <c r="E40" s="214"/>
      <c r="F40" s="342"/>
      <c r="G40" s="357"/>
      <c r="H40" s="238"/>
      <c r="K40"/>
      <c r="L40"/>
      <c r="Q40"/>
      <c r="R40"/>
      <c r="S40"/>
      <c r="T40"/>
      <c r="U40"/>
      <c r="V40"/>
      <c r="W40"/>
      <c r="X40"/>
      <c r="Y40"/>
      <c r="Z40"/>
    </row>
    <row r="41" spans="1:26" x14ac:dyDescent="0.2">
      <c r="A41" s="237" t="s">
        <v>1451</v>
      </c>
      <c r="B41" s="214"/>
      <c r="C41" s="186"/>
      <c r="D41" s="215"/>
      <c r="E41" s="214"/>
      <c r="F41" s="342"/>
      <c r="G41" s="357"/>
      <c r="H41" s="207"/>
      <c r="K41"/>
      <c r="L41"/>
      <c r="Q41"/>
      <c r="R41"/>
      <c r="S41"/>
      <c r="T41"/>
      <c r="U41"/>
      <c r="V41"/>
      <c r="W41"/>
      <c r="X41"/>
      <c r="Y41"/>
      <c r="Z41"/>
    </row>
    <row r="42" spans="1:26" x14ac:dyDescent="0.2">
      <c r="A42" s="218"/>
      <c r="B42" s="214"/>
      <c r="C42" s="186"/>
      <c r="D42" s="215"/>
      <c r="E42" s="214"/>
      <c r="F42" s="342"/>
      <c r="G42" s="357"/>
      <c r="H42" s="207"/>
      <c r="K42"/>
      <c r="L42"/>
      <c r="Q42"/>
      <c r="R42"/>
      <c r="S42"/>
      <c r="T42"/>
      <c r="U42"/>
      <c r="V42"/>
      <c r="W42"/>
      <c r="X42"/>
      <c r="Y42"/>
      <c r="Z42"/>
    </row>
    <row r="43" spans="1:26" ht="38.25" x14ac:dyDescent="0.2">
      <c r="A43" s="218" t="s">
        <v>1450</v>
      </c>
      <c r="B43" s="236">
        <v>210202013</v>
      </c>
      <c r="C43" s="232" t="s">
        <v>1449</v>
      </c>
      <c r="D43" s="215" t="s">
        <v>314</v>
      </c>
      <c r="E43" s="214">
        <v>44</v>
      </c>
      <c r="F43" s="357">
        <v>0</v>
      </c>
      <c r="G43" s="357">
        <f>E43*F43</f>
        <v>0</v>
      </c>
      <c r="H43" s="185" t="s">
        <v>107</v>
      </c>
      <c r="K43"/>
      <c r="L43"/>
      <c r="Q43"/>
      <c r="R43"/>
      <c r="S43"/>
      <c r="T43"/>
      <c r="U43"/>
      <c r="V43"/>
      <c r="W43"/>
      <c r="X43"/>
      <c r="Y43"/>
      <c r="Z43"/>
    </row>
    <row r="44" spans="1:26" x14ac:dyDescent="0.2">
      <c r="A44" s="218"/>
      <c r="B44" s="198"/>
      <c r="C44" s="235"/>
      <c r="D44" s="215"/>
      <c r="E44" s="214"/>
      <c r="F44" s="342"/>
      <c r="G44" s="357"/>
      <c r="H44" s="207"/>
      <c r="K44"/>
      <c r="L44"/>
      <c r="Q44"/>
      <c r="R44"/>
      <c r="S44"/>
      <c r="T44"/>
      <c r="U44"/>
      <c r="V44"/>
      <c r="W44"/>
      <c r="X44"/>
      <c r="Y44"/>
      <c r="Z44"/>
    </row>
    <row r="45" spans="1:26" x14ac:dyDescent="0.2">
      <c r="A45" s="234" t="s">
        <v>1448</v>
      </c>
      <c r="B45" s="233"/>
      <c r="C45" s="216"/>
      <c r="D45" s="214"/>
      <c r="E45" s="214"/>
      <c r="F45" s="342"/>
      <c r="G45" s="357"/>
      <c r="H45" s="207"/>
      <c r="K45"/>
      <c r="L45"/>
      <c r="Q45"/>
      <c r="R45"/>
      <c r="S45"/>
      <c r="T45"/>
      <c r="U45"/>
      <c r="V45"/>
      <c r="W45"/>
      <c r="X45"/>
      <c r="Y45"/>
      <c r="Z45"/>
    </row>
    <row r="46" spans="1:26" x14ac:dyDescent="0.2">
      <c r="A46" s="218"/>
      <c r="B46" s="233"/>
      <c r="C46" s="216"/>
      <c r="D46" s="214"/>
      <c r="E46" s="214"/>
      <c r="F46" s="342"/>
      <c r="G46" s="357"/>
      <c r="H46" s="207"/>
      <c r="K46"/>
      <c r="L46"/>
      <c r="Q46"/>
      <c r="R46"/>
      <c r="S46"/>
      <c r="T46"/>
      <c r="U46"/>
      <c r="V46"/>
      <c r="W46"/>
      <c r="X46"/>
      <c r="Y46"/>
      <c r="Z46"/>
    </row>
    <row r="47" spans="1:26" ht="25.5" x14ac:dyDescent="0.2">
      <c r="A47" s="192" t="s">
        <v>1447</v>
      </c>
      <c r="B47" s="233">
        <v>460010024</v>
      </c>
      <c r="C47" s="232" t="s">
        <v>1446</v>
      </c>
      <c r="D47" s="193" t="s">
        <v>1443</v>
      </c>
      <c r="E47" s="193">
        <f>1.91*0.82</f>
        <v>1.5661999999999998</v>
      </c>
      <c r="F47" s="357">
        <v>0</v>
      </c>
      <c r="G47" s="357">
        <f t="shared" ref="G47:G65" si="0">E47*F47</f>
        <v>0</v>
      </c>
      <c r="H47" s="185" t="s">
        <v>107</v>
      </c>
      <c r="K47"/>
      <c r="L47"/>
      <c r="Q47"/>
      <c r="R47"/>
      <c r="S47"/>
      <c r="T47"/>
      <c r="U47"/>
      <c r="V47"/>
      <c r="W47"/>
      <c r="X47"/>
      <c r="Y47"/>
      <c r="Z47"/>
    </row>
    <row r="48" spans="1:26" ht="25.5" x14ac:dyDescent="0.2">
      <c r="A48" s="192" t="s">
        <v>1445</v>
      </c>
      <c r="B48" s="233">
        <v>460010025</v>
      </c>
      <c r="C48" s="232" t="s">
        <v>1444</v>
      </c>
      <c r="D48" s="193" t="s">
        <v>1443</v>
      </c>
      <c r="E48" s="193">
        <f>1.91*0.82</f>
        <v>1.5661999999999998</v>
      </c>
      <c r="F48" s="357">
        <v>0</v>
      </c>
      <c r="G48" s="357">
        <f t="shared" si="0"/>
        <v>0</v>
      </c>
      <c r="H48" s="185" t="s">
        <v>107</v>
      </c>
      <c r="K48"/>
      <c r="L48"/>
      <c r="Q48"/>
      <c r="R48"/>
      <c r="S48"/>
      <c r="T48"/>
      <c r="U48"/>
      <c r="V48"/>
      <c r="W48"/>
      <c r="X48"/>
      <c r="Y48"/>
      <c r="Z48"/>
    </row>
    <row r="49" spans="1:26" x14ac:dyDescent="0.2">
      <c r="A49" s="192" t="s">
        <v>1442</v>
      </c>
      <c r="B49" s="217" t="s">
        <v>1441</v>
      </c>
      <c r="C49" s="219" t="s">
        <v>1440</v>
      </c>
      <c r="D49" s="214" t="s">
        <v>1381</v>
      </c>
      <c r="E49" s="215">
        <f>24*2*0.82</f>
        <v>39.36</v>
      </c>
      <c r="F49" s="357">
        <v>0</v>
      </c>
      <c r="G49" s="357">
        <f t="shared" si="0"/>
        <v>0</v>
      </c>
      <c r="H49" s="207" t="s">
        <v>1380</v>
      </c>
      <c r="K49"/>
      <c r="L49"/>
      <c r="Q49"/>
      <c r="R49"/>
      <c r="S49"/>
      <c r="T49"/>
      <c r="U49"/>
      <c r="V49"/>
      <c r="W49"/>
      <c r="X49"/>
      <c r="Y49"/>
      <c r="Z49"/>
    </row>
    <row r="50" spans="1:26" ht="89.25" x14ac:dyDescent="0.2">
      <c r="A50" s="192" t="s">
        <v>1439</v>
      </c>
      <c r="B50" s="198">
        <v>460171271</v>
      </c>
      <c r="C50" s="226" t="s">
        <v>1438</v>
      </c>
      <c r="D50" s="214" t="s">
        <v>106</v>
      </c>
      <c r="E50" s="215">
        <f>1850*0.82</f>
        <v>1517</v>
      </c>
      <c r="F50" s="357">
        <v>0</v>
      </c>
      <c r="G50" s="357">
        <f t="shared" si="0"/>
        <v>0</v>
      </c>
      <c r="H50" s="185" t="s">
        <v>107</v>
      </c>
      <c r="K50"/>
      <c r="L50"/>
      <c r="Q50"/>
      <c r="R50"/>
      <c r="S50"/>
      <c r="T50"/>
      <c r="U50"/>
      <c r="V50"/>
      <c r="W50"/>
      <c r="X50"/>
      <c r="Y50"/>
      <c r="Z50"/>
    </row>
    <row r="51" spans="1:26" ht="38.25" x14ac:dyDescent="0.2">
      <c r="A51" s="192" t="s">
        <v>1437</v>
      </c>
      <c r="B51" s="198">
        <v>460431271</v>
      </c>
      <c r="C51" s="216" t="s">
        <v>1436</v>
      </c>
      <c r="D51" s="214" t="s">
        <v>106</v>
      </c>
      <c r="E51" s="215">
        <f>1850*0.82</f>
        <v>1517</v>
      </c>
      <c r="F51" s="357">
        <v>0</v>
      </c>
      <c r="G51" s="357">
        <f t="shared" si="0"/>
        <v>0</v>
      </c>
      <c r="H51" s="185" t="s">
        <v>107</v>
      </c>
      <c r="K51"/>
      <c r="L51"/>
      <c r="Q51"/>
      <c r="R51"/>
      <c r="S51"/>
      <c r="T51"/>
      <c r="U51"/>
      <c r="V51"/>
      <c r="W51"/>
      <c r="X51"/>
      <c r="Y51"/>
      <c r="Z51"/>
    </row>
    <row r="52" spans="1:26" ht="38.25" x14ac:dyDescent="0.2">
      <c r="A52" s="192" t="s">
        <v>1435</v>
      </c>
      <c r="B52" s="198">
        <v>460171331</v>
      </c>
      <c r="C52" s="216" t="s">
        <v>1434</v>
      </c>
      <c r="D52" s="214" t="s">
        <v>106</v>
      </c>
      <c r="E52" s="215">
        <f>60*0.82</f>
        <v>49.199999999999996</v>
      </c>
      <c r="F52" s="357">
        <v>0</v>
      </c>
      <c r="G52" s="357">
        <f t="shared" si="0"/>
        <v>0</v>
      </c>
      <c r="H52" s="185" t="s">
        <v>107</v>
      </c>
      <c r="K52"/>
      <c r="L52"/>
      <c r="Q52"/>
      <c r="R52"/>
      <c r="S52"/>
      <c r="T52"/>
      <c r="U52"/>
      <c r="V52"/>
      <c r="W52"/>
      <c r="X52"/>
      <c r="Y52"/>
      <c r="Z52"/>
    </row>
    <row r="53" spans="1:26" ht="38.25" x14ac:dyDescent="0.2">
      <c r="A53" s="192" t="s">
        <v>1433</v>
      </c>
      <c r="B53" s="227">
        <v>460431321</v>
      </c>
      <c r="C53" s="216" t="s">
        <v>1432</v>
      </c>
      <c r="D53" s="214" t="s">
        <v>106</v>
      </c>
      <c r="E53" s="215">
        <f>60*0.82</f>
        <v>49.199999999999996</v>
      </c>
      <c r="F53" s="357">
        <v>0</v>
      </c>
      <c r="G53" s="357">
        <f t="shared" si="0"/>
        <v>0</v>
      </c>
      <c r="H53" s="185" t="s">
        <v>107</v>
      </c>
      <c r="K53"/>
      <c r="L53"/>
      <c r="Q53"/>
      <c r="R53"/>
      <c r="S53"/>
      <c r="T53"/>
      <c r="U53"/>
      <c r="V53"/>
      <c r="W53"/>
      <c r="X53"/>
      <c r="Y53"/>
      <c r="Z53"/>
    </row>
    <row r="54" spans="1:26" ht="25.5" x14ac:dyDescent="0.2">
      <c r="A54" s="192" t="s">
        <v>1431</v>
      </c>
      <c r="B54" s="231">
        <v>460791212</v>
      </c>
      <c r="C54" s="230" t="s">
        <v>1430</v>
      </c>
      <c r="D54" s="186" t="s">
        <v>106</v>
      </c>
      <c r="E54" s="219">
        <f>1960*0.82</f>
        <v>1607.1999999999998</v>
      </c>
      <c r="F54" s="357">
        <v>0</v>
      </c>
      <c r="G54" s="357">
        <f t="shared" si="0"/>
        <v>0</v>
      </c>
      <c r="H54" s="185" t="s">
        <v>107</v>
      </c>
      <c r="K54"/>
      <c r="L54"/>
      <c r="Q54"/>
      <c r="R54"/>
      <c r="S54"/>
      <c r="T54"/>
      <c r="U54"/>
      <c r="V54"/>
      <c r="W54"/>
      <c r="X54"/>
      <c r="Y54"/>
      <c r="Z54"/>
    </row>
    <row r="55" spans="1:26" ht="25.5" x14ac:dyDescent="0.2">
      <c r="A55" s="192" t="s">
        <v>1429</v>
      </c>
      <c r="B55" s="231">
        <v>460791214</v>
      </c>
      <c r="C55" s="230" t="s">
        <v>1428</v>
      </c>
      <c r="D55" s="186" t="s">
        <v>106</v>
      </c>
      <c r="E55" s="219">
        <f>60*0.82</f>
        <v>49.199999999999996</v>
      </c>
      <c r="F55" s="357">
        <v>0</v>
      </c>
      <c r="G55" s="357">
        <f t="shared" si="0"/>
        <v>0</v>
      </c>
      <c r="H55" s="185" t="s">
        <v>107</v>
      </c>
      <c r="K55"/>
      <c r="L55"/>
      <c r="Q55"/>
      <c r="R55"/>
      <c r="S55"/>
      <c r="T55"/>
      <c r="U55"/>
      <c r="V55"/>
      <c r="W55"/>
      <c r="X55"/>
      <c r="Y55"/>
      <c r="Z55"/>
    </row>
    <row r="56" spans="1:26" ht="25.5" x14ac:dyDescent="0.2">
      <c r="A56" s="192" t="s">
        <v>1427</v>
      </c>
      <c r="B56" s="229">
        <v>460641112</v>
      </c>
      <c r="C56" s="228" t="s">
        <v>1426</v>
      </c>
      <c r="D56" s="214" t="s">
        <v>130</v>
      </c>
      <c r="E56" s="215">
        <f>7.5*0.82</f>
        <v>6.1499999999999995</v>
      </c>
      <c r="F56" s="357">
        <v>0</v>
      </c>
      <c r="G56" s="357">
        <f t="shared" si="0"/>
        <v>0</v>
      </c>
      <c r="H56" s="185" t="s">
        <v>107</v>
      </c>
      <c r="K56"/>
      <c r="L56"/>
      <c r="Q56"/>
      <c r="R56"/>
      <c r="S56"/>
      <c r="T56"/>
      <c r="U56"/>
      <c r="V56"/>
      <c r="W56"/>
      <c r="X56"/>
      <c r="Y56"/>
      <c r="Z56"/>
    </row>
    <row r="57" spans="1:26" ht="38.25" x14ac:dyDescent="0.2">
      <c r="A57" s="192" t="s">
        <v>1425</v>
      </c>
      <c r="B57" s="227">
        <v>460661112</v>
      </c>
      <c r="C57" s="226" t="s">
        <v>1424</v>
      </c>
      <c r="D57" s="214" t="s">
        <v>106</v>
      </c>
      <c r="E57" s="215">
        <f>1850*0.82</f>
        <v>1517</v>
      </c>
      <c r="F57" s="357">
        <v>0</v>
      </c>
      <c r="G57" s="357">
        <f t="shared" si="0"/>
        <v>0</v>
      </c>
      <c r="H57" s="185" t="s">
        <v>1423</v>
      </c>
      <c r="K57"/>
      <c r="L57"/>
      <c r="Q57"/>
      <c r="R57"/>
      <c r="S57"/>
      <c r="T57"/>
      <c r="U57"/>
      <c r="V57"/>
      <c r="W57"/>
      <c r="X57"/>
      <c r="Y57"/>
      <c r="Z57"/>
    </row>
    <row r="58" spans="1:26" ht="25.5" x14ac:dyDescent="0.2">
      <c r="A58" s="192" t="s">
        <v>1422</v>
      </c>
      <c r="B58" s="198">
        <v>468041122</v>
      </c>
      <c r="C58" s="200" t="s">
        <v>1421</v>
      </c>
      <c r="D58" s="204" t="s">
        <v>106</v>
      </c>
      <c r="E58" s="204">
        <f>60*0.82</f>
        <v>49.199999999999996</v>
      </c>
      <c r="F58" s="357">
        <v>0</v>
      </c>
      <c r="G58" s="357">
        <f t="shared" si="0"/>
        <v>0</v>
      </c>
      <c r="H58" s="185" t="s">
        <v>107</v>
      </c>
      <c r="K58"/>
      <c r="L58"/>
      <c r="Q58"/>
      <c r="R58"/>
      <c r="S58"/>
      <c r="T58"/>
      <c r="U58"/>
      <c r="V58"/>
      <c r="W58"/>
      <c r="X58"/>
      <c r="Y58"/>
      <c r="Z58"/>
    </row>
    <row r="59" spans="1:26" ht="63.75" x14ac:dyDescent="0.2">
      <c r="A59" s="192" t="s">
        <v>1420</v>
      </c>
      <c r="B59" s="198">
        <v>460341113</v>
      </c>
      <c r="C59" s="223" t="s">
        <v>1419</v>
      </c>
      <c r="D59" s="200" t="s">
        <v>130</v>
      </c>
      <c r="E59" s="200">
        <f>191*0.82</f>
        <v>156.62</v>
      </c>
      <c r="F59" s="357">
        <v>0</v>
      </c>
      <c r="G59" s="357">
        <f t="shared" si="0"/>
        <v>0</v>
      </c>
      <c r="H59" s="185" t="s">
        <v>107</v>
      </c>
      <c r="K59"/>
      <c r="L59"/>
      <c r="Q59"/>
      <c r="R59"/>
      <c r="S59"/>
      <c r="T59"/>
      <c r="U59"/>
      <c r="V59"/>
      <c r="W59"/>
      <c r="X59"/>
      <c r="Y59"/>
      <c r="Z59"/>
    </row>
    <row r="60" spans="1:26" ht="76.5" x14ac:dyDescent="0.2">
      <c r="A60" s="192" t="s">
        <v>1418</v>
      </c>
      <c r="B60" s="198">
        <v>460341121</v>
      </c>
      <c r="C60" s="223" t="s">
        <v>1417</v>
      </c>
      <c r="D60" s="200" t="s">
        <v>130</v>
      </c>
      <c r="E60" s="200">
        <f>191*19*0.82</f>
        <v>2975.7799999999997</v>
      </c>
      <c r="F60" s="357">
        <v>0</v>
      </c>
      <c r="G60" s="357">
        <f t="shared" si="0"/>
        <v>0</v>
      </c>
      <c r="H60" s="185" t="s">
        <v>107</v>
      </c>
      <c r="K60"/>
      <c r="L60"/>
      <c r="Q60"/>
      <c r="R60"/>
      <c r="S60"/>
      <c r="T60"/>
      <c r="U60"/>
      <c r="V60"/>
      <c r="W60"/>
      <c r="X60"/>
      <c r="Y60"/>
      <c r="Z60"/>
    </row>
    <row r="61" spans="1:26" ht="38.25" x14ac:dyDescent="0.2">
      <c r="A61" s="192" t="s">
        <v>1416</v>
      </c>
      <c r="B61" s="198">
        <v>460361111</v>
      </c>
      <c r="C61" s="201" t="s">
        <v>1415</v>
      </c>
      <c r="D61" s="225" t="s">
        <v>231</v>
      </c>
      <c r="E61" s="225">
        <f>188.2*0.82</f>
        <v>154.32399999999998</v>
      </c>
      <c r="F61" s="357">
        <v>0</v>
      </c>
      <c r="G61" s="357">
        <f t="shared" si="0"/>
        <v>0</v>
      </c>
      <c r="H61" s="224" t="s">
        <v>107</v>
      </c>
      <c r="K61"/>
      <c r="L61"/>
      <c r="Q61"/>
      <c r="R61"/>
      <c r="S61"/>
      <c r="T61"/>
      <c r="U61"/>
      <c r="V61"/>
      <c r="W61"/>
      <c r="X61"/>
      <c r="Y61"/>
      <c r="Z61"/>
    </row>
    <row r="62" spans="1:26" ht="38.25" x14ac:dyDescent="0.2">
      <c r="A62" s="192" t="s">
        <v>1414</v>
      </c>
      <c r="B62" s="198" t="s">
        <v>1413</v>
      </c>
      <c r="C62" s="223" t="s">
        <v>1412</v>
      </c>
      <c r="D62" s="200" t="s">
        <v>1381</v>
      </c>
      <c r="E62" s="200">
        <f>60*0.82</f>
        <v>49.199999999999996</v>
      </c>
      <c r="F62" s="357">
        <v>0</v>
      </c>
      <c r="G62" s="357">
        <f t="shared" si="0"/>
        <v>0</v>
      </c>
      <c r="H62" s="185" t="s">
        <v>1380</v>
      </c>
      <c r="K62"/>
      <c r="L62"/>
      <c r="Q62"/>
      <c r="R62"/>
      <c r="S62"/>
      <c r="T62"/>
      <c r="U62"/>
      <c r="V62"/>
      <c r="W62"/>
      <c r="X62"/>
      <c r="Y62"/>
      <c r="Z62"/>
    </row>
    <row r="63" spans="1:26" x14ac:dyDescent="0.2">
      <c r="A63" s="192" t="s">
        <v>1411</v>
      </c>
      <c r="B63" s="198" t="s">
        <v>1410</v>
      </c>
      <c r="C63" s="222" t="s">
        <v>1409</v>
      </c>
      <c r="D63" s="214" t="s">
        <v>1381</v>
      </c>
      <c r="E63" s="215">
        <f>17*0.82</f>
        <v>13.94</v>
      </c>
      <c r="F63" s="357">
        <v>0</v>
      </c>
      <c r="G63" s="357">
        <f t="shared" si="0"/>
        <v>0</v>
      </c>
      <c r="H63" s="207" t="s">
        <v>1380</v>
      </c>
      <c r="K63"/>
      <c r="L63"/>
      <c r="Q63"/>
      <c r="R63"/>
      <c r="S63"/>
      <c r="T63"/>
      <c r="U63"/>
      <c r="V63"/>
      <c r="W63"/>
      <c r="X63"/>
      <c r="Y63"/>
      <c r="Z63"/>
    </row>
    <row r="64" spans="1:26" x14ac:dyDescent="0.2">
      <c r="A64" s="192" t="s">
        <v>1408</v>
      </c>
      <c r="B64" s="198" t="s">
        <v>1407</v>
      </c>
      <c r="C64" s="221" t="s">
        <v>1406</v>
      </c>
      <c r="D64" s="220" t="s">
        <v>1381</v>
      </c>
      <c r="E64" s="491">
        <f>8*0.82</f>
        <v>6.56</v>
      </c>
      <c r="F64" s="357">
        <v>0</v>
      </c>
      <c r="G64" s="357">
        <f t="shared" si="0"/>
        <v>0</v>
      </c>
      <c r="H64" s="207" t="s">
        <v>1380</v>
      </c>
      <c r="K64"/>
      <c r="L64"/>
      <c r="Q64"/>
      <c r="R64"/>
      <c r="S64"/>
      <c r="T64"/>
      <c r="U64"/>
      <c r="V64"/>
      <c r="W64"/>
      <c r="X64"/>
      <c r="Y64"/>
      <c r="Z64"/>
    </row>
    <row r="65" spans="1:26" x14ac:dyDescent="0.2">
      <c r="A65" s="192" t="s">
        <v>1405</v>
      </c>
      <c r="B65" s="198" t="s">
        <v>1404</v>
      </c>
      <c r="C65" s="219" t="s">
        <v>1403</v>
      </c>
      <c r="D65" s="214" t="s">
        <v>1381</v>
      </c>
      <c r="E65" s="215">
        <f>24*0.82</f>
        <v>19.68</v>
      </c>
      <c r="F65" s="357">
        <v>0</v>
      </c>
      <c r="G65" s="357">
        <f t="shared" si="0"/>
        <v>0</v>
      </c>
      <c r="H65" s="207" t="s">
        <v>1380</v>
      </c>
      <c r="K65"/>
      <c r="L65"/>
      <c r="Q65"/>
      <c r="R65"/>
      <c r="S65"/>
      <c r="T65"/>
      <c r="U65"/>
      <c r="V65"/>
      <c r="W65"/>
      <c r="X65"/>
      <c r="Y65"/>
      <c r="Z65"/>
    </row>
    <row r="66" spans="1:26" x14ac:dyDescent="0.2">
      <c r="A66" s="218"/>
      <c r="B66" s="217"/>
      <c r="C66" s="216"/>
      <c r="D66" s="214"/>
      <c r="E66" s="215"/>
      <c r="F66" s="342"/>
      <c r="G66" s="357"/>
      <c r="H66" s="207"/>
      <c r="K66"/>
      <c r="L66"/>
      <c r="Q66"/>
      <c r="R66"/>
      <c r="S66"/>
      <c r="T66"/>
      <c r="U66"/>
      <c r="V66"/>
      <c r="W66"/>
      <c r="X66"/>
      <c r="Y66"/>
      <c r="Z66"/>
    </row>
    <row r="67" spans="1:26" x14ac:dyDescent="0.2">
      <c r="A67" s="213" t="s">
        <v>1402</v>
      </c>
      <c r="B67" s="211"/>
      <c r="C67" s="210"/>
      <c r="D67" s="209"/>
      <c r="E67" s="208"/>
      <c r="F67" s="343"/>
      <c r="G67" s="357"/>
      <c r="H67" s="207"/>
      <c r="K67"/>
      <c r="L67"/>
      <c r="Q67"/>
      <c r="R67"/>
      <c r="S67"/>
      <c r="T67"/>
      <c r="U67"/>
      <c r="V67"/>
      <c r="W67"/>
      <c r="X67"/>
      <c r="Y67"/>
      <c r="Z67"/>
    </row>
    <row r="68" spans="1:26" x14ac:dyDescent="0.2">
      <c r="A68" s="212"/>
      <c r="B68" s="211"/>
      <c r="C68" s="210"/>
      <c r="D68" s="209"/>
      <c r="E68" s="208"/>
      <c r="F68" s="343"/>
      <c r="G68" s="357"/>
      <c r="H68" s="207"/>
      <c r="K68"/>
      <c r="L68"/>
      <c r="Q68"/>
      <c r="R68"/>
      <c r="S68"/>
      <c r="T68"/>
      <c r="U68"/>
      <c r="V68"/>
      <c r="W68"/>
      <c r="X68"/>
      <c r="Y68"/>
      <c r="Z68"/>
    </row>
    <row r="69" spans="1:26" x14ac:dyDescent="0.2">
      <c r="A69" s="192" t="s">
        <v>1401</v>
      </c>
      <c r="B69" s="198" t="s">
        <v>1400</v>
      </c>
      <c r="C69" s="204" t="s">
        <v>1399</v>
      </c>
      <c r="D69" s="188" t="s">
        <v>1381</v>
      </c>
      <c r="E69" s="188">
        <f>8*0.82</f>
        <v>6.56</v>
      </c>
      <c r="F69" s="357">
        <v>0</v>
      </c>
      <c r="G69" s="357">
        <f t="shared" ref="G69:G77" si="1">E69*F69</f>
        <v>0</v>
      </c>
      <c r="H69" s="207" t="s">
        <v>1380</v>
      </c>
      <c r="K69"/>
      <c r="L69"/>
      <c r="Q69"/>
      <c r="R69"/>
      <c r="S69"/>
      <c r="T69"/>
      <c r="U69"/>
      <c r="V69"/>
      <c r="W69"/>
      <c r="X69"/>
      <c r="Y69"/>
      <c r="Z69"/>
    </row>
    <row r="70" spans="1:26" ht="38.25" x14ac:dyDescent="0.2">
      <c r="A70" s="192" t="s">
        <v>1398</v>
      </c>
      <c r="B70" s="198" t="s">
        <v>1397</v>
      </c>
      <c r="C70" s="206" t="s">
        <v>1396</v>
      </c>
      <c r="D70" s="206" t="s">
        <v>1395</v>
      </c>
      <c r="E70" s="201">
        <f>18*0.82</f>
        <v>14.76</v>
      </c>
      <c r="F70" s="357">
        <v>0</v>
      </c>
      <c r="G70" s="357">
        <f t="shared" si="1"/>
        <v>0</v>
      </c>
      <c r="H70" s="205" t="s">
        <v>1394</v>
      </c>
      <c r="K70"/>
      <c r="L70"/>
      <c r="Q70"/>
      <c r="R70"/>
      <c r="S70"/>
      <c r="T70"/>
      <c r="U70"/>
      <c r="V70"/>
      <c r="W70"/>
      <c r="X70"/>
      <c r="Y70"/>
      <c r="Z70"/>
    </row>
    <row r="71" spans="1:26" x14ac:dyDescent="0.2">
      <c r="A71" s="192" t="s">
        <v>1393</v>
      </c>
      <c r="B71" s="198" t="s">
        <v>1392</v>
      </c>
      <c r="C71" s="204" t="s">
        <v>1391</v>
      </c>
      <c r="D71" s="190" t="s">
        <v>1381</v>
      </c>
      <c r="E71" s="188">
        <f>8*0.82</f>
        <v>6.56</v>
      </c>
      <c r="F71" s="357">
        <v>0</v>
      </c>
      <c r="G71" s="357">
        <f t="shared" si="1"/>
        <v>0</v>
      </c>
      <c r="H71" s="199" t="s">
        <v>1380</v>
      </c>
      <c r="K71"/>
      <c r="L71"/>
      <c r="Q71"/>
      <c r="R71"/>
      <c r="S71"/>
      <c r="T71"/>
      <c r="U71"/>
      <c r="V71"/>
      <c r="W71"/>
      <c r="X71"/>
      <c r="Y71"/>
      <c r="Z71"/>
    </row>
    <row r="72" spans="1:26" ht="51" x14ac:dyDescent="0.2">
      <c r="A72" s="192" t="s">
        <v>1390</v>
      </c>
      <c r="B72" s="198" t="s">
        <v>1389</v>
      </c>
      <c r="C72" s="200" t="s">
        <v>1388</v>
      </c>
      <c r="D72" s="190" t="s">
        <v>1381</v>
      </c>
      <c r="E72" s="495">
        <f>24*0.82</f>
        <v>19.68</v>
      </c>
      <c r="F72" s="357">
        <v>0</v>
      </c>
      <c r="G72" s="357">
        <f t="shared" si="1"/>
        <v>0</v>
      </c>
      <c r="H72" s="203" t="s">
        <v>1380</v>
      </c>
      <c r="K72"/>
      <c r="L72"/>
      <c r="Q72"/>
      <c r="R72"/>
      <c r="S72"/>
      <c r="T72"/>
      <c r="U72"/>
      <c r="V72"/>
      <c r="W72"/>
      <c r="X72"/>
      <c r="Y72"/>
      <c r="Z72"/>
    </row>
    <row r="73" spans="1:26" ht="25.5" x14ac:dyDescent="0.2">
      <c r="A73" s="192" t="s">
        <v>1387</v>
      </c>
      <c r="B73" s="198" t="s">
        <v>1386</v>
      </c>
      <c r="C73" s="200" t="s">
        <v>1385</v>
      </c>
      <c r="D73" s="202" t="s">
        <v>1381</v>
      </c>
      <c r="E73" s="195">
        <f>8*0.82</f>
        <v>6.56</v>
      </c>
      <c r="F73" s="357">
        <v>0</v>
      </c>
      <c r="G73" s="357">
        <f t="shared" si="1"/>
        <v>0</v>
      </c>
      <c r="H73" s="199" t="s">
        <v>1380</v>
      </c>
      <c r="K73"/>
      <c r="L73"/>
      <c r="Q73"/>
      <c r="R73"/>
      <c r="S73"/>
      <c r="T73"/>
      <c r="U73"/>
      <c r="V73"/>
      <c r="W73"/>
      <c r="X73"/>
      <c r="Y73"/>
      <c r="Z73"/>
    </row>
    <row r="74" spans="1:26" ht="25.5" x14ac:dyDescent="0.2">
      <c r="A74" s="192" t="s">
        <v>1384</v>
      </c>
      <c r="B74" s="198" t="s">
        <v>1383</v>
      </c>
      <c r="C74" s="200" t="s">
        <v>1382</v>
      </c>
      <c r="D74" s="190" t="s">
        <v>1381</v>
      </c>
      <c r="E74" s="201">
        <f>17*0.82</f>
        <v>13.94</v>
      </c>
      <c r="F74" s="357">
        <v>0</v>
      </c>
      <c r="G74" s="357">
        <f t="shared" si="1"/>
        <v>0</v>
      </c>
      <c r="H74" s="199" t="s">
        <v>1380</v>
      </c>
      <c r="K74"/>
      <c r="L74"/>
      <c r="Q74"/>
      <c r="R74"/>
      <c r="S74"/>
      <c r="T74"/>
      <c r="U74"/>
      <c r="V74"/>
      <c r="W74"/>
      <c r="X74"/>
      <c r="Y74"/>
      <c r="Z74"/>
    </row>
    <row r="75" spans="1:26" ht="51" x14ac:dyDescent="0.2">
      <c r="A75" s="192" t="s">
        <v>1379</v>
      </c>
      <c r="B75" s="198">
        <v>741810003</v>
      </c>
      <c r="C75" s="197" t="s">
        <v>1885</v>
      </c>
      <c r="D75" s="196" t="s">
        <v>314</v>
      </c>
      <c r="E75" s="195">
        <v>1</v>
      </c>
      <c r="F75" s="357">
        <v>0</v>
      </c>
      <c r="G75" s="357">
        <f t="shared" si="1"/>
        <v>0</v>
      </c>
      <c r="H75" s="194" t="s">
        <v>107</v>
      </c>
      <c r="K75"/>
      <c r="L75"/>
      <c r="Q75"/>
      <c r="R75"/>
      <c r="S75"/>
      <c r="T75"/>
      <c r="U75"/>
      <c r="V75"/>
      <c r="W75"/>
      <c r="X75"/>
      <c r="Y75"/>
      <c r="Z75"/>
    </row>
    <row r="76" spans="1:26" ht="25.5" x14ac:dyDescent="0.2">
      <c r="A76" s="192" t="s">
        <v>1378</v>
      </c>
      <c r="B76" s="191">
        <v>741820014</v>
      </c>
      <c r="C76" s="190" t="s">
        <v>1377</v>
      </c>
      <c r="D76" s="189" t="s">
        <v>314</v>
      </c>
      <c r="E76" s="188">
        <v>1</v>
      </c>
      <c r="F76" s="357">
        <v>0</v>
      </c>
      <c r="G76" s="357">
        <f t="shared" si="1"/>
        <v>0</v>
      </c>
      <c r="H76" s="185" t="s">
        <v>107</v>
      </c>
      <c r="K76"/>
      <c r="L76"/>
      <c r="Q76"/>
      <c r="R76"/>
      <c r="S76"/>
      <c r="T76"/>
      <c r="U76"/>
      <c r="V76"/>
      <c r="W76"/>
      <c r="X76"/>
      <c r="Y76"/>
      <c r="Z76"/>
    </row>
    <row r="77" spans="1:26" ht="25.5" x14ac:dyDescent="0.2">
      <c r="A77" s="192" t="s">
        <v>1376</v>
      </c>
      <c r="B77" s="191">
        <v>741820102</v>
      </c>
      <c r="C77" s="190" t="s">
        <v>1375</v>
      </c>
      <c r="D77" s="189" t="s">
        <v>314</v>
      </c>
      <c r="E77" s="188">
        <v>1</v>
      </c>
      <c r="F77" s="357">
        <v>0</v>
      </c>
      <c r="G77" s="357">
        <f t="shared" si="1"/>
        <v>0</v>
      </c>
      <c r="H77" s="185" t="s">
        <v>107</v>
      </c>
      <c r="K77"/>
      <c r="L77"/>
      <c r="Q77"/>
      <c r="R77"/>
      <c r="S77"/>
      <c r="T77"/>
      <c r="U77"/>
      <c r="V77"/>
      <c r="W77"/>
      <c r="X77"/>
      <c r="Y77"/>
      <c r="Z77"/>
    </row>
    <row r="78" spans="1:26" ht="13.5" thickBot="1" x14ac:dyDescent="0.25">
      <c r="A78" s="184"/>
      <c r="B78" s="183"/>
      <c r="C78" s="182"/>
      <c r="D78" s="181"/>
      <c r="E78" s="496"/>
      <c r="F78" s="359"/>
      <c r="G78" s="360"/>
      <c r="H78" s="180"/>
      <c r="K78"/>
      <c r="L78"/>
      <c r="Q78"/>
      <c r="R78"/>
      <c r="S78"/>
      <c r="T78"/>
      <c r="U78"/>
      <c r="V78"/>
      <c r="W78"/>
      <c r="X78"/>
      <c r="Y78"/>
      <c r="Z78"/>
    </row>
    <row r="79" spans="1:26" x14ac:dyDescent="0.2">
      <c r="A79" s="179"/>
      <c r="B79" s="178"/>
      <c r="C79" s="178"/>
      <c r="D79" s="177"/>
      <c r="E79" s="177"/>
      <c r="F79" s="361"/>
      <c r="G79" s="361"/>
      <c r="H79" s="176"/>
    </row>
    <row r="80" spans="1:26" x14ac:dyDescent="0.2">
      <c r="A80" s="175"/>
      <c r="B80" s="174" t="s">
        <v>1374</v>
      </c>
      <c r="C80" s="174"/>
      <c r="D80" s="173"/>
      <c r="E80" s="173"/>
      <c r="F80" s="362"/>
      <c r="G80" s="362">
        <f>SUM(G10:G79)</f>
        <v>0</v>
      </c>
      <c r="H80" s="172"/>
    </row>
    <row r="81" spans="1:8" ht="13.5" thickBot="1" x14ac:dyDescent="0.25">
      <c r="A81" s="171"/>
      <c r="B81" s="170"/>
      <c r="C81" s="170"/>
      <c r="D81" s="169"/>
      <c r="E81" s="169"/>
      <c r="F81" s="363"/>
      <c r="G81" s="363"/>
      <c r="H81" s="168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BFFA-75A3-42D4-BBE5-3EB25E4CFA29}">
  <sheetPr>
    <pageSetUpPr fitToPage="1"/>
  </sheetPr>
  <dimension ref="B2:BM245"/>
  <sheetViews>
    <sheetView showGridLines="0" workbookViewId="0">
      <selection activeCell="I90" sqref="I90"/>
    </sheetView>
  </sheetViews>
  <sheetFormatPr defaultRowHeight="11.25" x14ac:dyDescent="0.2"/>
  <cols>
    <col min="1" max="1" width="8.33203125" style="508" customWidth="1"/>
    <col min="2" max="2" width="1.1640625" style="508" customWidth="1"/>
    <col min="3" max="3" width="4.1640625" style="508" customWidth="1"/>
    <col min="4" max="4" width="4.33203125" style="508" customWidth="1"/>
    <col min="5" max="5" width="17.1640625" style="508" customWidth="1"/>
    <col min="6" max="6" width="50.83203125" style="508" customWidth="1"/>
    <col min="7" max="7" width="7.5" style="508" customWidth="1"/>
    <col min="8" max="8" width="14" style="508" customWidth="1"/>
    <col min="9" max="9" width="15.83203125" style="508" customWidth="1"/>
    <col min="10" max="11" width="22.33203125" style="508" customWidth="1"/>
    <col min="12" max="12" width="9.33203125" style="508" customWidth="1"/>
    <col min="13" max="13" width="10.83203125" style="508" hidden="1" customWidth="1"/>
    <col min="14" max="14" width="9.33203125" style="508"/>
    <col min="15" max="20" width="14.1640625" style="508" hidden="1" customWidth="1"/>
    <col min="21" max="21" width="16.33203125" style="508" hidden="1" customWidth="1"/>
    <col min="22" max="22" width="12.33203125" style="508" customWidth="1"/>
    <col min="23" max="23" width="16.33203125" style="508" customWidth="1"/>
    <col min="24" max="24" width="12.33203125" style="508" customWidth="1"/>
    <col min="25" max="25" width="15" style="508" customWidth="1"/>
    <col min="26" max="26" width="11" style="508" customWidth="1"/>
    <col min="27" max="27" width="15" style="508" customWidth="1"/>
    <col min="28" max="28" width="16.33203125" style="508" customWidth="1"/>
    <col min="29" max="29" width="11" style="508" customWidth="1"/>
    <col min="30" max="30" width="15" style="508" customWidth="1"/>
    <col min="31" max="31" width="16.33203125" style="508" customWidth="1"/>
    <col min="32" max="16384" width="9.33203125" style="508"/>
  </cols>
  <sheetData>
    <row r="2" spans="2:46" ht="36.950000000000003" customHeight="1" x14ac:dyDescent="0.2">
      <c r="L2" s="678" t="s">
        <v>4</v>
      </c>
      <c r="M2" s="679"/>
      <c r="N2" s="679"/>
      <c r="O2" s="679"/>
      <c r="P2" s="679"/>
      <c r="Q2" s="679"/>
      <c r="R2" s="679"/>
      <c r="S2" s="679"/>
      <c r="T2" s="679"/>
      <c r="U2" s="679"/>
      <c r="V2" s="679"/>
      <c r="AT2" s="509" t="s">
        <v>1956</v>
      </c>
    </row>
    <row r="3" spans="2:46" ht="6.95" customHeight="1" x14ac:dyDescent="0.2">
      <c r="B3" s="510"/>
      <c r="C3" s="511"/>
      <c r="D3" s="511"/>
      <c r="E3" s="511"/>
      <c r="F3" s="511"/>
      <c r="G3" s="511"/>
      <c r="H3" s="511"/>
      <c r="I3" s="511"/>
      <c r="J3" s="511"/>
      <c r="K3" s="511"/>
      <c r="L3" s="512"/>
      <c r="AT3" s="509" t="s">
        <v>65</v>
      </c>
    </row>
    <row r="4" spans="2:46" ht="24.95" customHeight="1" x14ac:dyDescent="0.2">
      <c r="B4" s="512"/>
      <c r="D4" s="513" t="s">
        <v>72</v>
      </c>
      <c r="L4" s="512"/>
      <c r="M4" s="514" t="s">
        <v>9</v>
      </c>
      <c r="AT4" s="509" t="s">
        <v>2</v>
      </c>
    </row>
    <row r="5" spans="2:46" ht="6.95" customHeight="1" x14ac:dyDescent="0.2">
      <c r="B5" s="512"/>
      <c r="L5" s="512"/>
    </row>
    <row r="6" spans="2:46" ht="12" customHeight="1" x14ac:dyDescent="0.2">
      <c r="B6" s="512"/>
      <c r="D6" s="515" t="s">
        <v>13</v>
      </c>
      <c r="L6" s="512"/>
    </row>
    <row r="7" spans="2:46" ht="16.5" customHeight="1" x14ac:dyDescent="0.2">
      <c r="B7" s="512"/>
      <c r="E7" s="676" t="s">
        <v>14</v>
      </c>
      <c r="F7" s="677"/>
      <c r="G7" s="677"/>
      <c r="H7" s="677"/>
      <c r="L7" s="512"/>
    </row>
    <row r="8" spans="2:46" s="516" customFormat="1" ht="12" customHeight="1" x14ac:dyDescent="0.2">
      <c r="B8" s="517"/>
      <c r="D8" s="515" t="s">
        <v>73</v>
      </c>
      <c r="L8" s="517"/>
    </row>
    <row r="9" spans="2:46" s="516" customFormat="1" ht="16.5" customHeight="1" x14ac:dyDescent="0.2">
      <c r="B9" s="517"/>
      <c r="E9" s="674" t="s">
        <v>1957</v>
      </c>
      <c r="F9" s="675"/>
      <c r="G9" s="675"/>
      <c r="H9" s="675"/>
      <c r="L9" s="517"/>
    </row>
    <row r="10" spans="2:46" s="516" customFormat="1" x14ac:dyDescent="0.2">
      <c r="B10" s="517"/>
      <c r="L10" s="517"/>
    </row>
    <row r="11" spans="2:46" s="516" customFormat="1" ht="12" customHeight="1" x14ac:dyDescent="0.2">
      <c r="B11" s="517"/>
      <c r="D11" s="515" t="s">
        <v>15</v>
      </c>
      <c r="F11" s="518" t="s">
        <v>1</v>
      </c>
      <c r="I11" s="515" t="s">
        <v>16</v>
      </c>
      <c r="J11" s="518" t="s">
        <v>1</v>
      </c>
      <c r="L11" s="517"/>
    </row>
    <row r="12" spans="2:46" s="516" customFormat="1" ht="12" customHeight="1" x14ac:dyDescent="0.2">
      <c r="B12" s="517"/>
      <c r="D12" s="515" t="s">
        <v>17</v>
      </c>
      <c r="F12" s="518" t="s">
        <v>18</v>
      </c>
      <c r="I12" s="515" t="s">
        <v>19</v>
      </c>
      <c r="J12" s="519" t="s">
        <v>20</v>
      </c>
      <c r="L12" s="517"/>
    </row>
    <row r="13" spans="2:46" s="516" customFormat="1" ht="10.9" customHeight="1" x14ac:dyDescent="0.2">
      <c r="B13" s="517"/>
      <c r="L13" s="517"/>
    </row>
    <row r="14" spans="2:46" s="516" customFormat="1" ht="12" customHeight="1" x14ac:dyDescent="0.2">
      <c r="B14" s="517"/>
      <c r="D14" s="515" t="s">
        <v>21</v>
      </c>
      <c r="I14" s="515" t="s">
        <v>22</v>
      </c>
      <c r="J14" s="518" t="s">
        <v>1</v>
      </c>
      <c r="L14" s="517"/>
    </row>
    <row r="15" spans="2:46" s="516" customFormat="1" ht="18" customHeight="1" x14ac:dyDescent="0.2">
      <c r="B15" s="517"/>
      <c r="E15" s="518" t="s">
        <v>23</v>
      </c>
      <c r="I15" s="515" t="s">
        <v>24</v>
      </c>
      <c r="J15" s="518" t="s">
        <v>1</v>
      </c>
      <c r="L15" s="517"/>
    </row>
    <row r="16" spans="2:46" s="516" customFormat="1" ht="6.95" customHeight="1" x14ac:dyDescent="0.2">
      <c r="B16" s="517"/>
      <c r="L16" s="517"/>
    </row>
    <row r="17" spans="2:12" s="516" customFormat="1" ht="12" customHeight="1" x14ac:dyDescent="0.2">
      <c r="B17" s="517"/>
      <c r="D17" s="515" t="s">
        <v>1958</v>
      </c>
      <c r="I17" s="515" t="s">
        <v>22</v>
      </c>
      <c r="J17" s="520" t="s">
        <v>2108</v>
      </c>
      <c r="L17" s="517"/>
    </row>
    <row r="18" spans="2:12" s="516" customFormat="1" ht="18" customHeight="1" x14ac:dyDescent="0.2">
      <c r="B18" s="517"/>
      <c r="E18" s="680" t="s">
        <v>2108</v>
      </c>
      <c r="F18" s="681"/>
      <c r="G18" s="681"/>
      <c r="H18" s="681"/>
      <c r="I18" s="515" t="s">
        <v>24</v>
      </c>
      <c r="J18" s="520" t="s">
        <v>2108</v>
      </c>
      <c r="L18" s="517"/>
    </row>
    <row r="19" spans="2:12" s="516" customFormat="1" ht="6.95" customHeight="1" x14ac:dyDescent="0.2">
      <c r="B19" s="517"/>
      <c r="L19" s="517"/>
    </row>
    <row r="20" spans="2:12" s="516" customFormat="1" ht="12" customHeight="1" x14ac:dyDescent="0.2">
      <c r="B20" s="517"/>
      <c r="D20" s="515" t="s">
        <v>26</v>
      </c>
      <c r="I20" s="515" t="s">
        <v>22</v>
      </c>
      <c r="J20" s="518" t="s">
        <v>27</v>
      </c>
      <c r="L20" s="517"/>
    </row>
    <row r="21" spans="2:12" s="516" customFormat="1" ht="18" customHeight="1" x14ac:dyDescent="0.2">
      <c r="B21" s="517"/>
      <c r="E21" s="518" t="s">
        <v>28</v>
      </c>
      <c r="I21" s="515" t="s">
        <v>24</v>
      </c>
      <c r="J21" s="518" t="s">
        <v>29</v>
      </c>
      <c r="L21" s="517"/>
    </row>
    <row r="22" spans="2:12" s="516" customFormat="1" ht="6.95" customHeight="1" x14ac:dyDescent="0.2">
      <c r="B22" s="517"/>
      <c r="L22" s="517"/>
    </row>
    <row r="23" spans="2:12" s="516" customFormat="1" ht="12" customHeight="1" x14ac:dyDescent="0.2">
      <c r="B23" s="517"/>
      <c r="D23" s="515" t="s">
        <v>31</v>
      </c>
      <c r="I23" s="515" t="s">
        <v>22</v>
      </c>
      <c r="J23" s="518" t="s">
        <v>27</v>
      </c>
      <c r="L23" s="517"/>
    </row>
    <row r="24" spans="2:12" s="516" customFormat="1" ht="18" customHeight="1" x14ac:dyDescent="0.2">
      <c r="B24" s="517"/>
      <c r="E24" s="518" t="s">
        <v>28</v>
      </c>
      <c r="I24" s="515" t="s">
        <v>24</v>
      </c>
      <c r="J24" s="518" t="s">
        <v>29</v>
      </c>
      <c r="L24" s="517"/>
    </row>
    <row r="25" spans="2:12" s="516" customFormat="1" ht="6.95" customHeight="1" x14ac:dyDescent="0.2">
      <c r="B25" s="517"/>
      <c r="L25" s="517"/>
    </row>
    <row r="26" spans="2:12" s="516" customFormat="1" ht="12" customHeight="1" x14ac:dyDescent="0.2">
      <c r="B26" s="517"/>
      <c r="D26" s="515" t="s">
        <v>32</v>
      </c>
      <c r="L26" s="517"/>
    </row>
    <row r="27" spans="2:12" s="521" customFormat="1" ht="16.5" customHeight="1" x14ac:dyDescent="0.2">
      <c r="B27" s="522"/>
      <c r="E27" s="682" t="s">
        <v>1</v>
      </c>
      <c r="F27" s="682"/>
      <c r="G27" s="682"/>
      <c r="H27" s="682"/>
      <c r="L27" s="522"/>
    </row>
    <row r="28" spans="2:12" s="516" customFormat="1" ht="6.95" customHeight="1" x14ac:dyDescent="0.2">
      <c r="B28" s="517"/>
      <c r="L28" s="517"/>
    </row>
    <row r="29" spans="2:12" s="516" customFormat="1" ht="6.95" customHeight="1" x14ac:dyDescent="0.2">
      <c r="B29" s="517"/>
      <c r="D29" s="524"/>
      <c r="E29" s="524"/>
      <c r="F29" s="524"/>
      <c r="G29" s="524"/>
      <c r="H29" s="524"/>
      <c r="I29" s="524"/>
      <c r="J29" s="524"/>
      <c r="K29" s="524"/>
      <c r="L29" s="517"/>
    </row>
    <row r="30" spans="2:12" s="516" customFormat="1" ht="25.35" customHeight="1" x14ac:dyDescent="0.2">
      <c r="B30" s="517"/>
      <c r="D30" s="525" t="s">
        <v>34</v>
      </c>
      <c r="J30" s="526">
        <f>ROUND(J87, 2)</f>
        <v>0</v>
      </c>
      <c r="L30" s="517"/>
    </row>
    <row r="31" spans="2:12" s="516" customFormat="1" ht="6.95" customHeight="1" x14ac:dyDescent="0.2">
      <c r="B31" s="517"/>
      <c r="D31" s="524"/>
      <c r="E31" s="524"/>
      <c r="F31" s="524"/>
      <c r="G31" s="524"/>
      <c r="H31" s="524"/>
      <c r="I31" s="524"/>
      <c r="J31" s="524"/>
      <c r="K31" s="524"/>
      <c r="L31" s="517"/>
    </row>
    <row r="32" spans="2:12" s="516" customFormat="1" ht="14.45" customHeight="1" x14ac:dyDescent="0.2">
      <c r="B32" s="517"/>
      <c r="F32" s="527" t="s">
        <v>36</v>
      </c>
      <c r="I32" s="527" t="s">
        <v>35</v>
      </c>
      <c r="J32" s="527" t="s">
        <v>37</v>
      </c>
      <c r="L32" s="517"/>
    </row>
    <row r="33" spans="2:12" s="516" customFormat="1" ht="14.45" customHeight="1" x14ac:dyDescent="0.2">
      <c r="B33" s="517"/>
      <c r="D33" s="528" t="s">
        <v>38</v>
      </c>
      <c r="E33" s="515" t="s">
        <v>39</v>
      </c>
      <c r="F33" s="529">
        <f>ROUND((SUM(BE87:BE244)),  2)</f>
        <v>0</v>
      </c>
      <c r="I33" s="530">
        <v>0.21</v>
      </c>
      <c r="J33" s="529">
        <f>ROUND(((SUM(BE87:BE244))*I33),  2)</f>
        <v>0</v>
      </c>
      <c r="L33" s="517"/>
    </row>
    <row r="34" spans="2:12" s="516" customFormat="1" ht="14.45" customHeight="1" x14ac:dyDescent="0.2">
      <c r="B34" s="517"/>
      <c r="E34" s="515" t="s">
        <v>40</v>
      </c>
      <c r="F34" s="529">
        <f>ROUND((SUM(BF87:BF244)),  2)</f>
        <v>0</v>
      </c>
      <c r="I34" s="530">
        <v>0.15</v>
      </c>
      <c r="J34" s="529">
        <f>ROUND(((SUM(BF87:BF244))*I34),  2)</f>
        <v>0</v>
      </c>
      <c r="L34" s="517"/>
    </row>
    <row r="35" spans="2:12" s="516" customFormat="1" ht="14.45" hidden="1" customHeight="1" x14ac:dyDescent="0.2">
      <c r="B35" s="517"/>
      <c r="E35" s="515" t="s">
        <v>41</v>
      </c>
      <c r="F35" s="529">
        <f>ROUND((SUM(BG87:BG244)),  2)</f>
        <v>0</v>
      </c>
      <c r="I35" s="530">
        <v>0.21</v>
      </c>
      <c r="J35" s="529">
        <f>0</f>
        <v>0</v>
      </c>
      <c r="L35" s="517"/>
    </row>
    <row r="36" spans="2:12" s="516" customFormat="1" ht="14.45" hidden="1" customHeight="1" x14ac:dyDescent="0.2">
      <c r="B36" s="517"/>
      <c r="E36" s="515" t="s">
        <v>42</v>
      </c>
      <c r="F36" s="529">
        <f>ROUND((SUM(BH87:BH244)),  2)</f>
        <v>0</v>
      </c>
      <c r="I36" s="530">
        <v>0.15</v>
      </c>
      <c r="J36" s="529">
        <f>0</f>
        <v>0</v>
      </c>
      <c r="L36" s="517"/>
    </row>
    <row r="37" spans="2:12" s="516" customFormat="1" ht="14.45" hidden="1" customHeight="1" x14ac:dyDescent="0.2">
      <c r="B37" s="517"/>
      <c r="E37" s="515" t="s">
        <v>43</v>
      </c>
      <c r="F37" s="529">
        <f>ROUND((SUM(BI87:BI244)),  2)</f>
        <v>0</v>
      </c>
      <c r="I37" s="530">
        <v>0</v>
      </c>
      <c r="J37" s="529">
        <f>0</f>
        <v>0</v>
      </c>
      <c r="L37" s="517"/>
    </row>
    <row r="38" spans="2:12" s="516" customFormat="1" ht="6.95" customHeight="1" x14ac:dyDescent="0.2">
      <c r="B38" s="517"/>
      <c r="L38" s="517"/>
    </row>
    <row r="39" spans="2:12" s="516" customFormat="1" ht="25.35" customHeight="1" x14ac:dyDescent="0.2">
      <c r="B39" s="517"/>
      <c r="C39" s="531"/>
      <c r="D39" s="532" t="s">
        <v>44</v>
      </c>
      <c r="E39" s="533"/>
      <c r="F39" s="533"/>
      <c r="G39" s="534" t="s">
        <v>45</v>
      </c>
      <c r="H39" s="535" t="s">
        <v>46</v>
      </c>
      <c r="I39" s="533"/>
      <c r="J39" s="536">
        <f>SUM(J30:J37)</f>
        <v>0</v>
      </c>
      <c r="K39" s="537"/>
      <c r="L39" s="517"/>
    </row>
    <row r="40" spans="2:12" s="516" customFormat="1" ht="14.45" customHeight="1" x14ac:dyDescent="0.2">
      <c r="B40" s="538"/>
      <c r="C40" s="539"/>
      <c r="D40" s="539"/>
      <c r="E40" s="539"/>
      <c r="F40" s="539"/>
      <c r="G40" s="539"/>
      <c r="H40" s="539"/>
      <c r="I40" s="539"/>
      <c r="J40" s="539"/>
      <c r="K40" s="539"/>
      <c r="L40" s="517"/>
    </row>
    <row r="44" spans="2:12" s="516" customFormat="1" ht="6.95" customHeight="1" x14ac:dyDescent="0.2">
      <c r="B44" s="540"/>
      <c r="C44" s="541"/>
      <c r="D44" s="541"/>
      <c r="E44" s="541"/>
      <c r="F44" s="541"/>
      <c r="G44" s="541"/>
      <c r="H44" s="541"/>
      <c r="I44" s="541"/>
      <c r="J44" s="541"/>
      <c r="K44" s="541"/>
      <c r="L44" s="517"/>
    </row>
    <row r="45" spans="2:12" s="516" customFormat="1" ht="24.95" customHeight="1" x14ac:dyDescent="0.2">
      <c r="B45" s="517"/>
      <c r="C45" s="513" t="s">
        <v>75</v>
      </c>
      <c r="L45" s="517"/>
    </row>
    <row r="46" spans="2:12" s="516" customFormat="1" ht="6.95" customHeight="1" x14ac:dyDescent="0.2">
      <c r="B46" s="517"/>
      <c r="L46" s="517"/>
    </row>
    <row r="47" spans="2:12" s="516" customFormat="1" ht="12" customHeight="1" x14ac:dyDescent="0.2">
      <c r="B47" s="517"/>
      <c r="C47" s="515" t="s">
        <v>13</v>
      </c>
      <c r="L47" s="517"/>
    </row>
    <row r="48" spans="2:12" s="516" customFormat="1" ht="16.5" customHeight="1" x14ac:dyDescent="0.2">
      <c r="B48" s="517"/>
      <c r="E48" s="676" t="str">
        <f>E7</f>
        <v>Propojení Okružní x Na hroudách</v>
      </c>
      <c r="F48" s="677"/>
      <c r="G48" s="677"/>
      <c r="H48" s="677"/>
      <c r="L48" s="517"/>
    </row>
    <row r="49" spans="2:47" s="516" customFormat="1" ht="12" customHeight="1" x14ac:dyDescent="0.2">
      <c r="B49" s="517"/>
      <c r="C49" s="515" t="s">
        <v>73</v>
      </c>
      <c r="L49" s="517"/>
    </row>
    <row r="50" spans="2:47" s="516" customFormat="1" ht="16.5" customHeight="1" x14ac:dyDescent="0.2">
      <c r="B50" s="517"/>
      <c r="E50" s="674" t="str">
        <f>E9</f>
        <v>SO 402 - Kabelovod</v>
      </c>
      <c r="F50" s="675"/>
      <c r="G50" s="675"/>
      <c r="H50" s="675"/>
      <c r="L50" s="517"/>
    </row>
    <row r="51" spans="2:47" s="516" customFormat="1" ht="6.95" customHeight="1" x14ac:dyDescent="0.2">
      <c r="B51" s="517"/>
      <c r="L51" s="517"/>
    </row>
    <row r="52" spans="2:47" s="516" customFormat="1" ht="12" customHeight="1" x14ac:dyDescent="0.2">
      <c r="B52" s="517"/>
      <c r="C52" s="515" t="s">
        <v>17</v>
      </c>
      <c r="F52" s="518" t="str">
        <f>F12</f>
        <v>Nymburk</v>
      </c>
      <c r="I52" s="515" t="s">
        <v>19</v>
      </c>
      <c r="J52" s="519" t="str">
        <f>IF(J12="","",J12)</f>
        <v>29. 11. 2023</v>
      </c>
      <c r="L52" s="517"/>
    </row>
    <row r="53" spans="2:47" s="516" customFormat="1" ht="6.95" customHeight="1" x14ac:dyDescent="0.2">
      <c r="B53" s="517"/>
      <c r="L53" s="517"/>
    </row>
    <row r="54" spans="2:47" s="516" customFormat="1" ht="15.2" customHeight="1" x14ac:dyDescent="0.2">
      <c r="B54" s="517"/>
      <c r="C54" s="515" t="s">
        <v>21</v>
      </c>
      <c r="F54" s="518" t="str">
        <f>E15</f>
        <v xml:space="preserve"> </v>
      </c>
      <c r="I54" s="515" t="s">
        <v>26</v>
      </c>
      <c r="J54" s="523" t="str">
        <f>E21</f>
        <v>SOLICITE s.r.o.</v>
      </c>
      <c r="L54" s="517"/>
    </row>
    <row r="55" spans="2:47" s="516" customFormat="1" ht="15.2" customHeight="1" x14ac:dyDescent="0.2">
      <c r="B55" s="517"/>
      <c r="C55" s="515" t="s">
        <v>1958</v>
      </c>
      <c r="F55" s="518" t="str">
        <f>IF(E18="","",E18)</f>
        <v>Vyplň údaj</v>
      </c>
      <c r="I55" s="515" t="s">
        <v>31</v>
      </c>
      <c r="J55" s="523" t="str">
        <f>E24</f>
        <v>SOLICITE s.r.o.</v>
      </c>
      <c r="L55" s="517"/>
    </row>
    <row r="56" spans="2:47" s="516" customFormat="1" ht="10.35" customHeight="1" x14ac:dyDescent="0.2">
      <c r="B56" s="517"/>
      <c r="L56" s="517"/>
    </row>
    <row r="57" spans="2:47" s="516" customFormat="1" ht="29.25" customHeight="1" x14ac:dyDescent="0.2">
      <c r="B57" s="517"/>
      <c r="C57" s="542" t="s">
        <v>76</v>
      </c>
      <c r="D57" s="531"/>
      <c r="E57" s="531"/>
      <c r="F57" s="531"/>
      <c r="G57" s="531"/>
      <c r="H57" s="531"/>
      <c r="I57" s="531"/>
      <c r="J57" s="543" t="s">
        <v>77</v>
      </c>
      <c r="K57" s="531"/>
      <c r="L57" s="517"/>
    </row>
    <row r="58" spans="2:47" s="516" customFormat="1" ht="10.35" customHeight="1" x14ac:dyDescent="0.2">
      <c r="B58" s="517"/>
      <c r="L58" s="517"/>
    </row>
    <row r="59" spans="2:47" s="516" customFormat="1" ht="22.9" customHeight="1" x14ac:dyDescent="0.2">
      <c r="B59" s="517"/>
      <c r="C59" s="544" t="s">
        <v>53</v>
      </c>
      <c r="J59" s="526">
        <f>J87</f>
        <v>0</v>
      </c>
      <c r="L59" s="517"/>
      <c r="AU59" s="509" t="s">
        <v>78</v>
      </c>
    </row>
    <row r="60" spans="2:47" s="545" customFormat="1" ht="24.95" customHeight="1" x14ac:dyDescent="0.2">
      <c r="B60" s="546"/>
      <c r="D60" s="547" t="s">
        <v>79</v>
      </c>
      <c r="E60" s="548"/>
      <c r="F60" s="548"/>
      <c r="G60" s="548"/>
      <c r="H60" s="548"/>
      <c r="I60" s="548"/>
      <c r="J60" s="549">
        <f>J88</f>
        <v>0</v>
      </c>
      <c r="L60" s="546"/>
    </row>
    <row r="61" spans="2:47" s="550" customFormat="1" ht="19.899999999999999" customHeight="1" x14ac:dyDescent="0.2">
      <c r="B61" s="551"/>
      <c r="D61" s="552" t="s">
        <v>80</v>
      </c>
      <c r="E61" s="553"/>
      <c r="F61" s="553"/>
      <c r="G61" s="553"/>
      <c r="H61" s="553"/>
      <c r="I61" s="553"/>
      <c r="J61" s="554">
        <f>J89</f>
        <v>0</v>
      </c>
      <c r="L61" s="551"/>
    </row>
    <row r="62" spans="2:47" s="550" customFormat="1" ht="19.899999999999999" customHeight="1" x14ac:dyDescent="0.2">
      <c r="B62" s="551"/>
      <c r="D62" s="552" t="s">
        <v>81</v>
      </c>
      <c r="E62" s="553"/>
      <c r="F62" s="553"/>
      <c r="G62" s="553"/>
      <c r="H62" s="553"/>
      <c r="I62" s="553"/>
      <c r="J62" s="554">
        <f>J172</f>
        <v>0</v>
      </c>
      <c r="L62" s="551"/>
    </row>
    <row r="63" spans="2:47" s="550" customFormat="1" ht="19.899999999999999" customHeight="1" x14ac:dyDescent="0.2">
      <c r="B63" s="551"/>
      <c r="D63" s="552" t="s">
        <v>82</v>
      </c>
      <c r="E63" s="553"/>
      <c r="F63" s="553"/>
      <c r="G63" s="553"/>
      <c r="H63" s="553"/>
      <c r="I63" s="553"/>
      <c r="J63" s="554">
        <f>J202</f>
        <v>0</v>
      </c>
      <c r="L63" s="551"/>
    </row>
    <row r="64" spans="2:47" s="550" customFormat="1" ht="19.899999999999999" customHeight="1" x14ac:dyDescent="0.2">
      <c r="B64" s="551"/>
      <c r="D64" s="552" t="s">
        <v>83</v>
      </c>
      <c r="E64" s="553"/>
      <c r="F64" s="553"/>
      <c r="G64" s="553"/>
      <c r="H64" s="553"/>
      <c r="I64" s="553"/>
      <c r="J64" s="554">
        <f>J205</f>
        <v>0</v>
      </c>
      <c r="L64" s="551"/>
    </row>
    <row r="65" spans="2:12" s="545" customFormat="1" ht="24.95" customHeight="1" x14ac:dyDescent="0.2">
      <c r="B65" s="546"/>
      <c r="D65" s="547" t="s">
        <v>1959</v>
      </c>
      <c r="E65" s="548"/>
      <c r="F65" s="548"/>
      <c r="G65" s="548"/>
      <c r="H65" s="548"/>
      <c r="I65" s="548"/>
      <c r="J65" s="549">
        <f>J210</f>
        <v>0</v>
      </c>
      <c r="L65" s="546"/>
    </row>
    <row r="66" spans="2:12" s="550" customFormat="1" ht="19.899999999999999" customHeight="1" x14ac:dyDescent="0.2">
      <c r="B66" s="551"/>
      <c r="D66" s="552" t="s">
        <v>1960</v>
      </c>
      <c r="E66" s="553"/>
      <c r="F66" s="553"/>
      <c r="G66" s="553"/>
      <c r="H66" s="553"/>
      <c r="I66" s="553"/>
      <c r="J66" s="554">
        <f>J211</f>
        <v>0</v>
      </c>
      <c r="L66" s="551"/>
    </row>
    <row r="67" spans="2:12" s="550" customFormat="1" ht="19.899999999999999" customHeight="1" x14ac:dyDescent="0.2">
      <c r="B67" s="551"/>
      <c r="D67" s="552" t="s">
        <v>1961</v>
      </c>
      <c r="E67" s="553"/>
      <c r="F67" s="553"/>
      <c r="G67" s="553"/>
      <c r="H67" s="553"/>
      <c r="I67" s="553"/>
      <c r="J67" s="554">
        <f>J215</f>
        <v>0</v>
      </c>
      <c r="L67" s="551"/>
    </row>
    <row r="68" spans="2:12" s="516" customFormat="1" ht="21.75" customHeight="1" x14ac:dyDescent="0.2">
      <c r="B68" s="517"/>
      <c r="L68" s="517"/>
    </row>
    <row r="69" spans="2:12" s="516" customFormat="1" ht="6.95" customHeight="1" x14ac:dyDescent="0.2">
      <c r="B69" s="538"/>
      <c r="C69" s="539"/>
      <c r="D69" s="539"/>
      <c r="E69" s="539"/>
      <c r="F69" s="539"/>
      <c r="G69" s="539"/>
      <c r="H69" s="539"/>
      <c r="I69" s="539"/>
      <c r="J69" s="539"/>
      <c r="K69" s="539"/>
      <c r="L69" s="517"/>
    </row>
    <row r="73" spans="2:12" s="516" customFormat="1" ht="6.95" customHeight="1" x14ac:dyDescent="0.2">
      <c r="B73" s="540"/>
      <c r="C73" s="541"/>
      <c r="D73" s="541"/>
      <c r="E73" s="541"/>
      <c r="F73" s="541"/>
      <c r="G73" s="541"/>
      <c r="H73" s="541"/>
      <c r="I73" s="541"/>
      <c r="J73" s="541"/>
      <c r="K73" s="541"/>
      <c r="L73" s="517"/>
    </row>
    <row r="74" spans="2:12" s="516" customFormat="1" ht="24.95" customHeight="1" x14ac:dyDescent="0.2">
      <c r="B74" s="517"/>
      <c r="C74" s="513" t="s">
        <v>86</v>
      </c>
      <c r="L74" s="517"/>
    </row>
    <row r="75" spans="2:12" s="516" customFormat="1" ht="6.95" customHeight="1" x14ac:dyDescent="0.2">
      <c r="B75" s="517"/>
      <c r="L75" s="517"/>
    </row>
    <row r="76" spans="2:12" s="516" customFormat="1" ht="12" customHeight="1" x14ac:dyDescent="0.2">
      <c r="B76" s="517"/>
      <c r="C76" s="515" t="s">
        <v>13</v>
      </c>
      <c r="L76" s="517"/>
    </row>
    <row r="77" spans="2:12" s="516" customFormat="1" ht="16.5" customHeight="1" x14ac:dyDescent="0.2">
      <c r="B77" s="517"/>
      <c r="E77" s="676" t="str">
        <f>E7</f>
        <v>Propojení Okružní x Na hroudách</v>
      </c>
      <c r="F77" s="677"/>
      <c r="G77" s="677"/>
      <c r="H77" s="677"/>
      <c r="L77" s="517"/>
    </row>
    <row r="78" spans="2:12" s="516" customFormat="1" ht="12" customHeight="1" x14ac:dyDescent="0.2">
      <c r="B78" s="517"/>
      <c r="C78" s="515" t="s">
        <v>73</v>
      </c>
      <c r="L78" s="517"/>
    </row>
    <row r="79" spans="2:12" s="516" customFormat="1" ht="16.5" customHeight="1" x14ac:dyDescent="0.2">
      <c r="B79" s="517"/>
      <c r="E79" s="674" t="str">
        <f>E9</f>
        <v>SO 402 - Kabelovod</v>
      </c>
      <c r="F79" s="675"/>
      <c r="G79" s="675"/>
      <c r="H79" s="675"/>
      <c r="L79" s="517"/>
    </row>
    <row r="80" spans="2:12" s="516" customFormat="1" ht="6.95" customHeight="1" x14ac:dyDescent="0.2">
      <c r="B80" s="517"/>
      <c r="L80" s="517"/>
    </row>
    <row r="81" spans="2:65" s="516" customFormat="1" ht="12" customHeight="1" x14ac:dyDescent="0.2">
      <c r="B81" s="517"/>
      <c r="C81" s="515" t="s">
        <v>17</v>
      </c>
      <c r="F81" s="518" t="str">
        <f>F12</f>
        <v>Nymburk</v>
      </c>
      <c r="I81" s="515" t="s">
        <v>19</v>
      </c>
      <c r="J81" s="519" t="str">
        <f>IF(J12="","",J12)</f>
        <v>29. 11. 2023</v>
      </c>
      <c r="L81" s="517"/>
    </row>
    <row r="82" spans="2:65" s="516" customFormat="1" ht="6.95" customHeight="1" x14ac:dyDescent="0.2">
      <c r="B82" s="517"/>
      <c r="L82" s="517"/>
    </row>
    <row r="83" spans="2:65" s="516" customFormat="1" ht="15.2" customHeight="1" x14ac:dyDescent="0.2">
      <c r="B83" s="517"/>
      <c r="C83" s="515" t="s">
        <v>21</v>
      </c>
      <c r="F83" s="518" t="str">
        <f>E15</f>
        <v xml:space="preserve"> </v>
      </c>
      <c r="I83" s="515" t="s">
        <v>26</v>
      </c>
      <c r="J83" s="523" t="str">
        <f>E21</f>
        <v>SOLICITE s.r.o.</v>
      </c>
      <c r="L83" s="517"/>
    </row>
    <row r="84" spans="2:65" s="516" customFormat="1" ht="15.2" customHeight="1" x14ac:dyDescent="0.2">
      <c r="B84" s="517"/>
      <c r="C84" s="515" t="s">
        <v>1958</v>
      </c>
      <c r="F84" s="518" t="str">
        <f>IF(E18="","",E18)</f>
        <v>Vyplň údaj</v>
      </c>
      <c r="I84" s="515" t="s">
        <v>31</v>
      </c>
      <c r="J84" s="523" t="str">
        <f>E24</f>
        <v>SOLICITE s.r.o.</v>
      </c>
      <c r="L84" s="517"/>
    </row>
    <row r="85" spans="2:65" s="516" customFormat="1" ht="10.35" customHeight="1" x14ac:dyDescent="0.2">
      <c r="B85" s="517"/>
      <c r="L85" s="517"/>
    </row>
    <row r="86" spans="2:65" s="555" customFormat="1" ht="29.25" customHeight="1" x14ac:dyDescent="0.2">
      <c r="B86" s="556"/>
      <c r="C86" s="557" t="s">
        <v>87</v>
      </c>
      <c r="D86" s="558" t="s">
        <v>52</v>
      </c>
      <c r="E86" s="558" t="s">
        <v>48</v>
      </c>
      <c r="F86" s="558" t="s">
        <v>49</v>
      </c>
      <c r="G86" s="558" t="s">
        <v>88</v>
      </c>
      <c r="H86" s="558" t="s">
        <v>89</v>
      </c>
      <c r="I86" s="558" t="s">
        <v>90</v>
      </c>
      <c r="J86" s="558" t="s">
        <v>77</v>
      </c>
      <c r="K86" s="559" t="s">
        <v>91</v>
      </c>
      <c r="L86" s="556"/>
      <c r="M86" s="560" t="s">
        <v>1</v>
      </c>
      <c r="N86" s="561" t="s">
        <v>38</v>
      </c>
      <c r="O86" s="561" t="s">
        <v>92</v>
      </c>
      <c r="P86" s="561" t="s">
        <v>93</v>
      </c>
      <c r="Q86" s="561" t="s">
        <v>94</v>
      </c>
      <c r="R86" s="561" t="s">
        <v>95</v>
      </c>
      <c r="S86" s="561" t="s">
        <v>96</v>
      </c>
      <c r="T86" s="562" t="s">
        <v>97</v>
      </c>
    </row>
    <row r="87" spans="2:65" s="516" customFormat="1" ht="22.9" customHeight="1" x14ac:dyDescent="0.25">
      <c r="B87" s="517"/>
      <c r="C87" s="563" t="s">
        <v>98</v>
      </c>
      <c r="J87" s="564">
        <f>BK87</f>
        <v>0</v>
      </c>
      <c r="L87" s="517"/>
      <c r="M87" s="565"/>
      <c r="N87" s="524"/>
      <c r="O87" s="524"/>
      <c r="P87" s="566">
        <f>P88+P210</f>
        <v>0</v>
      </c>
      <c r="Q87" s="524"/>
      <c r="R87" s="566">
        <f>R88+R210</f>
        <v>15.26709819</v>
      </c>
      <c r="S87" s="524"/>
      <c r="T87" s="567">
        <f>T88+T210</f>
        <v>0</v>
      </c>
      <c r="AT87" s="509" t="s">
        <v>54</v>
      </c>
      <c r="AU87" s="509" t="s">
        <v>78</v>
      </c>
      <c r="BK87" s="568">
        <f>BK88+BK210</f>
        <v>0</v>
      </c>
    </row>
    <row r="88" spans="2:65" s="569" customFormat="1" ht="25.9" customHeight="1" x14ac:dyDescent="0.2">
      <c r="B88" s="570"/>
      <c r="D88" s="571" t="s">
        <v>54</v>
      </c>
      <c r="E88" s="572" t="s">
        <v>99</v>
      </c>
      <c r="F88" s="572" t="s">
        <v>100</v>
      </c>
      <c r="I88" s="573"/>
      <c r="J88" s="574">
        <f>BK88</f>
        <v>0</v>
      </c>
      <c r="L88" s="570"/>
      <c r="M88" s="575"/>
      <c r="P88" s="576">
        <f>P89+P172+P202+P205</f>
        <v>0</v>
      </c>
      <c r="R88" s="576">
        <f>R89+R172+R202+R205</f>
        <v>0.64685018999999999</v>
      </c>
      <c r="T88" s="577">
        <f>T89+T172+T202+T205</f>
        <v>0</v>
      </c>
      <c r="AR88" s="571" t="s">
        <v>63</v>
      </c>
      <c r="AT88" s="578" t="s">
        <v>54</v>
      </c>
      <c r="AU88" s="578" t="s">
        <v>55</v>
      </c>
      <c r="AY88" s="571" t="s">
        <v>101</v>
      </c>
      <c r="BK88" s="579">
        <f>BK89+BK172+BK202+BK205</f>
        <v>0</v>
      </c>
    </row>
    <row r="89" spans="2:65" s="569" customFormat="1" ht="22.9" customHeight="1" x14ac:dyDescent="0.2">
      <c r="B89" s="570"/>
      <c r="D89" s="571" t="s">
        <v>54</v>
      </c>
      <c r="E89" s="580" t="s">
        <v>63</v>
      </c>
      <c r="F89" s="580" t="s">
        <v>102</v>
      </c>
      <c r="I89" s="573"/>
      <c r="J89" s="581">
        <f>BK89</f>
        <v>0</v>
      </c>
      <c r="L89" s="570"/>
      <c r="M89" s="575"/>
      <c r="P89" s="576">
        <f>SUM(P90:P171)</f>
        <v>0</v>
      </c>
      <c r="R89" s="576">
        <f>SUM(R90:R171)</f>
        <v>0</v>
      </c>
      <c r="T89" s="577">
        <f>SUM(T90:T171)</f>
        <v>0</v>
      </c>
      <c r="AR89" s="571" t="s">
        <v>63</v>
      </c>
      <c r="AT89" s="578" t="s">
        <v>54</v>
      </c>
      <c r="AU89" s="578" t="s">
        <v>63</v>
      </c>
      <c r="AY89" s="571" t="s">
        <v>101</v>
      </c>
      <c r="BK89" s="579">
        <f>SUM(BK90:BK171)</f>
        <v>0</v>
      </c>
    </row>
    <row r="90" spans="2:65" s="516" customFormat="1" ht="55.5" customHeight="1" x14ac:dyDescent="0.2">
      <c r="B90" s="582"/>
      <c r="C90" s="583" t="s">
        <v>63</v>
      </c>
      <c r="D90" s="583" t="s">
        <v>103</v>
      </c>
      <c r="E90" s="584" t="s">
        <v>128</v>
      </c>
      <c r="F90" s="585" t="s">
        <v>129</v>
      </c>
      <c r="G90" s="586" t="s">
        <v>130</v>
      </c>
      <c r="H90" s="587">
        <v>70.180000000000007</v>
      </c>
      <c r="I90" s="588"/>
      <c r="J90" s="589">
        <f>ROUND(I90*H90,2)</f>
        <v>0</v>
      </c>
      <c r="K90" s="585" t="s">
        <v>107</v>
      </c>
      <c r="L90" s="517"/>
      <c r="M90" s="590" t="s">
        <v>1</v>
      </c>
      <c r="N90" s="591" t="s">
        <v>39</v>
      </c>
      <c r="P90" s="592">
        <f>O90*H90</f>
        <v>0</v>
      </c>
      <c r="Q90" s="592">
        <v>0</v>
      </c>
      <c r="R90" s="592">
        <f>Q90*H90</f>
        <v>0</v>
      </c>
      <c r="S90" s="592">
        <v>0</v>
      </c>
      <c r="T90" s="593">
        <f>S90*H90</f>
        <v>0</v>
      </c>
      <c r="AR90" s="594" t="s">
        <v>108</v>
      </c>
      <c r="AT90" s="594" t="s">
        <v>103</v>
      </c>
      <c r="AU90" s="594" t="s">
        <v>65</v>
      </c>
      <c r="AY90" s="509" t="s">
        <v>101</v>
      </c>
      <c r="BE90" s="595">
        <f>IF(N90="základní",J90,0)</f>
        <v>0</v>
      </c>
      <c r="BF90" s="595">
        <f>IF(N90="snížená",J90,0)</f>
        <v>0</v>
      </c>
      <c r="BG90" s="595">
        <f>IF(N90="zákl. přenesená",J90,0)</f>
        <v>0</v>
      </c>
      <c r="BH90" s="595">
        <f>IF(N90="sníž. přenesená",J90,0)</f>
        <v>0</v>
      </c>
      <c r="BI90" s="595">
        <f>IF(N90="nulová",J90,0)</f>
        <v>0</v>
      </c>
      <c r="BJ90" s="509" t="s">
        <v>63</v>
      </c>
      <c r="BK90" s="595">
        <f>ROUND(I90*H90,2)</f>
        <v>0</v>
      </c>
      <c r="BL90" s="509" t="s">
        <v>108</v>
      </c>
      <c r="BM90" s="594" t="s">
        <v>1962</v>
      </c>
    </row>
    <row r="91" spans="2:65" s="516" customFormat="1" x14ac:dyDescent="0.2">
      <c r="B91" s="517"/>
      <c r="D91" s="596" t="s">
        <v>110</v>
      </c>
      <c r="F91" s="597" t="s">
        <v>132</v>
      </c>
      <c r="I91" s="598"/>
      <c r="L91" s="517"/>
      <c r="M91" s="599"/>
      <c r="T91" s="600"/>
      <c r="AT91" s="509" t="s">
        <v>110</v>
      </c>
      <c r="AU91" s="509" t="s">
        <v>65</v>
      </c>
    </row>
    <row r="92" spans="2:65" s="601" customFormat="1" x14ac:dyDescent="0.2">
      <c r="B92" s="602"/>
      <c r="D92" s="603" t="s">
        <v>112</v>
      </c>
      <c r="E92" s="604" t="s">
        <v>1</v>
      </c>
      <c r="F92" s="605" t="s">
        <v>1963</v>
      </c>
      <c r="H92" s="604" t="s">
        <v>1</v>
      </c>
      <c r="I92" s="606"/>
      <c r="L92" s="602"/>
      <c r="M92" s="607"/>
      <c r="T92" s="608"/>
      <c r="AT92" s="604" t="s">
        <v>112</v>
      </c>
      <c r="AU92" s="604" t="s">
        <v>65</v>
      </c>
      <c r="AV92" s="601" t="s">
        <v>63</v>
      </c>
      <c r="AW92" s="601" t="s">
        <v>30</v>
      </c>
      <c r="AX92" s="601" t="s">
        <v>55</v>
      </c>
      <c r="AY92" s="604" t="s">
        <v>101</v>
      </c>
    </row>
    <row r="93" spans="2:65" s="601" customFormat="1" ht="22.5" x14ac:dyDescent="0.2">
      <c r="B93" s="602"/>
      <c r="D93" s="603" t="s">
        <v>112</v>
      </c>
      <c r="E93" s="604" t="s">
        <v>1</v>
      </c>
      <c r="F93" s="605" t="s">
        <v>1964</v>
      </c>
      <c r="H93" s="604" t="s">
        <v>1</v>
      </c>
      <c r="I93" s="606"/>
      <c r="L93" s="602"/>
      <c r="M93" s="607"/>
      <c r="T93" s="608"/>
      <c r="AT93" s="604" t="s">
        <v>112</v>
      </c>
      <c r="AU93" s="604" t="s">
        <v>65</v>
      </c>
      <c r="AV93" s="601" t="s">
        <v>63</v>
      </c>
      <c r="AW93" s="601" t="s">
        <v>30</v>
      </c>
      <c r="AX93" s="601" t="s">
        <v>55</v>
      </c>
      <c r="AY93" s="604" t="s">
        <v>101</v>
      </c>
    </row>
    <row r="94" spans="2:65" s="609" customFormat="1" x14ac:dyDescent="0.2">
      <c r="B94" s="610"/>
      <c r="D94" s="603" t="s">
        <v>112</v>
      </c>
      <c r="E94" s="611" t="s">
        <v>1</v>
      </c>
      <c r="F94" s="612" t="s">
        <v>1965</v>
      </c>
      <c r="H94" s="613">
        <v>58.917000000000002</v>
      </c>
      <c r="I94" s="614"/>
      <c r="L94" s="610"/>
      <c r="M94" s="615"/>
      <c r="T94" s="616"/>
      <c r="AT94" s="611" t="s">
        <v>112</v>
      </c>
      <c r="AU94" s="611" t="s">
        <v>65</v>
      </c>
      <c r="AV94" s="609" t="s">
        <v>65</v>
      </c>
      <c r="AW94" s="609" t="s">
        <v>30</v>
      </c>
      <c r="AX94" s="609" t="s">
        <v>55</v>
      </c>
      <c r="AY94" s="611" t="s">
        <v>101</v>
      </c>
    </row>
    <row r="95" spans="2:65" s="609" customFormat="1" x14ac:dyDescent="0.2">
      <c r="B95" s="610"/>
      <c r="D95" s="603" t="s">
        <v>112</v>
      </c>
      <c r="E95" s="611" t="s">
        <v>1</v>
      </c>
      <c r="F95" s="612" t="s">
        <v>1966</v>
      </c>
      <c r="H95" s="613">
        <v>0.60099999999999998</v>
      </c>
      <c r="I95" s="614"/>
      <c r="L95" s="610"/>
      <c r="M95" s="615"/>
      <c r="T95" s="616"/>
      <c r="AT95" s="611" t="s">
        <v>112</v>
      </c>
      <c r="AU95" s="611" t="s">
        <v>65</v>
      </c>
      <c r="AV95" s="609" t="s">
        <v>65</v>
      </c>
      <c r="AW95" s="609" t="s">
        <v>30</v>
      </c>
      <c r="AX95" s="609" t="s">
        <v>55</v>
      </c>
      <c r="AY95" s="611" t="s">
        <v>101</v>
      </c>
    </row>
    <row r="96" spans="2:65" s="609" customFormat="1" x14ac:dyDescent="0.2">
      <c r="B96" s="610"/>
      <c r="D96" s="603" t="s">
        <v>112</v>
      </c>
      <c r="E96" s="611" t="s">
        <v>1</v>
      </c>
      <c r="F96" s="612" t="s">
        <v>1967</v>
      </c>
      <c r="H96" s="613">
        <v>0.58899999999999997</v>
      </c>
      <c r="I96" s="614"/>
      <c r="L96" s="610"/>
      <c r="M96" s="615"/>
      <c r="T96" s="616"/>
      <c r="AT96" s="611" t="s">
        <v>112</v>
      </c>
      <c r="AU96" s="611" t="s">
        <v>65</v>
      </c>
      <c r="AV96" s="609" t="s">
        <v>65</v>
      </c>
      <c r="AW96" s="609" t="s">
        <v>30</v>
      </c>
      <c r="AX96" s="609" t="s">
        <v>55</v>
      </c>
      <c r="AY96" s="611" t="s">
        <v>101</v>
      </c>
    </row>
    <row r="97" spans="2:65" s="609" customFormat="1" x14ac:dyDescent="0.2">
      <c r="B97" s="610"/>
      <c r="D97" s="603" t="s">
        <v>112</v>
      </c>
      <c r="E97" s="611" t="s">
        <v>1</v>
      </c>
      <c r="F97" s="612" t="s">
        <v>1968</v>
      </c>
      <c r="H97" s="613">
        <v>1.9059999999999999</v>
      </c>
      <c r="I97" s="614"/>
      <c r="L97" s="610"/>
      <c r="M97" s="615"/>
      <c r="T97" s="616"/>
      <c r="AT97" s="611" t="s">
        <v>112</v>
      </c>
      <c r="AU97" s="611" t="s">
        <v>65</v>
      </c>
      <c r="AV97" s="609" t="s">
        <v>65</v>
      </c>
      <c r="AW97" s="609" t="s">
        <v>30</v>
      </c>
      <c r="AX97" s="609" t="s">
        <v>55</v>
      </c>
      <c r="AY97" s="611" t="s">
        <v>101</v>
      </c>
    </row>
    <row r="98" spans="2:65" s="609" customFormat="1" x14ac:dyDescent="0.2">
      <c r="B98" s="610"/>
      <c r="D98" s="603" t="s">
        <v>112</v>
      </c>
      <c r="E98" s="611" t="s">
        <v>1</v>
      </c>
      <c r="F98" s="612" t="s">
        <v>1969</v>
      </c>
      <c r="H98" s="613">
        <v>2.2749999999999999</v>
      </c>
      <c r="I98" s="614"/>
      <c r="L98" s="610"/>
      <c r="M98" s="615"/>
      <c r="T98" s="616"/>
      <c r="AT98" s="611" t="s">
        <v>112</v>
      </c>
      <c r="AU98" s="611" t="s">
        <v>65</v>
      </c>
      <c r="AV98" s="609" t="s">
        <v>65</v>
      </c>
      <c r="AW98" s="609" t="s">
        <v>30</v>
      </c>
      <c r="AX98" s="609" t="s">
        <v>55</v>
      </c>
      <c r="AY98" s="611" t="s">
        <v>101</v>
      </c>
    </row>
    <row r="99" spans="2:65" s="609" customFormat="1" x14ac:dyDescent="0.2">
      <c r="B99" s="610"/>
      <c r="D99" s="603" t="s">
        <v>112</v>
      </c>
      <c r="E99" s="611" t="s">
        <v>1</v>
      </c>
      <c r="F99" s="612" t="s">
        <v>1970</v>
      </c>
      <c r="H99" s="613">
        <v>0.42699999999999999</v>
      </c>
      <c r="I99" s="614"/>
      <c r="L99" s="610"/>
      <c r="M99" s="615"/>
      <c r="T99" s="616"/>
      <c r="AT99" s="611" t="s">
        <v>112</v>
      </c>
      <c r="AU99" s="611" t="s">
        <v>65</v>
      </c>
      <c r="AV99" s="609" t="s">
        <v>65</v>
      </c>
      <c r="AW99" s="609" t="s">
        <v>30</v>
      </c>
      <c r="AX99" s="609" t="s">
        <v>55</v>
      </c>
      <c r="AY99" s="611" t="s">
        <v>101</v>
      </c>
    </row>
    <row r="100" spans="2:65" s="601" customFormat="1" x14ac:dyDescent="0.2">
      <c r="B100" s="602"/>
      <c r="D100" s="603" t="s">
        <v>112</v>
      </c>
      <c r="E100" s="604" t="s">
        <v>1</v>
      </c>
      <c r="F100" s="605" t="s">
        <v>1971</v>
      </c>
      <c r="H100" s="604" t="s">
        <v>1</v>
      </c>
      <c r="I100" s="606"/>
      <c r="L100" s="602"/>
      <c r="M100" s="607"/>
      <c r="T100" s="608"/>
      <c r="AT100" s="604" t="s">
        <v>112</v>
      </c>
      <c r="AU100" s="604" t="s">
        <v>65</v>
      </c>
      <c r="AV100" s="601" t="s">
        <v>63</v>
      </c>
      <c r="AW100" s="601" t="s">
        <v>30</v>
      </c>
      <c r="AX100" s="601" t="s">
        <v>55</v>
      </c>
      <c r="AY100" s="604" t="s">
        <v>101</v>
      </c>
    </row>
    <row r="101" spans="2:65" s="601" customFormat="1" ht="33.75" x14ac:dyDescent="0.2">
      <c r="B101" s="602"/>
      <c r="D101" s="603" t="s">
        <v>112</v>
      </c>
      <c r="E101" s="604" t="s">
        <v>1</v>
      </c>
      <c r="F101" s="605" t="s">
        <v>1972</v>
      </c>
      <c r="H101" s="604" t="s">
        <v>1</v>
      </c>
      <c r="I101" s="606"/>
      <c r="L101" s="602"/>
      <c r="M101" s="607"/>
      <c r="T101" s="608"/>
      <c r="AT101" s="604" t="s">
        <v>112</v>
      </c>
      <c r="AU101" s="604" t="s">
        <v>65</v>
      </c>
      <c r="AV101" s="601" t="s">
        <v>63</v>
      </c>
      <c r="AW101" s="601" t="s">
        <v>30</v>
      </c>
      <c r="AX101" s="601" t="s">
        <v>55</v>
      </c>
      <c r="AY101" s="604" t="s">
        <v>101</v>
      </c>
    </row>
    <row r="102" spans="2:65" s="609" customFormat="1" x14ac:dyDescent="0.2">
      <c r="B102" s="610"/>
      <c r="D102" s="603" t="s">
        <v>112</v>
      </c>
      <c r="E102" s="611" t="s">
        <v>1</v>
      </c>
      <c r="F102" s="612" t="s">
        <v>1973</v>
      </c>
      <c r="H102" s="613">
        <v>3.2050000000000001</v>
      </c>
      <c r="I102" s="614"/>
      <c r="L102" s="610"/>
      <c r="M102" s="615"/>
      <c r="T102" s="616"/>
      <c r="AT102" s="611" t="s">
        <v>112</v>
      </c>
      <c r="AU102" s="611" t="s">
        <v>65</v>
      </c>
      <c r="AV102" s="609" t="s">
        <v>65</v>
      </c>
      <c r="AW102" s="609" t="s">
        <v>30</v>
      </c>
      <c r="AX102" s="609" t="s">
        <v>55</v>
      </c>
      <c r="AY102" s="611" t="s">
        <v>101</v>
      </c>
    </row>
    <row r="103" spans="2:65" s="609" customFormat="1" x14ac:dyDescent="0.2">
      <c r="B103" s="610"/>
      <c r="D103" s="603" t="s">
        <v>112</v>
      </c>
      <c r="E103" s="611" t="s">
        <v>1</v>
      </c>
      <c r="F103" s="612" t="s">
        <v>1974</v>
      </c>
      <c r="H103" s="613">
        <v>2.2599999999999998</v>
      </c>
      <c r="I103" s="614"/>
      <c r="L103" s="610"/>
      <c r="M103" s="615"/>
      <c r="T103" s="616"/>
      <c r="AT103" s="611" t="s">
        <v>112</v>
      </c>
      <c r="AU103" s="611" t="s">
        <v>65</v>
      </c>
      <c r="AV103" s="609" t="s">
        <v>65</v>
      </c>
      <c r="AW103" s="609" t="s">
        <v>30</v>
      </c>
      <c r="AX103" s="609" t="s">
        <v>55</v>
      </c>
      <c r="AY103" s="611" t="s">
        <v>101</v>
      </c>
    </row>
    <row r="104" spans="2:65" s="617" customFormat="1" x14ac:dyDescent="0.2">
      <c r="B104" s="618"/>
      <c r="D104" s="603" t="s">
        <v>112</v>
      </c>
      <c r="E104" s="619" t="s">
        <v>1</v>
      </c>
      <c r="F104" s="620" t="s">
        <v>127</v>
      </c>
      <c r="H104" s="621">
        <v>70.180000000000007</v>
      </c>
      <c r="I104" s="622"/>
      <c r="L104" s="618"/>
      <c r="M104" s="623"/>
      <c r="T104" s="624"/>
      <c r="AT104" s="619" t="s">
        <v>112</v>
      </c>
      <c r="AU104" s="619" t="s">
        <v>65</v>
      </c>
      <c r="AV104" s="617" t="s">
        <v>108</v>
      </c>
      <c r="AW104" s="617" t="s">
        <v>30</v>
      </c>
      <c r="AX104" s="617" t="s">
        <v>63</v>
      </c>
      <c r="AY104" s="619" t="s">
        <v>101</v>
      </c>
    </row>
    <row r="105" spans="2:65" s="516" customFormat="1" ht="55.5" customHeight="1" x14ac:dyDescent="0.2">
      <c r="B105" s="582"/>
      <c r="C105" s="583" t="s">
        <v>65</v>
      </c>
      <c r="D105" s="583" t="s">
        <v>103</v>
      </c>
      <c r="E105" s="584" t="s">
        <v>142</v>
      </c>
      <c r="F105" s="585" t="s">
        <v>143</v>
      </c>
      <c r="G105" s="586" t="s">
        <v>130</v>
      </c>
      <c r="H105" s="587">
        <v>106.33499999999999</v>
      </c>
      <c r="I105" s="588"/>
      <c r="J105" s="589">
        <f>ROUND(I105*H105,2)</f>
        <v>0</v>
      </c>
      <c r="K105" s="585" t="s">
        <v>107</v>
      </c>
      <c r="L105" s="517"/>
      <c r="M105" s="590" t="s">
        <v>1</v>
      </c>
      <c r="N105" s="591" t="s">
        <v>39</v>
      </c>
      <c r="P105" s="592">
        <f>O105*H105</f>
        <v>0</v>
      </c>
      <c r="Q105" s="592">
        <v>0</v>
      </c>
      <c r="R105" s="592">
        <f>Q105*H105</f>
        <v>0</v>
      </c>
      <c r="S105" s="592">
        <v>0</v>
      </c>
      <c r="T105" s="593">
        <f>S105*H105</f>
        <v>0</v>
      </c>
      <c r="AR105" s="594" t="s">
        <v>108</v>
      </c>
      <c r="AT105" s="594" t="s">
        <v>103</v>
      </c>
      <c r="AU105" s="594" t="s">
        <v>65</v>
      </c>
      <c r="AY105" s="509" t="s">
        <v>101</v>
      </c>
      <c r="BE105" s="595">
        <f>IF(N105="základní",J105,0)</f>
        <v>0</v>
      </c>
      <c r="BF105" s="595">
        <f>IF(N105="snížená",J105,0)</f>
        <v>0</v>
      </c>
      <c r="BG105" s="595">
        <f>IF(N105="zákl. přenesená",J105,0)</f>
        <v>0</v>
      </c>
      <c r="BH105" s="595">
        <f>IF(N105="sníž. přenesená",J105,0)</f>
        <v>0</v>
      </c>
      <c r="BI105" s="595">
        <f>IF(N105="nulová",J105,0)</f>
        <v>0</v>
      </c>
      <c r="BJ105" s="509" t="s">
        <v>63</v>
      </c>
      <c r="BK105" s="595">
        <f>ROUND(I105*H105,2)</f>
        <v>0</v>
      </c>
      <c r="BL105" s="509" t="s">
        <v>108</v>
      </c>
      <c r="BM105" s="594" t="s">
        <v>1975</v>
      </c>
    </row>
    <row r="106" spans="2:65" s="516" customFormat="1" x14ac:dyDescent="0.2">
      <c r="B106" s="517"/>
      <c r="D106" s="596" t="s">
        <v>110</v>
      </c>
      <c r="F106" s="597" t="s">
        <v>145</v>
      </c>
      <c r="I106" s="598"/>
      <c r="L106" s="517"/>
      <c r="M106" s="599"/>
      <c r="T106" s="600"/>
      <c r="AT106" s="509" t="s">
        <v>110</v>
      </c>
      <c r="AU106" s="509" t="s">
        <v>65</v>
      </c>
    </row>
    <row r="107" spans="2:65" s="601" customFormat="1" x14ac:dyDescent="0.2">
      <c r="B107" s="602"/>
      <c r="D107" s="603" t="s">
        <v>112</v>
      </c>
      <c r="E107" s="604" t="s">
        <v>1</v>
      </c>
      <c r="F107" s="605" t="s">
        <v>1963</v>
      </c>
      <c r="H107" s="604" t="s">
        <v>1</v>
      </c>
      <c r="I107" s="606"/>
      <c r="L107" s="602"/>
      <c r="M107" s="607"/>
      <c r="T107" s="608"/>
      <c r="AT107" s="604" t="s">
        <v>112</v>
      </c>
      <c r="AU107" s="604" t="s">
        <v>65</v>
      </c>
      <c r="AV107" s="601" t="s">
        <v>63</v>
      </c>
      <c r="AW107" s="601" t="s">
        <v>30</v>
      </c>
      <c r="AX107" s="601" t="s">
        <v>55</v>
      </c>
      <c r="AY107" s="604" t="s">
        <v>101</v>
      </c>
    </row>
    <row r="108" spans="2:65" s="601" customFormat="1" ht="22.5" x14ac:dyDescent="0.2">
      <c r="B108" s="602"/>
      <c r="D108" s="603" t="s">
        <v>112</v>
      </c>
      <c r="E108" s="604" t="s">
        <v>1</v>
      </c>
      <c r="F108" s="605" t="s">
        <v>1964</v>
      </c>
      <c r="H108" s="604" t="s">
        <v>1</v>
      </c>
      <c r="I108" s="606"/>
      <c r="L108" s="602"/>
      <c r="M108" s="607"/>
      <c r="T108" s="608"/>
      <c r="AT108" s="604" t="s">
        <v>112</v>
      </c>
      <c r="AU108" s="604" t="s">
        <v>65</v>
      </c>
      <c r="AV108" s="601" t="s">
        <v>63</v>
      </c>
      <c r="AW108" s="601" t="s">
        <v>30</v>
      </c>
      <c r="AX108" s="601" t="s">
        <v>55</v>
      </c>
      <c r="AY108" s="604" t="s">
        <v>101</v>
      </c>
    </row>
    <row r="109" spans="2:65" s="609" customFormat="1" x14ac:dyDescent="0.2">
      <c r="B109" s="610"/>
      <c r="D109" s="603" t="s">
        <v>112</v>
      </c>
      <c r="E109" s="611" t="s">
        <v>1</v>
      </c>
      <c r="F109" s="612" t="s">
        <v>1976</v>
      </c>
      <c r="H109" s="613">
        <v>89.268000000000001</v>
      </c>
      <c r="I109" s="614"/>
      <c r="L109" s="610"/>
      <c r="M109" s="615"/>
      <c r="T109" s="616"/>
      <c r="AT109" s="611" t="s">
        <v>112</v>
      </c>
      <c r="AU109" s="611" t="s">
        <v>65</v>
      </c>
      <c r="AV109" s="609" t="s">
        <v>65</v>
      </c>
      <c r="AW109" s="609" t="s">
        <v>30</v>
      </c>
      <c r="AX109" s="609" t="s">
        <v>55</v>
      </c>
      <c r="AY109" s="611" t="s">
        <v>101</v>
      </c>
    </row>
    <row r="110" spans="2:65" s="609" customFormat="1" x14ac:dyDescent="0.2">
      <c r="B110" s="610"/>
      <c r="D110" s="603" t="s">
        <v>112</v>
      </c>
      <c r="E110" s="611" t="s">
        <v>1</v>
      </c>
      <c r="F110" s="612" t="s">
        <v>1977</v>
      </c>
      <c r="H110" s="613">
        <v>0.91</v>
      </c>
      <c r="I110" s="614"/>
      <c r="L110" s="610"/>
      <c r="M110" s="615"/>
      <c r="T110" s="616"/>
      <c r="AT110" s="611" t="s">
        <v>112</v>
      </c>
      <c r="AU110" s="611" t="s">
        <v>65</v>
      </c>
      <c r="AV110" s="609" t="s">
        <v>65</v>
      </c>
      <c r="AW110" s="609" t="s">
        <v>30</v>
      </c>
      <c r="AX110" s="609" t="s">
        <v>55</v>
      </c>
      <c r="AY110" s="611" t="s">
        <v>101</v>
      </c>
    </row>
    <row r="111" spans="2:65" s="609" customFormat="1" x14ac:dyDescent="0.2">
      <c r="B111" s="610"/>
      <c r="D111" s="603" t="s">
        <v>112</v>
      </c>
      <c r="E111" s="611" t="s">
        <v>1</v>
      </c>
      <c r="F111" s="612" t="s">
        <v>1978</v>
      </c>
      <c r="H111" s="613">
        <v>0.89300000000000002</v>
      </c>
      <c r="I111" s="614"/>
      <c r="L111" s="610"/>
      <c r="M111" s="615"/>
      <c r="T111" s="616"/>
      <c r="AT111" s="611" t="s">
        <v>112</v>
      </c>
      <c r="AU111" s="611" t="s">
        <v>65</v>
      </c>
      <c r="AV111" s="609" t="s">
        <v>65</v>
      </c>
      <c r="AW111" s="609" t="s">
        <v>30</v>
      </c>
      <c r="AX111" s="609" t="s">
        <v>55</v>
      </c>
      <c r="AY111" s="611" t="s">
        <v>101</v>
      </c>
    </row>
    <row r="112" spans="2:65" s="609" customFormat="1" x14ac:dyDescent="0.2">
      <c r="B112" s="610"/>
      <c r="D112" s="603" t="s">
        <v>112</v>
      </c>
      <c r="E112" s="611" t="s">
        <v>1</v>
      </c>
      <c r="F112" s="612" t="s">
        <v>1979</v>
      </c>
      <c r="H112" s="613">
        <v>2.8879999999999999</v>
      </c>
      <c r="I112" s="614"/>
      <c r="L112" s="610"/>
      <c r="M112" s="615"/>
      <c r="T112" s="616"/>
      <c r="AT112" s="611" t="s">
        <v>112</v>
      </c>
      <c r="AU112" s="611" t="s">
        <v>65</v>
      </c>
      <c r="AV112" s="609" t="s">
        <v>65</v>
      </c>
      <c r="AW112" s="609" t="s">
        <v>30</v>
      </c>
      <c r="AX112" s="609" t="s">
        <v>55</v>
      </c>
      <c r="AY112" s="611" t="s">
        <v>101</v>
      </c>
    </row>
    <row r="113" spans="2:65" s="609" customFormat="1" x14ac:dyDescent="0.2">
      <c r="B113" s="610"/>
      <c r="D113" s="603" t="s">
        <v>112</v>
      </c>
      <c r="E113" s="611" t="s">
        <v>1</v>
      </c>
      <c r="F113" s="612" t="s">
        <v>1980</v>
      </c>
      <c r="H113" s="613">
        <v>3.448</v>
      </c>
      <c r="I113" s="614"/>
      <c r="L113" s="610"/>
      <c r="M113" s="615"/>
      <c r="T113" s="616"/>
      <c r="AT113" s="611" t="s">
        <v>112</v>
      </c>
      <c r="AU113" s="611" t="s">
        <v>65</v>
      </c>
      <c r="AV113" s="609" t="s">
        <v>65</v>
      </c>
      <c r="AW113" s="609" t="s">
        <v>30</v>
      </c>
      <c r="AX113" s="609" t="s">
        <v>55</v>
      </c>
      <c r="AY113" s="611" t="s">
        <v>101</v>
      </c>
    </row>
    <row r="114" spans="2:65" s="609" customFormat="1" x14ac:dyDescent="0.2">
      <c r="B114" s="610"/>
      <c r="D114" s="603" t="s">
        <v>112</v>
      </c>
      <c r="E114" s="611" t="s">
        <v>1</v>
      </c>
      <c r="F114" s="612" t="s">
        <v>1981</v>
      </c>
      <c r="H114" s="613">
        <v>0.64800000000000002</v>
      </c>
      <c r="I114" s="614"/>
      <c r="L114" s="610"/>
      <c r="M114" s="615"/>
      <c r="T114" s="616"/>
      <c r="AT114" s="611" t="s">
        <v>112</v>
      </c>
      <c r="AU114" s="611" t="s">
        <v>65</v>
      </c>
      <c r="AV114" s="609" t="s">
        <v>65</v>
      </c>
      <c r="AW114" s="609" t="s">
        <v>30</v>
      </c>
      <c r="AX114" s="609" t="s">
        <v>55</v>
      </c>
      <c r="AY114" s="611" t="s">
        <v>101</v>
      </c>
    </row>
    <row r="115" spans="2:65" s="601" customFormat="1" x14ac:dyDescent="0.2">
      <c r="B115" s="602"/>
      <c r="D115" s="603" t="s">
        <v>112</v>
      </c>
      <c r="E115" s="604" t="s">
        <v>1</v>
      </c>
      <c r="F115" s="605" t="s">
        <v>1971</v>
      </c>
      <c r="H115" s="604" t="s">
        <v>1</v>
      </c>
      <c r="I115" s="606"/>
      <c r="L115" s="602"/>
      <c r="M115" s="607"/>
      <c r="T115" s="608"/>
      <c r="AT115" s="604" t="s">
        <v>112</v>
      </c>
      <c r="AU115" s="604" t="s">
        <v>65</v>
      </c>
      <c r="AV115" s="601" t="s">
        <v>63</v>
      </c>
      <c r="AW115" s="601" t="s">
        <v>30</v>
      </c>
      <c r="AX115" s="601" t="s">
        <v>55</v>
      </c>
      <c r="AY115" s="604" t="s">
        <v>101</v>
      </c>
    </row>
    <row r="116" spans="2:65" s="601" customFormat="1" ht="33.75" x14ac:dyDescent="0.2">
      <c r="B116" s="602"/>
      <c r="D116" s="603" t="s">
        <v>112</v>
      </c>
      <c r="E116" s="604" t="s">
        <v>1</v>
      </c>
      <c r="F116" s="605" t="s">
        <v>1972</v>
      </c>
      <c r="H116" s="604" t="s">
        <v>1</v>
      </c>
      <c r="I116" s="606"/>
      <c r="L116" s="602"/>
      <c r="M116" s="607"/>
      <c r="T116" s="608"/>
      <c r="AT116" s="604" t="s">
        <v>112</v>
      </c>
      <c r="AU116" s="604" t="s">
        <v>65</v>
      </c>
      <c r="AV116" s="601" t="s">
        <v>63</v>
      </c>
      <c r="AW116" s="601" t="s">
        <v>30</v>
      </c>
      <c r="AX116" s="601" t="s">
        <v>55</v>
      </c>
      <c r="AY116" s="604" t="s">
        <v>101</v>
      </c>
    </row>
    <row r="117" spans="2:65" s="609" customFormat="1" x14ac:dyDescent="0.2">
      <c r="B117" s="610"/>
      <c r="D117" s="603" t="s">
        <v>112</v>
      </c>
      <c r="E117" s="611" t="s">
        <v>1</v>
      </c>
      <c r="F117" s="612" t="s">
        <v>1982</v>
      </c>
      <c r="H117" s="613">
        <v>4.8559999999999999</v>
      </c>
      <c r="I117" s="614"/>
      <c r="L117" s="610"/>
      <c r="M117" s="615"/>
      <c r="T117" s="616"/>
      <c r="AT117" s="611" t="s">
        <v>112</v>
      </c>
      <c r="AU117" s="611" t="s">
        <v>65</v>
      </c>
      <c r="AV117" s="609" t="s">
        <v>65</v>
      </c>
      <c r="AW117" s="609" t="s">
        <v>30</v>
      </c>
      <c r="AX117" s="609" t="s">
        <v>55</v>
      </c>
      <c r="AY117" s="611" t="s">
        <v>101</v>
      </c>
    </row>
    <row r="118" spans="2:65" s="609" customFormat="1" x14ac:dyDescent="0.2">
      <c r="B118" s="610"/>
      <c r="D118" s="603" t="s">
        <v>112</v>
      </c>
      <c r="E118" s="611" t="s">
        <v>1</v>
      </c>
      <c r="F118" s="612" t="s">
        <v>1983</v>
      </c>
      <c r="H118" s="613">
        <v>3.4239999999999999</v>
      </c>
      <c r="I118" s="614"/>
      <c r="L118" s="610"/>
      <c r="M118" s="615"/>
      <c r="T118" s="616"/>
      <c r="AT118" s="611" t="s">
        <v>112</v>
      </c>
      <c r="AU118" s="611" t="s">
        <v>65</v>
      </c>
      <c r="AV118" s="609" t="s">
        <v>65</v>
      </c>
      <c r="AW118" s="609" t="s">
        <v>30</v>
      </c>
      <c r="AX118" s="609" t="s">
        <v>55</v>
      </c>
      <c r="AY118" s="611" t="s">
        <v>101</v>
      </c>
    </row>
    <row r="119" spans="2:65" s="617" customFormat="1" x14ac:dyDescent="0.2">
      <c r="B119" s="618"/>
      <c r="D119" s="603" t="s">
        <v>112</v>
      </c>
      <c r="E119" s="619" t="s">
        <v>1</v>
      </c>
      <c r="F119" s="620" t="s">
        <v>127</v>
      </c>
      <c r="H119" s="621">
        <v>106.33499999999999</v>
      </c>
      <c r="I119" s="622"/>
      <c r="L119" s="618"/>
      <c r="M119" s="623"/>
      <c r="T119" s="624"/>
      <c r="AT119" s="619" t="s">
        <v>112</v>
      </c>
      <c r="AU119" s="619" t="s">
        <v>65</v>
      </c>
      <c r="AV119" s="617" t="s">
        <v>108</v>
      </c>
      <c r="AW119" s="617" t="s">
        <v>30</v>
      </c>
      <c r="AX119" s="617" t="s">
        <v>63</v>
      </c>
      <c r="AY119" s="619" t="s">
        <v>101</v>
      </c>
    </row>
    <row r="120" spans="2:65" s="516" customFormat="1" ht="55.5" customHeight="1" x14ac:dyDescent="0.2">
      <c r="B120" s="582"/>
      <c r="C120" s="583" t="s">
        <v>119</v>
      </c>
      <c r="D120" s="583" t="s">
        <v>103</v>
      </c>
      <c r="E120" s="584" t="s">
        <v>154</v>
      </c>
      <c r="F120" s="585" t="s">
        <v>155</v>
      </c>
      <c r="G120" s="586" t="s">
        <v>130</v>
      </c>
      <c r="H120" s="587">
        <v>36.152000000000001</v>
      </c>
      <c r="I120" s="588"/>
      <c r="J120" s="589">
        <f>ROUND(I120*H120,2)</f>
        <v>0</v>
      </c>
      <c r="K120" s="585" t="s">
        <v>107</v>
      </c>
      <c r="L120" s="517"/>
      <c r="M120" s="590" t="s">
        <v>1</v>
      </c>
      <c r="N120" s="591" t="s">
        <v>39</v>
      </c>
      <c r="P120" s="592">
        <f>O120*H120</f>
        <v>0</v>
      </c>
      <c r="Q120" s="592">
        <v>0</v>
      </c>
      <c r="R120" s="592">
        <f>Q120*H120</f>
        <v>0</v>
      </c>
      <c r="S120" s="592">
        <v>0</v>
      </c>
      <c r="T120" s="593">
        <f>S120*H120</f>
        <v>0</v>
      </c>
      <c r="AR120" s="594" t="s">
        <v>108</v>
      </c>
      <c r="AT120" s="594" t="s">
        <v>103</v>
      </c>
      <c r="AU120" s="594" t="s">
        <v>65</v>
      </c>
      <c r="AY120" s="509" t="s">
        <v>101</v>
      </c>
      <c r="BE120" s="595">
        <f>IF(N120="základní",J120,0)</f>
        <v>0</v>
      </c>
      <c r="BF120" s="595">
        <f>IF(N120="snížená",J120,0)</f>
        <v>0</v>
      </c>
      <c r="BG120" s="595">
        <f>IF(N120="zákl. přenesená",J120,0)</f>
        <v>0</v>
      </c>
      <c r="BH120" s="595">
        <f>IF(N120="sníž. přenesená",J120,0)</f>
        <v>0</v>
      </c>
      <c r="BI120" s="595">
        <f>IF(N120="nulová",J120,0)</f>
        <v>0</v>
      </c>
      <c r="BJ120" s="509" t="s">
        <v>63</v>
      </c>
      <c r="BK120" s="595">
        <f>ROUND(I120*H120,2)</f>
        <v>0</v>
      </c>
      <c r="BL120" s="509" t="s">
        <v>108</v>
      </c>
      <c r="BM120" s="594" t="s">
        <v>1984</v>
      </c>
    </row>
    <row r="121" spans="2:65" s="516" customFormat="1" x14ac:dyDescent="0.2">
      <c r="B121" s="517"/>
      <c r="D121" s="596" t="s">
        <v>110</v>
      </c>
      <c r="F121" s="597" t="s">
        <v>157</v>
      </c>
      <c r="I121" s="598"/>
      <c r="L121" s="517"/>
      <c r="M121" s="599"/>
      <c r="T121" s="600"/>
      <c r="AT121" s="509" t="s">
        <v>110</v>
      </c>
      <c r="AU121" s="509" t="s">
        <v>65</v>
      </c>
    </row>
    <row r="122" spans="2:65" s="601" customFormat="1" x14ac:dyDescent="0.2">
      <c r="B122" s="602"/>
      <c r="D122" s="603" t="s">
        <v>112</v>
      </c>
      <c r="E122" s="604" t="s">
        <v>1</v>
      </c>
      <c r="F122" s="605" t="s">
        <v>1963</v>
      </c>
      <c r="H122" s="604" t="s">
        <v>1</v>
      </c>
      <c r="I122" s="606"/>
      <c r="L122" s="602"/>
      <c r="M122" s="607"/>
      <c r="T122" s="608"/>
      <c r="AT122" s="604" t="s">
        <v>112</v>
      </c>
      <c r="AU122" s="604" t="s">
        <v>65</v>
      </c>
      <c r="AV122" s="601" t="s">
        <v>63</v>
      </c>
      <c r="AW122" s="601" t="s">
        <v>30</v>
      </c>
      <c r="AX122" s="601" t="s">
        <v>55</v>
      </c>
      <c r="AY122" s="604" t="s">
        <v>101</v>
      </c>
    </row>
    <row r="123" spans="2:65" s="601" customFormat="1" ht="22.5" x14ac:dyDescent="0.2">
      <c r="B123" s="602"/>
      <c r="D123" s="603" t="s">
        <v>112</v>
      </c>
      <c r="E123" s="604" t="s">
        <v>1</v>
      </c>
      <c r="F123" s="605" t="s">
        <v>1964</v>
      </c>
      <c r="H123" s="604" t="s">
        <v>1</v>
      </c>
      <c r="I123" s="606"/>
      <c r="L123" s="602"/>
      <c r="M123" s="607"/>
      <c r="T123" s="608"/>
      <c r="AT123" s="604" t="s">
        <v>112</v>
      </c>
      <c r="AU123" s="604" t="s">
        <v>65</v>
      </c>
      <c r="AV123" s="601" t="s">
        <v>63</v>
      </c>
      <c r="AW123" s="601" t="s">
        <v>30</v>
      </c>
      <c r="AX123" s="601" t="s">
        <v>55</v>
      </c>
      <c r="AY123" s="604" t="s">
        <v>101</v>
      </c>
    </row>
    <row r="124" spans="2:65" s="609" customFormat="1" x14ac:dyDescent="0.2">
      <c r="B124" s="610"/>
      <c r="D124" s="603" t="s">
        <v>112</v>
      </c>
      <c r="E124" s="611" t="s">
        <v>1</v>
      </c>
      <c r="F124" s="612" t="s">
        <v>1985</v>
      </c>
      <c r="H124" s="613">
        <v>30.350999999999999</v>
      </c>
      <c r="I124" s="614"/>
      <c r="L124" s="610"/>
      <c r="M124" s="615"/>
      <c r="T124" s="616"/>
      <c r="AT124" s="611" t="s">
        <v>112</v>
      </c>
      <c r="AU124" s="611" t="s">
        <v>65</v>
      </c>
      <c r="AV124" s="609" t="s">
        <v>65</v>
      </c>
      <c r="AW124" s="609" t="s">
        <v>30</v>
      </c>
      <c r="AX124" s="609" t="s">
        <v>55</v>
      </c>
      <c r="AY124" s="611" t="s">
        <v>101</v>
      </c>
    </row>
    <row r="125" spans="2:65" s="609" customFormat="1" x14ac:dyDescent="0.2">
      <c r="B125" s="610"/>
      <c r="D125" s="603" t="s">
        <v>112</v>
      </c>
      <c r="E125" s="611" t="s">
        <v>1</v>
      </c>
      <c r="F125" s="612" t="s">
        <v>1986</v>
      </c>
      <c r="H125" s="613">
        <v>0.309</v>
      </c>
      <c r="I125" s="614"/>
      <c r="L125" s="610"/>
      <c r="M125" s="615"/>
      <c r="T125" s="616"/>
      <c r="AT125" s="611" t="s">
        <v>112</v>
      </c>
      <c r="AU125" s="611" t="s">
        <v>65</v>
      </c>
      <c r="AV125" s="609" t="s">
        <v>65</v>
      </c>
      <c r="AW125" s="609" t="s">
        <v>30</v>
      </c>
      <c r="AX125" s="609" t="s">
        <v>55</v>
      </c>
      <c r="AY125" s="611" t="s">
        <v>101</v>
      </c>
    </row>
    <row r="126" spans="2:65" s="609" customFormat="1" x14ac:dyDescent="0.2">
      <c r="B126" s="610"/>
      <c r="D126" s="603" t="s">
        <v>112</v>
      </c>
      <c r="E126" s="611" t="s">
        <v>1</v>
      </c>
      <c r="F126" s="612" t="s">
        <v>1987</v>
      </c>
      <c r="H126" s="613">
        <v>0.30299999999999999</v>
      </c>
      <c r="I126" s="614"/>
      <c r="L126" s="610"/>
      <c r="M126" s="615"/>
      <c r="T126" s="616"/>
      <c r="AT126" s="611" t="s">
        <v>112</v>
      </c>
      <c r="AU126" s="611" t="s">
        <v>65</v>
      </c>
      <c r="AV126" s="609" t="s">
        <v>65</v>
      </c>
      <c r="AW126" s="609" t="s">
        <v>30</v>
      </c>
      <c r="AX126" s="609" t="s">
        <v>55</v>
      </c>
      <c r="AY126" s="611" t="s">
        <v>101</v>
      </c>
    </row>
    <row r="127" spans="2:65" s="609" customFormat="1" x14ac:dyDescent="0.2">
      <c r="B127" s="610"/>
      <c r="D127" s="603" t="s">
        <v>112</v>
      </c>
      <c r="E127" s="611" t="s">
        <v>1</v>
      </c>
      <c r="F127" s="612" t="s">
        <v>1988</v>
      </c>
      <c r="H127" s="613">
        <v>0.98199999999999998</v>
      </c>
      <c r="I127" s="614"/>
      <c r="L127" s="610"/>
      <c r="M127" s="615"/>
      <c r="T127" s="616"/>
      <c r="AT127" s="611" t="s">
        <v>112</v>
      </c>
      <c r="AU127" s="611" t="s">
        <v>65</v>
      </c>
      <c r="AV127" s="609" t="s">
        <v>65</v>
      </c>
      <c r="AW127" s="609" t="s">
        <v>30</v>
      </c>
      <c r="AX127" s="609" t="s">
        <v>55</v>
      </c>
      <c r="AY127" s="611" t="s">
        <v>101</v>
      </c>
    </row>
    <row r="128" spans="2:65" s="609" customFormat="1" x14ac:dyDescent="0.2">
      <c r="B128" s="610"/>
      <c r="D128" s="603" t="s">
        <v>112</v>
      </c>
      <c r="E128" s="611" t="s">
        <v>1</v>
      </c>
      <c r="F128" s="612" t="s">
        <v>1989</v>
      </c>
      <c r="H128" s="613">
        <v>1.1719999999999999</v>
      </c>
      <c r="I128" s="614"/>
      <c r="L128" s="610"/>
      <c r="M128" s="615"/>
      <c r="T128" s="616"/>
      <c r="AT128" s="611" t="s">
        <v>112</v>
      </c>
      <c r="AU128" s="611" t="s">
        <v>65</v>
      </c>
      <c r="AV128" s="609" t="s">
        <v>65</v>
      </c>
      <c r="AW128" s="609" t="s">
        <v>30</v>
      </c>
      <c r="AX128" s="609" t="s">
        <v>55</v>
      </c>
      <c r="AY128" s="611" t="s">
        <v>101</v>
      </c>
    </row>
    <row r="129" spans="2:65" s="609" customFormat="1" x14ac:dyDescent="0.2">
      <c r="B129" s="610"/>
      <c r="D129" s="603" t="s">
        <v>112</v>
      </c>
      <c r="E129" s="611" t="s">
        <v>1</v>
      </c>
      <c r="F129" s="612" t="s">
        <v>1990</v>
      </c>
      <c r="H129" s="613">
        <v>0.22</v>
      </c>
      <c r="I129" s="614"/>
      <c r="L129" s="610"/>
      <c r="M129" s="615"/>
      <c r="T129" s="616"/>
      <c r="AT129" s="611" t="s">
        <v>112</v>
      </c>
      <c r="AU129" s="611" t="s">
        <v>65</v>
      </c>
      <c r="AV129" s="609" t="s">
        <v>65</v>
      </c>
      <c r="AW129" s="609" t="s">
        <v>30</v>
      </c>
      <c r="AX129" s="609" t="s">
        <v>55</v>
      </c>
      <c r="AY129" s="611" t="s">
        <v>101</v>
      </c>
    </row>
    <row r="130" spans="2:65" s="601" customFormat="1" x14ac:dyDescent="0.2">
      <c r="B130" s="602"/>
      <c r="D130" s="603" t="s">
        <v>112</v>
      </c>
      <c r="E130" s="604" t="s">
        <v>1</v>
      </c>
      <c r="F130" s="605" t="s">
        <v>1971</v>
      </c>
      <c r="H130" s="604" t="s">
        <v>1</v>
      </c>
      <c r="I130" s="606"/>
      <c r="L130" s="602"/>
      <c r="M130" s="607"/>
      <c r="T130" s="608"/>
      <c r="AT130" s="604" t="s">
        <v>112</v>
      </c>
      <c r="AU130" s="604" t="s">
        <v>65</v>
      </c>
      <c r="AV130" s="601" t="s">
        <v>63</v>
      </c>
      <c r="AW130" s="601" t="s">
        <v>30</v>
      </c>
      <c r="AX130" s="601" t="s">
        <v>55</v>
      </c>
      <c r="AY130" s="604" t="s">
        <v>101</v>
      </c>
    </row>
    <row r="131" spans="2:65" s="601" customFormat="1" ht="33.75" x14ac:dyDescent="0.2">
      <c r="B131" s="602"/>
      <c r="D131" s="603" t="s">
        <v>112</v>
      </c>
      <c r="E131" s="604" t="s">
        <v>1</v>
      </c>
      <c r="F131" s="605" t="s">
        <v>1972</v>
      </c>
      <c r="H131" s="604" t="s">
        <v>1</v>
      </c>
      <c r="I131" s="606"/>
      <c r="L131" s="602"/>
      <c r="M131" s="607"/>
      <c r="T131" s="608"/>
      <c r="AT131" s="604" t="s">
        <v>112</v>
      </c>
      <c r="AU131" s="604" t="s">
        <v>65</v>
      </c>
      <c r="AV131" s="601" t="s">
        <v>63</v>
      </c>
      <c r="AW131" s="601" t="s">
        <v>30</v>
      </c>
      <c r="AX131" s="601" t="s">
        <v>55</v>
      </c>
      <c r="AY131" s="604" t="s">
        <v>101</v>
      </c>
    </row>
    <row r="132" spans="2:65" s="609" customFormat="1" x14ac:dyDescent="0.2">
      <c r="B132" s="610"/>
      <c r="D132" s="603" t="s">
        <v>112</v>
      </c>
      <c r="E132" s="611" t="s">
        <v>1</v>
      </c>
      <c r="F132" s="612" t="s">
        <v>1991</v>
      </c>
      <c r="H132" s="613">
        <v>1.651</v>
      </c>
      <c r="I132" s="614"/>
      <c r="L132" s="610"/>
      <c r="M132" s="615"/>
      <c r="T132" s="616"/>
      <c r="AT132" s="611" t="s">
        <v>112</v>
      </c>
      <c r="AU132" s="611" t="s">
        <v>65</v>
      </c>
      <c r="AV132" s="609" t="s">
        <v>65</v>
      </c>
      <c r="AW132" s="609" t="s">
        <v>30</v>
      </c>
      <c r="AX132" s="609" t="s">
        <v>55</v>
      </c>
      <c r="AY132" s="611" t="s">
        <v>101</v>
      </c>
    </row>
    <row r="133" spans="2:65" s="609" customFormat="1" x14ac:dyDescent="0.2">
      <c r="B133" s="610"/>
      <c r="D133" s="603" t="s">
        <v>112</v>
      </c>
      <c r="E133" s="611" t="s">
        <v>1</v>
      </c>
      <c r="F133" s="612" t="s">
        <v>1992</v>
      </c>
      <c r="H133" s="613">
        <v>1.1639999999999999</v>
      </c>
      <c r="I133" s="614"/>
      <c r="L133" s="610"/>
      <c r="M133" s="615"/>
      <c r="T133" s="616"/>
      <c r="AT133" s="611" t="s">
        <v>112</v>
      </c>
      <c r="AU133" s="611" t="s">
        <v>65</v>
      </c>
      <c r="AV133" s="609" t="s">
        <v>65</v>
      </c>
      <c r="AW133" s="609" t="s">
        <v>30</v>
      </c>
      <c r="AX133" s="609" t="s">
        <v>55</v>
      </c>
      <c r="AY133" s="611" t="s">
        <v>101</v>
      </c>
    </row>
    <row r="134" spans="2:65" s="617" customFormat="1" x14ac:dyDescent="0.2">
      <c r="B134" s="618"/>
      <c r="D134" s="603" t="s">
        <v>112</v>
      </c>
      <c r="E134" s="619" t="s">
        <v>1</v>
      </c>
      <c r="F134" s="620" t="s">
        <v>127</v>
      </c>
      <c r="H134" s="621">
        <v>36.152000000000001</v>
      </c>
      <c r="I134" s="622"/>
      <c r="L134" s="618"/>
      <c r="M134" s="623"/>
      <c r="T134" s="624"/>
      <c r="AT134" s="619" t="s">
        <v>112</v>
      </c>
      <c r="AU134" s="619" t="s">
        <v>65</v>
      </c>
      <c r="AV134" s="617" t="s">
        <v>108</v>
      </c>
      <c r="AW134" s="617" t="s">
        <v>30</v>
      </c>
      <c r="AX134" s="617" t="s">
        <v>63</v>
      </c>
      <c r="AY134" s="619" t="s">
        <v>101</v>
      </c>
    </row>
    <row r="135" spans="2:65" s="516" customFormat="1" ht="62.65" customHeight="1" x14ac:dyDescent="0.2">
      <c r="B135" s="582"/>
      <c r="C135" s="583" t="s">
        <v>108</v>
      </c>
      <c r="D135" s="583" t="s">
        <v>103</v>
      </c>
      <c r="E135" s="584" t="s">
        <v>186</v>
      </c>
      <c r="F135" s="585" t="s">
        <v>187</v>
      </c>
      <c r="G135" s="586" t="s">
        <v>130</v>
      </c>
      <c r="H135" s="587">
        <v>322.17899999999997</v>
      </c>
      <c r="I135" s="588"/>
      <c r="J135" s="589">
        <f>ROUND(I135*H135,2)</f>
        <v>0</v>
      </c>
      <c r="K135" s="585" t="s">
        <v>107</v>
      </c>
      <c r="L135" s="517"/>
      <c r="M135" s="590" t="s">
        <v>1</v>
      </c>
      <c r="N135" s="591" t="s">
        <v>39</v>
      </c>
      <c r="P135" s="592">
        <f>O135*H135</f>
        <v>0</v>
      </c>
      <c r="Q135" s="592">
        <v>0</v>
      </c>
      <c r="R135" s="592">
        <f>Q135*H135</f>
        <v>0</v>
      </c>
      <c r="S135" s="592">
        <v>0</v>
      </c>
      <c r="T135" s="593">
        <f>S135*H135</f>
        <v>0</v>
      </c>
      <c r="AR135" s="594" t="s">
        <v>108</v>
      </c>
      <c r="AT135" s="594" t="s">
        <v>103</v>
      </c>
      <c r="AU135" s="594" t="s">
        <v>65</v>
      </c>
      <c r="AY135" s="509" t="s">
        <v>101</v>
      </c>
      <c r="BE135" s="595">
        <f>IF(N135="základní",J135,0)</f>
        <v>0</v>
      </c>
      <c r="BF135" s="595">
        <f>IF(N135="snížená",J135,0)</f>
        <v>0</v>
      </c>
      <c r="BG135" s="595">
        <f>IF(N135="zákl. přenesená",J135,0)</f>
        <v>0</v>
      </c>
      <c r="BH135" s="595">
        <f>IF(N135="sníž. přenesená",J135,0)</f>
        <v>0</v>
      </c>
      <c r="BI135" s="595">
        <f>IF(N135="nulová",J135,0)</f>
        <v>0</v>
      </c>
      <c r="BJ135" s="509" t="s">
        <v>63</v>
      </c>
      <c r="BK135" s="595">
        <f>ROUND(I135*H135,2)</f>
        <v>0</v>
      </c>
      <c r="BL135" s="509" t="s">
        <v>108</v>
      </c>
      <c r="BM135" s="594" t="s">
        <v>1993</v>
      </c>
    </row>
    <row r="136" spans="2:65" s="516" customFormat="1" x14ac:dyDescent="0.2">
      <c r="B136" s="517"/>
      <c r="D136" s="596" t="s">
        <v>110</v>
      </c>
      <c r="F136" s="597" t="s">
        <v>189</v>
      </c>
      <c r="I136" s="598"/>
      <c r="L136" s="517"/>
      <c r="M136" s="599"/>
      <c r="T136" s="600"/>
      <c r="AT136" s="509" t="s">
        <v>110</v>
      </c>
      <c r="AU136" s="509" t="s">
        <v>65</v>
      </c>
    </row>
    <row r="137" spans="2:65" s="609" customFormat="1" x14ac:dyDescent="0.2">
      <c r="B137" s="610"/>
      <c r="D137" s="603" t="s">
        <v>112</v>
      </c>
      <c r="E137" s="611" t="s">
        <v>1</v>
      </c>
      <c r="F137" s="612" t="s">
        <v>1994</v>
      </c>
      <c r="H137" s="613">
        <v>176.51499999999999</v>
      </c>
      <c r="I137" s="614"/>
      <c r="L137" s="610"/>
      <c r="M137" s="615"/>
      <c r="T137" s="616"/>
      <c r="AT137" s="611" t="s">
        <v>112</v>
      </c>
      <c r="AU137" s="611" t="s">
        <v>65</v>
      </c>
      <c r="AV137" s="609" t="s">
        <v>65</v>
      </c>
      <c r="AW137" s="609" t="s">
        <v>30</v>
      </c>
      <c r="AX137" s="609" t="s">
        <v>55</v>
      </c>
      <c r="AY137" s="611" t="s">
        <v>101</v>
      </c>
    </row>
    <row r="138" spans="2:65" s="609" customFormat="1" x14ac:dyDescent="0.2">
      <c r="B138" s="610"/>
      <c r="D138" s="603" t="s">
        <v>112</v>
      </c>
      <c r="E138" s="611" t="s">
        <v>1</v>
      </c>
      <c r="F138" s="612" t="s">
        <v>1995</v>
      </c>
      <c r="H138" s="613">
        <v>113.741</v>
      </c>
      <c r="I138" s="614"/>
      <c r="L138" s="610"/>
      <c r="M138" s="615"/>
      <c r="T138" s="616"/>
      <c r="AT138" s="611" t="s">
        <v>112</v>
      </c>
      <c r="AU138" s="611" t="s">
        <v>65</v>
      </c>
      <c r="AV138" s="609" t="s">
        <v>65</v>
      </c>
      <c r="AW138" s="609" t="s">
        <v>30</v>
      </c>
      <c r="AX138" s="609" t="s">
        <v>55</v>
      </c>
      <c r="AY138" s="611" t="s">
        <v>101</v>
      </c>
    </row>
    <row r="139" spans="2:65" s="609" customFormat="1" x14ac:dyDescent="0.2">
      <c r="B139" s="610"/>
      <c r="D139" s="603" t="s">
        <v>112</v>
      </c>
      <c r="E139" s="611" t="s">
        <v>1</v>
      </c>
      <c r="F139" s="612" t="s">
        <v>1996</v>
      </c>
      <c r="H139" s="613">
        <v>31.922999999999998</v>
      </c>
      <c r="I139" s="614"/>
      <c r="L139" s="610"/>
      <c r="M139" s="615"/>
      <c r="T139" s="616"/>
      <c r="AT139" s="611" t="s">
        <v>112</v>
      </c>
      <c r="AU139" s="611" t="s">
        <v>65</v>
      </c>
      <c r="AV139" s="609" t="s">
        <v>65</v>
      </c>
      <c r="AW139" s="609" t="s">
        <v>30</v>
      </c>
      <c r="AX139" s="609" t="s">
        <v>55</v>
      </c>
      <c r="AY139" s="611" t="s">
        <v>101</v>
      </c>
    </row>
    <row r="140" spans="2:65" s="617" customFormat="1" x14ac:dyDescent="0.2">
      <c r="B140" s="618"/>
      <c r="D140" s="603" t="s">
        <v>112</v>
      </c>
      <c r="E140" s="619" t="s">
        <v>1</v>
      </c>
      <c r="F140" s="620" t="s">
        <v>127</v>
      </c>
      <c r="H140" s="621">
        <v>322.17899999999997</v>
      </c>
      <c r="I140" s="622"/>
      <c r="L140" s="618"/>
      <c r="M140" s="623"/>
      <c r="T140" s="624"/>
      <c r="AT140" s="619" t="s">
        <v>112</v>
      </c>
      <c r="AU140" s="619" t="s">
        <v>65</v>
      </c>
      <c r="AV140" s="617" t="s">
        <v>108</v>
      </c>
      <c r="AW140" s="617" t="s">
        <v>30</v>
      </c>
      <c r="AX140" s="617" t="s">
        <v>63</v>
      </c>
      <c r="AY140" s="619" t="s">
        <v>101</v>
      </c>
    </row>
    <row r="141" spans="2:65" s="516" customFormat="1" ht="62.65" customHeight="1" x14ac:dyDescent="0.2">
      <c r="B141" s="582"/>
      <c r="C141" s="583" t="s">
        <v>141</v>
      </c>
      <c r="D141" s="583" t="s">
        <v>103</v>
      </c>
      <c r="E141" s="584" t="s">
        <v>194</v>
      </c>
      <c r="F141" s="585" t="s">
        <v>195</v>
      </c>
      <c r="G141" s="586" t="s">
        <v>130</v>
      </c>
      <c r="H141" s="587">
        <v>36.152000000000001</v>
      </c>
      <c r="I141" s="588"/>
      <c r="J141" s="589">
        <f>ROUND(I141*H141,2)</f>
        <v>0</v>
      </c>
      <c r="K141" s="585" t="s">
        <v>107</v>
      </c>
      <c r="L141" s="517"/>
      <c r="M141" s="590" t="s">
        <v>1</v>
      </c>
      <c r="N141" s="591" t="s">
        <v>39</v>
      </c>
      <c r="P141" s="592">
        <f>O141*H141</f>
        <v>0</v>
      </c>
      <c r="Q141" s="592">
        <v>0</v>
      </c>
      <c r="R141" s="592">
        <f>Q141*H141</f>
        <v>0</v>
      </c>
      <c r="S141" s="592">
        <v>0</v>
      </c>
      <c r="T141" s="593">
        <f>S141*H141</f>
        <v>0</v>
      </c>
      <c r="AR141" s="594" t="s">
        <v>108</v>
      </c>
      <c r="AT141" s="594" t="s">
        <v>103</v>
      </c>
      <c r="AU141" s="594" t="s">
        <v>65</v>
      </c>
      <c r="AY141" s="509" t="s">
        <v>101</v>
      </c>
      <c r="BE141" s="595">
        <f>IF(N141="základní",J141,0)</f>
        <v>0</v>
      </c>
      <c r="BF141" s="595">
        <f>IF(N141="snížená",J141,0)</f>
        <v>0</v>
      </c>
      <c r="BG141" s="595">
        <f>IF(N141="zákl. přenesená",J141,0)</f>
        <v>0</v>
      </c>
      <c r="BH141" s="595">
        <f>IF(N141="sníž. přenesená",J141,0)</f>
        <v>0</v>
      </c>
      <c r="BI141" s="595">
        <f>IF(N141="nulová",J141,0)</f>
        <v>0</v>
      </c>
      <c r="BJ141" s="509" t="s">
        <v>63</v>
      </c>
      <c r="BK141" s="595">
        <f>ROUND(I141*H141,2)</f>
        <v>0</v>
      </c>
      <c r="BL141" s="509" t="s">
        <v>108</v>
      </c>
      <c r="BM141" s="594" t="s">
        <v>1997</v>
      </c>
    </row>
    <row r="142" spans="2:65" s="516" customFormat="1" x14ac:dyDescent="0.2">
      <c r="B142" s="517"/>
      <c r="D142" s="596" t="s">
        <v>110</v>
      </c>
      <c r="F142" s="597" t="s">
        <v>197</v>
      </c>
      <c r="I142" s="598"/>
      <c r="L142" s="517"/>
      <c r="M142" s="599"/>
      <c r="T142" s="600"/>
      <c r="AT142" s="509" t="s">
        <v>110</v>
      </c>
      <c r="AU142" s="509" t="s">
        <v>65</v>
      </c>
    </row>
    <row r="143" spans="2:65" s="516" customFormat="1" ht="62.65" customHeight="1" x14ac:dyDescent="0.2">
      <c r="B143" s="582"/>
      <c r="C143" s="583" t="s">
        <v>153</v>
      </c>
      <c r="D143" s="583" t="s">
        <v>103</v>
      </c>
      <c r="E143" s="584" t="s">
        <v>199</v>
      </c>
      <c r="F143" s="585" t="s">
        <v>200</v>
      </c>
      <c r="G143" s="586" t="s">
        <v>130</v>
      </c>
      <c r="H143" s="587">
        <v>176.51499999999999</v>
      </c>
      <c r="I143" s="588"/>
      <c r="J143" s="589">
        <f>ROUND(I143*H143,2)</f>
        <v>0</v>
      </c>
      <c r="K143" s="585" t="s">
        <v>107</v>
      </c>
      <c r="L143" s="517"/>
      <c r="M143" s="590" t="s">
        <v>1</v>
      </c>
      <c r="N143" s="591" t="s">
        <v>39</v>
      </c>
      <c r="P143" s="592">
        <f>O143*H143</f>
        <v>0</v>
      </c>
      <c r="Q143" s="592">
        <v>0</v>
      </c>
      <c r="R143" s="592">
        <f>Q143*H143</f>
        <v>0</v>
      </c>
      <c r="S143" s="592">
        <v>0</v>
      </c>
      <c r="T143" s="593">
        <f>S143*H143</f>
        <v>0</v>
      </c>
      <c r="AR143" s="594" t="s">
        <v>108</v>
      </c>
      <c r="AT143" s="594" t="s">
        <v>103</v>
      </c>
      <c r="AU143" s="594" t="s">
        <v>65</v>
      </c>
      <c r="AY143" s="509" t="s">
        <v>101</v>
      </c>
      <c r="BE143" s="595">
        <f>IF(N143="základní",J143,0)</f>
        <v>0</v>
      </c>
      <c r="BF143" s="595">
        <f>IF(N143="snížená",J143,0)</f>
        <v>0</v>
      </c>
      <c r="BG143" s="595">
        <f>IF(N143="zákl. přenesená",J143,0)</f>
        <v>0</v>
      </c>
      <c r="BH143" s="595">
        <f>IF(N143="sníž. přenesená",J143,0)</f>
        <v>0</v>
      </c>
      <c r="BI143" s="595">
        <f>IF(N143="nulová",J143,0)</f>
        <v>0</v>
      </c>
      <c r="BJ143" s="509" t="s">
        <v>63</v>
      </c>
      <c r="BK143" s="595">
        <f>ROUND(I143*H143,2)</f>
        <v>0</v>
      </c>
      <c r="BL143" s="509" t="s">
        <v>108</v>
      </c>
      <c r="BM143" s="594" t="s">
        <v>1998</v>
      </c>
    </row>
    <row r="144" spans="2:65" s="516" customFormat="1" x14ac:dyDescent="0.2">
      <c r="B144" s="517"/>
      <c r="D144" s="596" t="s">
        <v>110</v>
      </c>
      <c r="F144" s="597" t="s">
        <v>202</v>
      </c>
      <c r="I144" s="598"/>
      <c r="L144" s="517"/>
      <c r="M144" s="599"/>
      <c r="T144" s="600"/>
      <c r="AT144" s="509" t="s">
        <v>110</v>
      </c>
      <c r="AU144" s="509" t="s">
        <v>65</v>
      </c>
    </row>
    <row r="145" spans="2:65" s="516" customFormat="1" ht="66.75" customHeight="1" x14ac:dyDescent="0.2">
      <c r="B145" s="582"/>
      <c r="C145" s="583" t="s">
        <v>165</v>
      </c>
      <c r="D145" s="583" t="s">
        <v>103</v>
      </c>
      <c r="E145" s="584" t="s">
        <v>204</v>
      </c>
      <c r="F145" s="585" t="s">
        <v>205</v>
      </c>
      <c r="G145" s="586" t="s">
        <v>130</v>
      </c>
      <c r="H145" s="587">
        <v>529.54499999999996</v>
      </c>
      <c r="I145" s="588"/>
      <c r="J145" s="589">
        <f>ROUND(I145*H145,2)</f>
        <v>0</v>
      </c>
      <c r="K145" s="585" t="s">
        <v>107</v>
      </c>
      <c r="L145" s="517"/>
      <c r="M145" s="590" t="s">
        <v>1</v>
      </c>
      <c r="N145" s="591" t="s">
        <v>39</v>
      </c>
      <c r="P145" s="592">
        <f>O145*H145</f>
        <v>0</v>
      </c>
      <c r="Q145" s="592">
        <v>0</v>
      </c>
      <c r="R145" s="592">
        <f>Q145*H145</f>
        <v>0</v>
      </c>
      <c r="S145" s="592">
        <v>0</v>
      </c>
      <c r="T145" s="593">
        <f>S145*H145</f>
        <v>0</v>
      </c>
      <c r="AR145" s="594" t="s">
        <v>108</v>
      </c>
      <c r="AT145" s="594" t="s">
        <v>103</v>
      </c>
      <c r="AU145" s="594" t="s">
        <v>65</v>
      </c>
      <c r="AY145" s="509" t="s">
        <v>101</v>
      </c>
      <c r="BE145" s="595">
        <f>IF(N145="základní",J145,0)</f>
        <v>0</v>
      </c>
      <c r="BF145" s="595">
        <f>IF(N145="snížená",J145,0)</f>
        <v>0</v>
      </c>
      <c r="BG145" s="595">
        <f>IF(N145="zákl. přenesená",J145,0)</f>
        <v>0</v>
      </c>
      <c r="BH145" s="595">
        <f>IF(N145="sníž. přenesená",J145,0)</f>
        <v>0</v>
      </c>
      <c r="BI145" s="595">
        <f>IF(N145="nulová",J145,0)</f>
        <v>0</v>
      </c>
      <c r="BJ145" s="509" t="s">
        <v>63</v>
      </c>
      <c r="BK145" s="595">
        <f>ROUND(I145*H145,2)</f>
        <v>0</v>
      </c>
      <c r="BL145" s="509" t="s">
        <v>108</v>
      </c>
      <c r="BM145" s="594" t="s">
        <v>1999</v>
      </c>
    </row>
    <row r="146" spans="2:65" s="516" customFormat="1" x14ac:dyDescent="0.2">
      <c r="B146" s="517"/>
      <c r="D146" s="596" t="s">
        <v>110</v>
      </c>
      <c r="F146" s="597" t="s">
        <v>207</v>
      </c>
      <c r="I146" s="598"/>
      <c r="L146" s="517"/>
      <c r="M146" s="599"/>
      <c r="T146" s="600"/>
      <c r="AT146" s="509" t="s">
        <v>110</v>
      </c>
      <c r="AU146" s="509" t="s">
        <v>65</v>
      </c>
    </row>
    <row r="147" spans="2:65" s="609" customFormat="1" x14ac:dyDescent="0.2">
      <c r="B147" s="610"/>
      <c r="D147" s="603" t="s">
        <v>112</v>
      </c>
      <c r="E147" s="611" t="s">
        <v>1</v>
      </c>
      <c r="F147" s="612" t="s">
        <v>2000</v>
      </c>
      <c r="H147" s="613">
        <v>529.54499999999996</v>
      </c>
      <c r="I147" s="614"/>
      <c r="L147" s="610"/>
      <c r="M147" s="615"/>
      <c r="T147" s="616"/>
      <c r="AT147" s="611" t="s">
        <v>112</v>
      </c>
      <c r="AU147" s="611" t="s">
        <v>65</v>
      </c>
      <c r="AV147" s="609" t="s">
        <v>65</v>
      </c>
      <c r="AW147" s="609" t="s">
        <v>30</v>
      </c>
      <c r="AX147" s="609" t="s">
        <v>63</v>
      </c>
      <c r="AY147" s="611" t="s">
        <v>101</v>
      </c>
    </row>
    <row r="148" spans="2:65" s="516" customFormat="1" ht="62.65" customHeight="1" x14ac:dyDescent="0.2">
      <c r="B148" s="582"/>
      <c r="C148" s="583" t="s">
        <v>171</v>
      </c>
      <c r="D148" s="583" t="s">
        <v>103</v>
      </c>
      <c r="E148" s="584" t="s">
        <v>209</v>
      </c>
      <c r="F148" s="585" t="s">
        <v>210</v>
      </c>
      <c r="G148" s="586" t="s">
        <v>130</v>
      </c>
      <c r="H148" s="587">
        <v>36.152000000000001</v>
      </c>
      <c r="I148" s="588"/>
      <c r="J148" s="589">
        <f>ROUND(I148*H148,2)</f>
        <v>0</v>
      </c>
      <c r="K148" s="585" t="s">
        <v>107</v>
      </c>
      <c r="L148" s="517"/>
      <c r="M148" s="590" t="s">
        <v>1</v>
      </c>
      <c r="N148" s="591" t="s">
        <v>39</v>
      </c>
      <c r="P148" s="592">
        <f>O148*H148</f>
        <v>0</v>
      </c>
      <c r="Q148" s="592">
        <v>0</v>
      </c>
      <c r="R148" s="592">
        <f>Q148*H148</f>
        <v>0</v>
      </c>
      <c r="S148" s="592">
        <v>0</v>
      </c>
      <c r="T148" s="593">
        <f>S148*H148</f>
        <v>0</v>
      </c>
      <c r="AR148" s="594" t="s">
        <v>108</v>
      </c>
      <c r="AT148" s="594" t="s">
        <v>103</v>
      </c>
      <c r="AU148" s="594" t="s">
        <v>65</v>
      </c>
      <c r="AY148" s="509" t="s">
        <v>101</v>
      </c>
      <c r="BE148" s="595">
        <f>IF(N148="základní",J148,0)</f>
        <v>0</v>
      </c>
      <c r="BF148" s="595">
        <f>IF(N148="snížená",J148,0)</f>
        <v>0</v>
      </c>
      <c r="BG148" s="595">
        <f>IF(N148="zákl. přenesená",J148,0)</f>
        <v>0</v>
      </c>
      <c r="BH148" s="595">
        <f>IF(N148="sníž. přenesená",J148,0)</f>
        <v>0</v>
      </c>
      <c r="BI148" s="595">
        <f>IF(N148="nulová",J148,0)</f>
        <v>0</v>
      </c>
      <c r="BJ148" s="509" t="s">
        <v>63</v>
      </c>
      <c r="BK148" s="595">
        <f>ROUND(I148*H148,2)</f>
        <v>0</v>
      </c>
      <c r="BL148" s="509" t="s">
        <v>108</v>
      </c>
      <c r="BM148" s="594" t="s">
        <v>2001</v>
      </c>
    </row>
    <row r="149" spans="2:65" s="516" customFormat="1" x14ac:dyDescent="0.2">
      <c r="B149" s="517"/>
      <c r="D149" s="596" t="s">
        <v>110</v>
      </c>
      <c r="F149" s="597" t="s">
        <v>212</v>
      </c>
      <c r="I149" s="598"/>
      <c r="L149" s="517"/>
      <c r="M149" s="599"/>
      <c r="T149" s="600"/>
      <c r="AT149" s="509" t="s">
        <v>110</v>
      </c>
      <c r="AU149" s="509" t="s">
        <v>65</v>
      </c>
    </row>
    <row r="150" spans="2:65" s="516" customFormat="1" ht="66.75" customHeight="1" x14ac:dyDescent="0.2">
      <c r="B150" s="582"/>
      <c r="C150" s="583" t="s">
        <v>180</v>
      </c>
      <c r="D150" s="583" t="s">
        <v>103</v>
      </c>
      <c r="E150" s="584" t="s">
        <v>213</v>
      </c>
      <c r="F150" s="585" t="s">
        <v>214</v>
      </c>
      <c r="G150" s="586" t="s">
        <v>130</v>
      </c>
      <c r="H150" s="587">
        <v>108.456</v>
      </c>
      <c r="I150" s="588"/>
      <c r="J150" s="589">
        <f>ROUND(I150*H150,2)</f>
        <v>0</v>
      </c>
      <c r="K150" s="585" t="s">
        <v>107</v>
      </c>
      <c r="L150" s="517"/>
      <c r="M150" s="590" t="s">
        <v>1</v>
      </c>
      <c r="N150" s="591" t="s">
        <v>39</v>
      </c>
      <c r="P150" s="592">
        <f>O150*H150</f>
        <v>0</v>
      </c>
      <c r="Q150" s="592">
        <v>0</v>
      </c>
      <c r="R150" s="592">
        <f>Q150*H150</f>
        <v>0</v>
      </c>
      <c r="S150" s="592">
        <v>0</v>
      </c>
      <c r="T150" s="593">
        <f>S150*H150</f>
        <v>0</v>
      </c>
      <c r="AR150" s="594" t="s">
        <v>108</v>
      </c>
      <c r="AT150" s="594" t="s">
        <v>103</v>
      </c>
      <c r="AU150" s="594" t="s">
        <v>65</v>
      </c>
      <c r="AY150" s="509" t="s">
        <v>101</v>
      </c>
      <c r="BE150" s="595">
        <f>IF(N150="základní",J150,0)</f>
        <v>0</v>
      </c>
      <c r="BF150" s="595">
        <f>IF(N150="snížená",J150,0)</f>
        <v>0</v>
      </c>
      <c r="BG150" s="595">
        <f>IF(N150="zákl. přenesená",J150,0)</f>
        <v>0</v>
      </c>
      <c r="BH150" s="595">
        <f>IF(N150="sníž. přenesená",J150,0)</f>
        <v>0</v>
      </c>
      <c r="BI150" s="595">
        <f>IF(N150="nulová",J150,0)</f>
        <v>0</v>
      </c>
      <c r="BJ150" s="509" t="s">
        <v>63</v>
      </c>
      <c r="BK150" s="595">
        <f>ROUND(I150*H150,2)</f>
        <v>0</v>
      </c>
      <c r="BL150" s="509" t="s">
        <v>108</v>
      </c>
      <c r="BM150" s="594" t="s">
        <v>2002</v>
      </c>
    </row>
    <row r="151" spans="2:65" s="516" customFormat="1" x14ac:dyDescent="0.2">
      <c r="B151" s="517"/>
      <c r="D151" s="596" t="s">
        <v>110</v>
      </c>
      <c r="F151" s="597" t="s">
        <v>216</v>
      </c>
      <c r="I151" s="598"/>
      <c r="L151" s="517"/>
      <c r="M151" s="599"/>
      <c r="T151" s="600"/>
      <c r="AT151" s="509" t="s">
        <v>110</v>
      </c>
      <c r="AU151" s="509" t="s">
        <v>65</v>
      </c>
    </row>
    <row r="152" spans="2:65" s="609" customFormat="1" x14ac:dyDescent="0.2">
      <c r="B152" s="610"/>
      <c r="D152" s="603" t="s">
        <v>112</v>
      </c>
      <c r="E152" s="611" t="s">
        <v>1</v>
      </c>
      <c r="F152" s="612" t="s">
        <v>2003</v>
      </c>
      <c r="H152" s="613">
        <v>108.456</v>
      </c>
      <c r="I152" s="614"/>
      <c r="L152" s="610"/>
      <c r="M152" s="615"/>
      <c r="T152" s="616"/>
      <c r="AT152" s="611" t="s">
        <v>112</v>
      </c>
      <c r="AU152" s="611" t="s">
        <v>65</v>
      </c>
      <c r="AV152" s="609" t="s">
        <v>65</v>
      </c>
      <c r="AW152" s="609" t="s">
        <v>30</v>
      </c>
      <c r="AX152" s="609" t="s">
        <v>63</v>
      </c>
      <c r="AY152" s="611" t="s">
        <v>101</v>
      </c>
    </row>
    <row r="153" spans="2:65" s="516" customFormat="1" ht="44.25" customHeight="1" x14ac:dyDescent="0.2">
      <c r="B153" s="582"/>
      <c r="C153" s="583" t="s">
        <v>185</v>
      </c>
      <c r="D153" s="583" t="s">
        <v>103</v>
      </c>
      <c r="E153" s="584" t="s">
        <v>219</v>
      </c>
      <c r="F153" s="585" t="s">
        <v>220</v>
      </c>
      <c r="G153" s="586" t="s">
        <v>130</v>
      </c>
      <c r="H153" s="587">
        <v>322.17899999999997</v>
      </c>
      <c r="I153" s="588"/>
      <c r="J153" s="589">
        <f>ROUND(I153*H153,2)</f>
        <v>0</v>
      </c>
      <c r="K153" s="585" t="s">
        <v>107</v>
      </c>
      <c r="L153" s="517"/>
      <c r="M153" s="590" t="s">
        <v>1</v>
      </c>
      <c r="N153" s="591" t="s">
        <v>39</v>
      </c>
      <c r="P153" s="592">
        <f>O153*H153</f>
        <v>0</v>
      </c>
      <c r="Q153" s="592">
        <v>0</v>
      </c>
      <c r="R153" s="592">
        <f>Q153*H153</f>
        <v>0</v>
      </c>
      <c r="S153" s="592">
        <v>0</v>
      </c>
      <c r="T153" s="593">
        <f>S153*H153</f>
        <v>0</v>
      </c>
      <c r="AR153" s="594" t="s">
        <v>108</v>
      </c>
      <c r="AT153" s="594" t="s">
        <v>103</v>
      </c>
      <c r="AU153" s="594" t="s">
        <v>65</v>
      </c>
      <c r="AY153" s="509" t="s">
        <v>101</v>
      </c>
      <c r="BE153" s="595">
        <f>IF(N153="základní",J153,0)</f>
        <v>0</v>
      </c>
      <c r="BF153" s="595">
        <f>IF(N153="snížená",J153,0)</f>
        <v>0</v>
      </c>
      <c r="BG153" s="595">
        <f>IF(N153="zákl. přenesená",J153,0)</f>
        <v>0</v>
      </c>
      <c r="BH153" s="595">
        <f>IF(N153="sníž. přenesená",J153,0)</f>
        <v>0</v>
      </c>
      <c r="BI153" s="595">
        <f>IF(N153="nulová",J153,0)</f>
        <v>0</v>
      </c>
      <c r="BJ153" s="509" t="s">
        <v>63</v>
      </c>
      <c r="BK153" s="595">
        <f>ROUND(I153*H153,2)</f>
        <v>0</v>
      </c>
      <c r="BL153" s="509" t="s">
        <v>108</v>
      </c>
      <c r="BM153" s="594" t="s">
        <v>2004</v>
      </c>
    </row>
    <row r="154" spans="2:65" s="516" customFormat="1" x14ac:dyDescent="0.2">
      <c r="B154" s="517"/>
      <c r="D154" s="596" t="s">
        <v>110</v>
      </c>
      <c r="F154" s="597" t="s">
        <v>222</v>
      </c>
      <c r="I154" s="598"/>
      <c r="L154" s="517"/>
      <c r="M154" s="599"/>
      <c r="T154" s="600"/>
      <c r="AT154" s="509" t="s">
        <v>110</v>
      </c>
      <c r="AU154" s="509" t="s">
        <v>65</v>
      </c>
    </row>
    <row r="155" spans="2:65" s="609" customFormat="1" x14ac:dyDescent="0.2">
      <c r="B155" s="610"/>
      <c r="D155" s="603" t="s">
        <v>112</v>
      </c>
      <c r="E155" s="611" t="s">
        <v>1</v>
      </c>
      <c r="F155" s="612" t="s">
        <v>1994</v>
      </c>
      <c r="H155" s="613">
        <v>176.51499999999999</v>
      </c>
      <c r="I155" s="614"/>
      <c r="L155" s="610"/>
      <c r="M155" s="615"/>
      <c r="T155" s="616"/>
      <c r="AT155" s="611" t="s">
        <v>112</v>
      </c>
      <c r="AU155" s="611" t="s">
        <v>65</v>
      </c>
      <c r="AV155" s="609" t="s">
        <v>65</v>
      </c>
      <c r="AW155" s="609" t="s">
        <v>30</v>
      </c>
      <c r="AX155" s="609" t="s">
        <v>55</v>
      </c>
      <c r="AY155" s="611" t="s">
        <v>101</v>
      </c>
    </row>
    <row r="156" spans="2:65" s="609" customFormat="1" x14ac:dyDescent="0.2">
      <c r="B156" s="610"/>
      <c r="D156" s="603" t="s">
        <v>112</v>
      </c>
      <c r="E156" s="611" t="s">
        <v>1</v>
      </c>
      <c r="F156" s="612" t="s">
        <v>1995</v>
      </c>
      <c r="H156" s="613">
        <v>113.741</v>
      </c>
      <c r="I156" s="614"/>
      <c r="L156" s="610"/>
      <c r="M156" s="615"/>
      <c r="T156" s="616"/>
      <c r="AT156" s="611" t="s">
        <v>112</v>
      </c>
      <c r="AU156" s="611" t="s">
        <v>65</v>
      </c>
      <c r="AV156" s="609" t="s">
        <v>65</v>
      </c>
      <c r="AW156" s="609" t="s">
        <v>30</v>
      </c>
      <c r="AX156" s="609" t="s">
        <v>55</v>
      </c>
      <c r="AY156" s="611" t="s">
        <v>101</v>
      </c>
    </row>
    <row r="157" spans="2:65" s="609" customFormat="1" x14ac:dyDescent="0.2">
      <c r="B157" s="610"/>
      <c r="D157" s="603" t="s">
        <v>112</v>
      </c>
      <c r="E157" s="611" t="s">
        <v>1</v>
      </c>
      <c r="F157" s="612" t="s">
        <v>1996</v>
      </c>
      <c r="H157" s="613">
        <v>31.922999999999998</v>
      </c>
      <c r="I157" s="614"/>
      <c r="L157" s="610"/>
      <c r="M157" s="615"/>
      <c r="T157" s="616"/>
      <c r="AT157" s="611" t="s">
        <v>112</v>
      </c>
      <c r="AU157" s="611" t="s">
        <v>65</v>
      </c>
      <c r="AV157" s="609" t="s">
        <v>65</v>
      </c>
      <c r="AW157" s="609" t="s">
        <v>30</v>
      </c>
      <c r="AX157" s="609" t="s">
        <v>55</v>
      </c>
      <c r="AY157" s="611" t="s">
        <v>101</v>
      </c>
    </row>
    <row r="158" spans="2:65" s="617" customFormat="1" x14ac:dyDescent="0.2">
      <c r="B158" s="618"/>
      <c r="D158" s="603" t="s">
        <v>112</v>
      </c>
      <c r="E158" s="619" t="s">
        <v>1</v>
      </c>
      <c r="F158" s="620" t="s">
        <v>127</v>
      </c>
      <c r="H158" s="621">
        <v>322.17899999999997</v>
      </c>
      <c r="I158" s="622"/>
      <c r="L158" s="618"/>
      <c r="M158" s="623"/>
      <c r="T158" s="624"/>
      <c r="AT158" s="619" t="s">
        <v>112</v>
      </c>
      <c r="AU158" s="619" t="s">
        <v>65</v>
      </c>
      <c r="AV158" s="617" t="s">
        <v>108</v>
      </c>
      <c r="AW158" s="617" t="s">
        <v>30</v>
      </c>
      <c r="AX158" s="617" t="s">
        <v>63</v>
      </c>
      <c r="AY158" s="619" t="s">
        <v>101</v>
      </c>
    </row>
    <row r="159" spans="2:65" s="516" customFormat="1" ht="44.25" customHeight="1" x14ac:dyDescent="0.2">
      <c r="B159" s="582"/>
      <c r="C159" s="583" t="s">
        <v>193</v>
      </c>
      <c r="D159" s="583" t="s">
        <v>103</v>
      </c>
      <c r="E159" s="584" t="s">
        <v>224</v>
      </c>
      <c r="F159" s="585" t="s">
        <v>225</v>
      </c>
      <c r="G159" s="586" t="s">
        <v>130</v>
      </c>
      <c r="H159" s="587">
        <v>36.152000000000001</v>
      </c>
      <c r="I159" s="588"/>
      <c r="J159" s="589">
        <f>ROUND(I159*H159,2)</f>
        <v>0</v>
      </c>
      <c r="K159" s="585" t="s">
        <v>107</v>
      </c>
      <c r="L159" s="517"/>
      <c r="M159" s="590" t="s">
        <v>1</v>
      </c>
      <c r="N159" s="591" t="s">
        <v>39</v>
      </c>
      <c r="P159" s="592">
        <f>O159*H159</f>
        <v>0</v>
      </c>
      <c r="Q159" s="592">
        <v>0</v>
      </c>
      <c r="R159" s="592">
        <f>Q159*H159</f>
        <v>0</v>
      </c>
      <c r="S159" s="592">
        <v>0</v>
      </c>
      <c r="T159" s="593">
        <f>S159*H159</f>
        <v>0</v>
      </c>
      <c r="AR159" s="594" t="s">
        <v>108</v>
      </c>
      <c r="AT159" s="594" t="s">
        <v>103</v>
      </c>
      <c r="AU159" s="594" t="s">
        <v>65</v>
      </c>
      <c r="AY159" s="509" t="s">
        <v>101</v>
      </c>
      <c r="BE159" s="595">
        <f>IF(N159="základní",J159,0)</f>
        <v>0</v>
      </c>
      <c r="BF159" s="595">
        <f>IF(N159="snížená",J159,0)</f>
        <v>0</v>
      </c>
      <c r="BG159" s="595">
        <f>IF(N159="zákl. přenesená",J159,0)</f>
        <v>0</v>
      </c>
      <c r="BH159" s="595">
        <f>IF(N159="sníž. přenesená",J159,0)</f>
        <v>0</v>
      </c>
      <c r="BI159" s="595">
        <f>IF(N159="nulová",J159,0)</f>
        <v>0</v>
      </c>
      <c r="BJ159" s="509" t="s">
        <v>63</v>
      </c>
      <c r="BK159" s="595">
        <f>ROUND(I159*H159,2)</f>
        <v>0</v>
      </c>
      <c r="BL159" s="509" t="s">
        <v>108</v>
      </c>
      <c r="BM159" s="594" t="s">
        <v>2005</v>
      </c>
    </row>
    <row r="160" spans="2:65" s="516" customFormat="1" x14ac:dyDescent="0.2">
      <c r="B160" s="517"/>
      <c r="D160" s="596" t="s">
        <v>110</v>
      </c>
      <c r="F160" s="597" t="s">
        <v>227</v>
      </c>
      <c r="I160" s="598"/>
      <c r="L160" s="517"/>
      <c r="M160" s="599"/>
      <c r="T160" s="600"/>
      <c r="AT160" s="509" t="s">
        <v>110</v>
      </c>
      <c r="AU160" s="509" t="s">
        <v>65</v>
      </c>
    </row>
    <row r="161" spans="2:65" s="516" customFormat="1" ht="44.25" customHeight="1" x14ac:dyDescent="0.2">
      <c r="B161" s="582"/>
      <c r="C161" s="583" t="s">
        <v>198</v>
      </c>
      <c r="D161" s="583" t="s">
        <v>103</v>
      </c>
      <c r="E161" s="584" t="s">
        <v>229</v>
      </c>
      <c r="F161" s="585" t="s">
        <v>230</v>
      </c>
      <c r="G161" s="586" t="s">
        <v>231</v>
      </c>
      <c r="H161" s="587">
        <v>212.66</v>
      </c>
      <c r="I161" s="588"/>
      <c r="J161" s="589">
        <f>ROUND(I161*H161,2)</f>
        <v>0</v>
      </c>
      <c r="K161" s="585" t="s">
        <v>107</v>
      </c>
      <c r="L161" s="517"/>
      <c r="M161" s="590" t="s">
        <v>1</v>
      </c>
      <c r="N161" s="591" t="s">
        <v>39</v>
      </c>
      <c r="P161" s="592">
        <f>O161*H161</f>
        <v>0</v>
      </c>
      <c r="Q161" s="592">
        <v>0</v>
      </c>
      <c r="R161" s="592">
        <f>Q161*H161</f>
        <v>0</v>
      </c>
      <c r="S161" s="592">
        <v>0</v>
      </c>
      <c r="T161" s="593">
        <f>S161*H161</f>
        <v>0</v>
      </c>
      <c r="AR161" s="594" t="s">
        <v>108</v>
      </c>
      <c r="AT161" s="594" t="s">
        <v>103</v>
      </c>
      <c r="AU161" s="594" t="s">
        <v>65</v>
      </c>
      <c r="AY161" s="509" t="s">
        <v>101</v>
      </c>
      <c r="BE161" s="595">
        <f>IF(N161="základní",J161,0)</f>
        <v>0</v>
      </c>
      <c r="BF161" s="595">
        <f>IF(N161="snížená",J161,0)</f>
        <v>0</v>
      </c>
      <c r="BG161" s="595">
        <f>IF(N161="zákl. přenesená",J161,0)</f>
        <v>0</v>
      </c>
      <c r="BH161" s="595">
        <f>IF(N161="sníž. přenesená",J161,0)</f>
        <v>0</v>
      </c>
      <c r="BI161" s="595">
        <f>IF(N161="nulová",J161,0)</f>
        <v>0</v>
      </c>
      <c r="BJ161" s="509" t="s">
        <v>63</v>
      </c>
      <c r="BK161" s="595">
        <f>ROUND(I161*H161,2)</f>
        <v>0</v>
      </c>
      <c r="BL161" s="509" t="s">
        <v>108</v>
      </c>
      <c r="BM161" s="594" t="s">
        <v>2006</v>
      </c>
    </row>
    <row r="162" spans="2:65" s="516" customFormat="1" x14ac:dyDescent="0.2">
      <c r="B162" s="517"/>
      <c r="D162" s="596" t="s">
        <v>110</v>
      </c>
      <c r="F162" s="597" t="s">
        <v>233</v>
      </c>
      <c r="I162" s="598"/>
      <c r="L162" s="517"/>
      <c r="M162" s="599"/>
      <c r="T162" s="600"/>
      <c r="AT162" s="509" t="s">
        <v>110</v>
      </c>
      <c r="AU162" s="509" t="s">
        <v>65</v>
      </c>
    </row>
    <row r="163" spans="2:65" s="609" customFormat="1" x14ac:dyDescent="0.2">
      <c r="B163" s="610"/>
      <c r="D163" s="603" t="s">
        <v>112</v>
      </c>
      <c r="F163" s="612" t="s">
        <v>2007</v>
      </c>
      <c r="H163" s="613">
        <v>212.66</v>
      </c>
      <c r="I163" s="614"/>
      <c r="L163" s="610"/>
      <c r="M163" s="615"/>
      <c r="T163" s="616"/>
      <c r="AT163" s="611" t="s">
        <v>112</v>
      </c>
      <c r="AU163" s="611" t="s">
        <v>65</v>
      </c>
      <c r="AV163" s="609" t="s">
        <v>65</v>
      </c>
      <c r="AW163" s="609" t="s">
        <v>2</v>
      </c>
      <c r="AX163" s="609" t="s">
        <v>63</v>
      </c>
      <c r="AY163" s="611" t="s">
        <v>101</v>
      </c>
    </row>
    <row r="164" spans="2:65" s="516" customFormat="1" ht="37.9" customHeight="1" x14ac:dyDescent="0.2">
      <c r="B164" s="582"/>
      <c r="C164" s="583" t="s">
        <v>203</v>
      </c>
      <c r="D164" s="583" t="s">
        <v>103</v>
      </c>
      <c r="E164" s="584" t="s">
        <v>235</v>
      </c>
      <c r="F164" s="585" t="s">
        <v>236</v>
      </c>
      <c r="G164" s="586" t="s">
        <v>130</v>
      </c>
      <c r="H164" s="587">
        <v>212.66</v>
      </c>
      <c r="I164" s="588"/>
      <c r="J164" s="589">
        <f>ROUND(I164*H164,2)</f>
        <v>0</v>
      </c>
      <c r="K164" s="585" t="s">
        <v>107</v>
      </c>
      <c r="L164" s="517"/>
      <c r="M164" s="590" t="s">
        <v>1</v>
      </c>
      <c r="N164" s="591" t="s">
        <v>39</v>
      </c>
      <c r="P164" s="592">
        <f>O164*H164</f>
        <v>0</v>
      </c>
      <c r="Q164" s="592">
        <v>0</v>
      </c>
      <c r="R164" s="592">
        <f>Q164*H164</f>
        <v>0</v>
      </c>
      <c r="S164" s="592">
        <v>0</v>
      </c>
      <c r="T164" s="593">
        <f>S164*H164</f>
        <v>0</v>
      </c>
      <c r="AR164" s="594" t="s">
        <v>108</v>
      </c>
      <c r="AT164" s="594" t="s">
        <v>103</v>
      </c>
      <c r="AU164" s="594" t="s">
        <v>65</v>
      </c>
      <c r="AY164" s="509" t="s">
        <v>101</v>
      </c>
      <c r="BE164" s="595">
        <f>IF(N164="základní",J164,0)</f>
        <v>0</v>
      </c>
      <c r="BF164" s="595">
        <f>IF(N164="snížená",J164,0)</f>
        <v>0</v>
      </c>
      <c r="BG164" s="595">
        <f>IF(N164="zákl. přenesená",J164,0)</f>
        <v>0</v>
      </c>
      <c r="BH164" s="595">
        <f>IF(N164="sníž. přenesená",J164,0)</f>
        <v>0</v>
      </c>
      <c r="BI164" s="595">
        <f>IF(N164="nulová",J164,0)</f>
        <v>0</v>
      </c>
      <c r="BJ164" s="509" t="s">
        <v>63</v>
      </c>
      <c r="BK164" s="595">
        <f>ROUND(I164*H164,2)</f>
        <v>0</v>
      </c>
      <c r="BL164" s="509" t="s">
        <v>108</v>
      </c>
      <c r="BM164" s="594" t="s">
        <v>2008</v>
      </c>
    </row>
    <row r="165" spans="2:65" s="516" customFormat="1" x14ac:dyDescent="0.2">
      <c r="B165" s="517"/>
      <c r="D165" s="596" t="s">
        <v>110</v>
      </c>
      <c r="F165" s="597" t="s">
        <v>238</v>
      </c>
      <c r="I165" s="598"/>
      <c r="L165" s="517"/>
      <c r="M165" s="599"/>
      <c r="T165" s="600"/>
      <c r="AT165" s="509" t="s">
        <v>110</v>
      </c>
      <c r="AU165" s="509" t="s">
        <v>65</v>
      </c>
    </row>
    <row r="166" spans="2:65" s="516" customFormat="1" ht="66.75" customHeight="1" x14ac:dyDescent="0.2">
      <c r="B166" s="582"/>
      <c r="C166" s="583" t="s">
        <v>208</v>
      </c>
      <c r="D166" s="583" t="s">
        <v>103</v>
      </c>
      <c r="E166" s="584" t="s">
        <v>257</v>
      </c>
      <c r="F166" s="585" t="s">
        <v>258</v>
      </c>
      <c r="G166" s="586" t="s">
        <v>130</v>
      </c>
      <c r="H166" s="587">
        <v>113.741</v>
      </c>
      <c r="I166" s="588"/>
      <c r="J166" s="589">
        <f>ROUND(I166*H166,2)</f>
        <v>0</v>
      </c>
      <c r="K166" s="585" t="s">
        <v>107</v>
      </c>
      <c r="L166" s="517"/>
      <c r="M166" s="590" t="s">
        <v>1</v>
      </c>
      <c r="N166" s="591" t="s">
        <v>39</v>
      </c>
      <c r="P166" s="592">
        <f>O166*H166</f>
        <v>0</v>
      </c>
      <c r="Q166" s="592">
        <v>0</v>
      </c>
      <c r="R166" s="592">
        <f>Q166*H166</f>
        <v>0</v>
      </c>
      <c r="S166" s="592">
        <v>0</v>
      </c>
      <c r="T166" s="593">
        <f>S166*H166</f>
        <v>0</v>
      </c>
      <c r="AR166" s="594" t="s">
        <v>108</v>
      </c>
      <c r="AT166" s="594" t="s">
        <v>103</v>
      </c>
      <c r="AU166" s="594" t="s">
        <v>65</v>
      </c>
      <c r="AY166" s="509" t="s">
        <v>101</v>
      </c>
      <c r="BE166" s="595">
        <f>IF(N166="základní",J166,0)</f>
        <v>0</v>
      </c>
      <c r="BF166" s="595">
        <f>IF(N166="snížená",J166,0)</f>
        <v>0</v>
      </c>
      <c r="BG166" s="595">
        <f>IF(N166="zákl. přenesená",J166,0)</f>
        <v>0</v>
      </c>
      <c r="BH166" s="595">
        <f>IF(N166="sníž. přenesená",J166,0)</f>
        <v>0</v>
      </c>
      <c r="BI166" s="595">
        <f>IF(N166="nulová",J166,0)</f>
        <v>0</v>
      </c>
      <c r="BJ166" s="509" t="s">
        <v>63</v>
      </c>
      <c r="BK166" s="595">
        <f>ROUND(I166*H166,2)</f>
        <v>0</v>
      </c>
      <c r="BL166" s="509" t="s">
        <v>108</v>
      </c>
      <c r="BM166" s="594" t="s">
        <v>2009</v>
      </c>
    </row>
    <row r="167" spans="2:65" s="516" customFormat="1" x14ac:dyDescent="0.2">
      <c r="B167" s="517"/>
      <c r="D167" s="596" t="s">
        <v>110</v>
      </c>
      <c r="F167" s="597" t="s">
        <v>260</v>
      </c>
      <c r="I167" s="598"/>
      <c r="L167" s="517"/>
      <c r="M167" s="599"/>
      <c r="T167" s="600"/>
      <c r="AT167" s="509" t="s">
        <v>110</v>
      </c>
      <c r="AU167" s="509" t="s">
        <v>65</v>
      </c>
    </row>
    <row r="168" spans="2:65" s="601" customFormat="1" ht="22.5" x14ac:dyDescent="0.2">
      <c r="B168" s="602"/>
      <c r="D168" s="603" t="s">
        <v>112</v>
      </c>
      <c r="E168" s="604" t="s">
        <v>1</v>
      </c>
      <c r="F168" s="605" t="s">
        <v>2010</v>
      </c>
      <c r="H168" s="604" t="s">
        <v>1</v>
      </c>
      <c r="I168" s="606"/>
      <c r="L168" s="602"/>
      <c r="M168" s="607"/>
      <c r="T168" s="608"/>
      <c r="AT168" s="604" t="s">
        <v>112</v>
      </c>
      <c r="AU168" s="604" t="s">
        <v>65</v>
      </c>
      <c r="AV168" s="601" t="s">
        <v>63</v>
      </c>
      <c r="AW168" s="601" t="s">
        <v>30</v>
      </c>
      <c r="AX168" s="601" t="s">
        <v>55</v>
      </c>
      <c r="AY168" s="604" t="s">
        <v>101</v>
      </c>
    </row>
    <row r="169" spans="2:65" s="609" customFormat="1" x14ac:dyDescent="0.2">
      <c r="B169" s="610"/>
      <c r="D169" s="603" t="s">
        <v>112</v>
      </c>
      <c r="E169" s="611" t="s">
        <v>1</v>
      </c>
      <c r="F169" s="612" t="s">
        <v>2011</v>
      </c>
      <c r="H169" s="613">
        <v>113.741</v>
      </c>
      <c r="I169" s="614"/>
      <c r="L169" s="610"/>
      <c r="M169" s="615"/>
      <c r="T169" s="616"/>
      <c r="AT169" s="611" t="s">
        <v>112</v>
      </c>
      <c r="AU169" s="611" t="s">
        <v>65</v>
      </c>
      <c r="AV169" s="609" t="s">
        <v>65</v>
      </c>
      <c r="AW169" s="609" t="s">
        <v>30</v>
      </c>
      <c r="AX169" s="609" t="s">
        <v>63</v>
      </c>
      <c r="AY169" s="611" t="s">
        <v>101</v>
      </c>
    </row>
    <row r="170" spans="2:65" s="516" customFormat="1" ht="16.5" customHeight="1" x14ac:dyDescent="0.2">
      <c r="B170" s="582"/>
      <c r="C170" s="625" t="s">
        <v>7</v>
      </c>
      <c r="D170" s="625" t="s">
        <v>252</v>
      </c>
      <c r="E170" s="626" t="s">
        <v>2012</v>
      </c>
      <c r="F170" s="627" t="s">
        <v>2013</v>
      </c>
      <c r="G170" s="628" t="s">
        <v>231</v>
      </c>
      <c r="H170" s="629">
        <v>204.73400000000001</v>
      </c>
      <c r="I170" s="630"/>
      <c r="J170" s="631">
        <f>ROUND(I170*H170,2)</f>
        <v>0</v>
      </c>
      <c r="K170" s="627" t="s">
        <v>107</v>
      </c>
      <c r="L170" s="632"/>
      <c r="M170" s="633" t="s">
        <v>1</v>
      </c>
      <c r="N170" s="634" t="s">
        <v>39</v>
      </c>
      <c r="P170" s="592">
        <f>O170*H170</f>
        <v>0</v>
      </c>
      <c r="Q170" s="592">
        <v>0</v>
      </c>
      <c r="R170" s="592">
        <f>Q170*H170</f>
        <v>0</v>
      </c>
      <c r="S170" s="592">
        <v>0</v>
      </c>
      <c r="T170" s="593">
        <f>S170*H170</f>
        <v>0</v>
      </c>
      <c r="AR170" s="594" t="s">
        <v>171</v>
      </c>
      <c r="AT170" s="594" t="s">
        <v>252</v>
      </c>
      <c r="AU170" s="594" t="s">
        <v>65</v>
      </c>
      <c r="AY170" s="509" t="s">
        <v>101</v>
      </c>
      <c r="BE170" s="595">
        <f>IF(N170="základní",J170,0)</f>
        <v>0</v>
      </c>
      <c r="BF170" s="595">
        <f>IF(N170="snížená",J170,0)</f>
        <v>0</v>
      </c>
      <c r="BG170" s="595">
        <f>IF(N170="zákl. přenesená",J170,0)</f>
        <v>0</v>
      </c>
      <c r="BH170" s="595">
        <f>IF(N170="sníž. přenesená",J170,0)</f>
        <v>0</v>
      </c>
      <c r="BI170" s="595">
        <f>IF(N170="nulová",J170,0)</f>
        <v>0</v>
      </c>
      <c r="BJ170" s="509" t="s">
        <v>63</v>
      </c>
      <c r="BK170" s="595">
        <f>ROUND(I170*H170,2)</f>
        <v>0</v>
      </c>
      <c r="BL170" s="509" t="s">
        <v>108</v>
      </c>
      <c r="BM170" s="594" t="s">
        <v>2014</v>
      </c>
    </row>
    <row r="171" spans="2:65" s="609" customFormat="1" x14ac:dyDescent="0.2">
      <c r="B171" s="610"/>
      <c r="D171" s="603" t="s">
        <v>112</v>
      </c>
      <c r="F171" s="612" t="s">
        <v>2015</v>
      </c>
      <c r="H171" s="613">
        <v>204.73400000000001</v>
      </c>
      <c r="I171" s="614"/>
      <c r="L171" s="610"/>
      <c r="M171" s="615"/>
      <c r="T171" s="616"/>
      <c r="AT171" s="611" t="s">
        <v>112</v>
      </c>
      <c r="AU171" s="611" t="s">
        <v>65</v>
      </c>
      <c r="AV171" s="609" t="s">
        <v>65</v>
      </c>
      <c r="AW171" s="609" t="s">
        <v>2</v>
      </c>
      <c r="AX171" s="609" t="s">
        <v>63</v>
      </c>
      <c r="AY171" s="611" t="s">
        <v>101</v>
      </c>
    </row>
    <row r="172" spans="2:65" s="569" customFormat="1" ht="22.9" customHeight="1" x14ac:dyDescent="0.2">
      <c r="B172" s="570"/>
      <c r="D172" s="571" t="s">
        <v>54</v>
      </c>
      <c r="E172" s="580" t="s">
        <v>108</v>
      </c>
      <c r="F172" s="580" t="s">
        <v>274</v>
      </c>
      <c r="I172" s="573"/>
      <c r="J172" s="581">
        <f>BK172</f>
        <v>0</v>
      </c>
      <c r="L172" s="570"/>
      <c r="M172" s="575"/>
      <c r="P172" s="576">
        <f>SUM(P173:P201)</f>
        <v>0</v>
      </c>
      <c r="R172" s="576">
        <f>SUM(R173:R201)</f>
        <v>0.61302818999999997</v>
      </c>
      <c r="T172" s="577">
        <f>SUM(T173:T201)</f>
        <v>0</v>
      </c>
      <c r="AR172" s="571" t="s">
        <v>63</v>
      </c>
      <c r="AT172" s="578" t="s">
        <v>54</v>
      </c>
      <c r="AU172" s="578" t="s">
        <v>63</v>
      </c>
      <c r="AY172" s="571" t="s">
        <v>101</v>
      </c>
      <c r="BK172" s="579">
        <f>SUM(BK173:BK201)</f>
        <v>0</v>
      </c>
    </row>
    <row r="173" spans="2:65" s="516" customFormat="1" ht="33" customHeight="1" x14ac:dyDescent="0.2">
      <c r="B173" s="582"/>
      <c r="C173" s="583" t="s">
        <v>218</v>
      </c>
      <c r="D173" s="583" t="s">
        <v>103</v>
      </c>
      <c r="E173" s="584" t="s">
        <v>276</v>
      </c>
      <c r="F173" s="585" t="s">
        <v>277</v>
      </c>
      <c r="G173" s="586" t="s">
        <v>130</v>
      </c>
      <c r="H173" s="587">
        <v>30.390999999999998</v>
      </c>
      <c r="I173" s="588"/>
      <c r="J173" s="589">
        <f>ROUND(I173*H173,2)</f>
        <v>0</v>
      </c>
      <c r="K173" s="585" t="s">
        <v>107</v>
      </c>
      <c r="L173" s="517"/>
      <c r="M173" s="590" t="s">
        <v>1</v>
      </c>
      <c r="N173" s="591" t="s">
        <v>39</v>
      </c>
      <c r="P173" s="592">
        <f>O173*H173</f>
        <v>0</v>
      </c>
      <c r="Q173" s="592">
        <v>0</v>
      </c>
      <c r="R173" s="592">
        <f>Q173*H173</f>
        <v>0</v>
      </c>
      <c r="S173" s="592">
        <v>0</v>
      </c>
      <c r="T173" s="593">
        <f>S173*H173</f>
        <v>0</v>
      </c>
      <c r="AR173" s="594" t="s">
        <v>108</v>
      </c>
      <c r="AT173" s="594" t="s">
        <v>103</v>
      </c>
      <c r="AU173" s="594" t="s">
        <v>65</v>
      </c>
      <c r="AY173" s="509" t="s">
        <v>101</v>
      </c>
      <c r="BE173" s="595">
        <f>IF(N173="základní",J173,0)</f>
        <v>0</v>
      </c>
      <c r="BF173" s="595">
        <f>IF(N173="snížená",J173,0)</f>
        <v>0</v>
      </c>
      <c r="BG173" s="595">
        <f>IF(N173="zákl. přenesená",J173,0)</f>
        <v>0</v>
      </c>
      <c r="BH173" s="595">
        <f>IF(N173="sníž. přenesená",J173,0)</f>
        <v>0</v>
      </c>
      <c r="BI173" s="595">
        <f>IF(N173="nulová",J173,0)</f>
        <v>0</v>
      </c>
      <c r="BJ173" s="509" t="s">
        <v>63</v>
      </c>
      <c r="BK173" s="595">
        <f>ROUND(I173*H173,2)</f>
        <v>0</v>
      </c>
      <c r="BL173" s="509" t="s">
        <v>108</v>
      </c>
      <c r="BM173" s="594" t="s">
        <v>2016</v>
      </c>
    </row>
    <row r="174" spans="2:65" s="516" customFormat="1" x14ac:dyDescent="0.2">
      <c r="B174" s="517"/>
      <c r="D174" s="596" t="s">
        <v>110</v>
      </c>
      <c r="F174" s="597" t="s">
        <v>279</v>
      </c>
      <c r="I174" s="598"/>
      <c r="L174" s="517"/>
      <c r="M174" s="599"/>
      <c r="T174" s="600"/>
      <c r="AT174" s="509" t="s">
        <v>110</v>
      </c>
      <c r="AU174" s="509" t="s">
        <v>65</v>
      </c>
    </row>
    <row r="175" spans="2:65" s="601" customFormat="1" x14ac:dyDescent="0.2">
      <c r="B175" s="602"/>
      <c r="D175" s="603" t="s">
        <v>112</v>
      </c>
      <c r="E175" s="604" t="s">
        <v>1</v>
      </c>
      <c r="F175" s="605" t="s">
        <v>2017</v>
      </c>
      <c r="H175" s="604" t="s">
        <v>1</v>
      </c>
      <c r="I175" s="606"/>
      <c r="L175" s="602"/>
      <c r="M175" s="607"/>
      <c r="T175" s="608"/>
      <c r="AT175" s="604" t="s">
        <v>112</v>
      </c>
      <c r="AU175" s="604" t="s">
        <v>65</v>
      </c>
      <c r="AV175" s="601" t="s">
        <v>63</v>
      </c>
      <c r="AW175" s="601" t="s">
        <v>30</v>
      </c>
      <c r="AX175" s="601" t="s">
        <v>55</v>
      </c>
      <c r="AY175" s="604" t="s">
        <v>101</v>
      </c>
    </row>
    <row r="176" spans="2:65" s="609" customFormat="1" x14ac:dyDescent="0.2">
      <c r="B176" s="610"/>
      <c r="D176" s="603" t="s">
        <v>112</v>
      </c>
      <c r="E176" s="611" t="s">
        <v>1</v>
      </c>
      <c r="F176" s="612" t="s">
        <v>2018</v>
      </c>
      <c r="H176" s="613">
        <v>30.390999999999998</v>
      </c>
      <c r="I176" s="614"/>
      <c r="L176" s="610"/>
      <c r="M176" s="615"/>
      <c r="T176" s="616"/>
      <c r="AT176" s="611" t="s">
        <v>112</v>
      </c>
      <c r="AU176" s="611" t="s">
        <v>65</v>
      </c>
      <c r="AV176" s="609" t="s">
        <v>65</v>
      </c>
      <c r="AW176" s="609" t="s">
        <v>30</v>
      </c>
      <c r="AX176" s="609" t="s">
        <v>63</v>
      </c>
      <c r="AY176" s="611" t="s">
        <v>101</v>
      </c>
    </row>
    <row r="177" spans="2:65" s="516" customFormat="1" ht="44.25" customHeight="1" x14ac:dyDescent="0.2">
      <c r="B177" s="582"/>
      <c r="C177" s="583" t="s">
        <v>223</v>
      </c>
      <c r="D177" s="583" t="s">
        <v>103</v>
      </c>
      <c r="E177" s="584" t="s">
        <v>759</v>
      </c>
      <c r="F177" s="585" t="s">
        <v>760</v>
      </c>
      <c r="G177" s="586" t="s">
        <v>130</v>
      </c>
      <c r="H177" s="587">
        <v>1.61</v>
      </c>
      <c r="I177" s="588"/>
      <c r="J177" s="589">
        <f>ROUND(I177*H177,2)</f>
        <v>0</v>
      </c>
      <c r="K177" s="585" t="s">
        <v>107</v>
      </c>
      <c r="L177" s="517"/>
      <c r="M177" s="590" t="s">
        <v>1</v>
      </c>
      <c r="N177" s="591" t="s">
        <v>39</v>
      </c>
      <c r="P177" s="592">
        <f>O177*H177</f>
        <v>0</v>
      </c>
      <c r="Q177" s="592">
        <v>0</v>
      </c>
      <c r="R177" s="592">
        <f>Q177*H177</f>
        <v>0</v>
      </c>
      <c r="S177" s="592">
        <v>0</v>
      </c>
      <c r="T177" s="593">
        <f>S177*H177</f>
        <v>0</v>
      </c>
      <c r="AR177" s="594" t="s">
        <v>108</v>
      </c>
      <c r="AT177" s="594" t="s">
        <v>103</v>
      </c>
      <c r="AU177" s="594" t="s">
        <v>65</v>
      </c>
      <c r="AY177" s="509" t="s">
        <v>101</v>
      </c>
      <c r="BE177" s="595">
        <f>IF(N177="základní",J177,0)</f>
        <v>0</v>
      </c>
      <c r="BF177" s="595">
        <f>IF(N177="snížená",J177,0)</f>
        <v>0</v>
      </c>
      <c r="BG177" s="595">
        <f>IF(N177="zákl. přenesená",J177,0)</f>
        <v>0</v>
      </c>
      <c r="BH177" s="595">
        <f>IF(N177="sníž. přenesená",J177,0)</f>
        <v>0</v>
      </c>
      <c r="BI177" s="595">
        <f>IF(N177="nulová",J177,0)</f>
        <v>0</v>
      </c>
      <c r="BJ177" s="509" t="s">
        <v>63</v>
      </c>
      <c r="BK177" s="595">
        <f>ROUND(I177*H177,2)</f>
        <v>0</v>
      </c>
      <c r="BL177" s="509" t="s">
        <v>108</v>
      </c>
      <c r="BM177" s="594" t="s">
        <v>2019</v>
      </c>
    </row>
    <row r="178" spans="2:65" s="516" customFormat="1" x14ac:dyDescent="0.2">
      <c r="B178" s="517"/>
      <c r="D178" s="596" t="s">
        <v>110</v>
      </c>
      <c r="F178" s="597" t="s">
        <v>762</v>
      </c>
      <c r="I178" s="598"/>
      <c r="L178" s="517"/>
      <c r="M178" s="599"/>
      <c r="T178" s="600"/>
      <c r="AT178" s="509" t="s">
        <v>110</v>
      </c>
      <c r="AU178" s="509" t="s">
        <v>65</v>
      </c>
    </row>
    <row r="179" spans="2:65" s="601" customFormat="1" x14ac:dyDescent="0.2">
      <c r="B179" s="602"/>
      <c r="D179" s="603" t="s">
        <v>112</v>
      </c>
      <c r="E179" s="604" t="s">
        <v>1</v>
      </c>
      <c r="F179" s="605" t="s">
        <v>763</v>
      </c>
      <c r="H179" s="604" t="s">
        <v>1</v>
      </c>
      <c r="I179" s="606"/>
      <c r="L179" s="602"/>
      <c r="M179" s="607"/>
      <c r="T179" s="608"/>
      <c r="AT179" s="604" t="s">
        <v>112</v>
      </c>
      <c r="AU179" s="604" t="s">
        <v>65</v>
      </c>
      <c r="AV179" s="601" t="s">
        <v>63</v>
      </c>
      <c r="AW179" s="601" t="s">
        <v>30</v>
      </c>
      <c r="AX179" s="601" t="s">
        <v>55</v>
      </c>
      <c r="AY179" s="604" t="s">
        <v>101</v>
      </c>
    </row>
    <row r="180" spans="2:65" s="609" customFormat="1" x14ac:dyDescent="0.2">
      <c r="B180" s="610"/>
      <c r="D180" s="603" t="s">
        <v>112</v>
      </c>
      <c r="E180" s="611" t="s">
        <v>1</v>
      </c>
      <c r="F180" s="612" t="s">
        <v>2020</v>
      </c>
      <c r="H180" s="613">
        <v>1.61</v>
      </c>
      <c r="I180" s="614"/>
      <c r="L180" s="610"/>
      <c r="M180" s="615"/>
      <c r="T180" s="616"/>
      <c r="AT180" s="611" t="s">
        <v>112</v>
      </c>
      <c r="AU180" s="611" t="s">
        <v>65</v>
      </c>
      <c r="AV180" s="609" t="s">
        <v>65</v>
      </c>
      <c r="AW180" s="609" t="s">
        <v>30</v>
      </c>
      <c r="AX180" s="609" t="s">
        <v>63</v>
      </c>
      <c r="AY180" s="611" t="s">
        <v>101</v>
      </c>
    </row>
    <row r="181" spans="2:65" s="516" customFormat="1" ht="49.15" customHeight="1" x14ac:dyDescent="0.2">
      <c r="B181" s="582"/>
      <c r="C181" s="583" t="s">
        <v>228</v>
      </c>
      <c r="D181" s="583" t="s">
        <v>103</v>
      </c>
      <c r="E181" s="584" t="s">
        <v>768</v>
      </c>
      <c r="F181" s="585" t="s">
        <v>769</v>
      </c>
      <c r="G181" s="586" t="s">
        <v>130</v>
      </c>
      <c r="H181" s="587">
        <v>3.2919999999999998</v>
      </c>
      <c r="I181" s="588"/>
      <c r="J181" s="589">
        <f>ROUND(I181*H181,2)</f>
        <v>0</v>
      </c>
      <c r="K181" s="585" t="s">
        <v>107</v>
      </c>
      <c r="L181" s="517"/>
      <c r="M181" s="590" t="s">
        <v>1</v>
      </c>
      <c r="N181" s="591" t="s">
        <v>39</v>
      </c>
      <c r="P181" s="592">
        <f>O181*H181</f>
        <v>0</v>
      </c>
      <c r="Q181" s="592">
        <v>0</v>
      </c>
      <c r="R181" s="592">
        <f>Q181*H181</f>
        <v>0</v>
      </c>
      <c r="S181" s="592">
        <v>0</v>
      </c>
      <c r="T181" s="593">
        <f>S181*H181</f>
        <v>0</v>
      </c>
      <c r="AR181" s="594" t="s">
        <v>108</v>
      </c>
      <c r="AT181" s="594" t="s">
        <v>103</v>
      </c>
      <c r="AU181" s="594" t="s">
        <v>65</v>
      </c>
      <c r="AY181" s="509" t="s">
        <v>101</v>
      </c>
      <c r="BE181" s="595">
        <f>IF(N181="základní",J181,0)</f>
        <v>0</v>
      </c>
      <c r="BF181" s="595">
        <f>IF(N181="snížená",J181,0)</f>
        <v>0</v>
      </c>
      <c r="BG181" s="595">
        <f>IF(N181="zákl. přenesená",J181,0)</f>
        <v>0</v>
      </c>
      <c r="BH181" s="595">
        <f>IF(N181="sníž. přenesená",J181,0)</f>
        <v>0</v>
      </c>
      <c r="BI181" s="595">
        <f>IF(N181="nulová",J181,0)</f>
        <v>0</v>
      </c>
      <c r="BJ181" s="509" t="s">
        <v>63</v>
      </c>
      <c r="BK181" s="595">
        <f>ROUND(I181*H181,2)</f>
        <v>0</v>
      </c>
      <c r="BL181" s="509" t="s">
        <v>108</v>
      </c>
      <c r="BM181" s="594" t="s">
        <v>2021</v>
      </c>
    </row>
    <row r="182" spans="2:65" s="516" customFormat="1" x14ac:dyDescent="0.2">
      <c r="B182" s="517"/>
      <c r="D182" s="596" t="s">
        <v>110</v>
      </c>
      <c r="F182" s="597" t="s">
        <v>771</v>
      </c>
      <c r="I182" s="598"/>
      <c r="L182" s="517"/>
      <c r="M182" s="599"/>
      <c r="T182" s="600"/>
      <c r="AT182" s="509" t="s">
        <v>110</v>
      </c>
      <c r="AU182" s="509" t="s">
        <v>65</v>
      </c>
    </row>
    <row r="183" spans="2:65" s="601" customFormat="1" x14ac:dyDescent="0.2">
      <c r="B183" s="602"/>
      <c r="D183" s="603" t="s">
        <v>112</v>
      </c>
      <c r="E183" s="604" t="s">
        <v>1</v>
      </c>
      <c r="F183" s="605" t="s">
        <v>772</v>
      </c>
      <c r="H183" s="604" t="s">
        <v>1</v>
      </c>
      <c r="I183" s="606"/>
      <c r="L183" s="602"/>
      <c r="M183" s="607"/>
      <c r="T183" s="608"/>
      <c r="AT183" s="604" t="s">
        <v>112</v>
      </c>
      <c r="AU183" s="604" t="s">
        <v>65</v>
      </c>
      <c r="AV183" s="601" t="s">
        <v>63</v>
      </c>
      <c r="AW183" s="601" t="s">
        <v>30</v>
      </c>
      <c r="AX183" s="601" t="s">
        <v>55</v>
      </c>
      <c r="AY183" s="604" t="s">
        <v>101</v>
      </c>
    </row>
    <row r="184" spans="2:65" s="609" customFormat="1" x14ac:dyDescent="0.2">
      <c r="B184" s="610"/>
      <c r="D184" s="603" t="s">
        <v>112</v>
      </c>
      <c r="E184" s="611" t="s">
        <v>1</v>
      </c>
      <c r="F184" s="612" t="s">
        <v>2022</v>
      </c>
      <c r="H184" s="613">
        <v>1.931</v>
      </c>
      <c r="I184" s="614"/>
      <c r="L184" s="610"/>
      <c r="M184" s="615"/>
      <c r="T184" s="616"/>
      <c r="AT184" s="611" t="s">
        <v>112</v>
      </c>
      <c r="AU184" s="611" t="s">
        <v>65</v>
      </c>
      <c r="AV184" s="609" t="s">
        <v>65</v>
      </c>
      <c r="AW184" s="609" t="s">
        <v>30</v>
      </c>
      <c r="AX184" s="609" t="s">
        <v>55</v>
      </c>
      <c r="AY184" s="611" t="s">
        <v>101</v>
      </c>
    </row>
    <row r="185" spans="2:65" s="609" customFormat="1" x14ac:dyDescent="0.2">
      <c r="B185" s="610"/>
      <c r="D185" s="603" t="s">
        <v>112</v>
      </c>
      <c r="E185" s="611" t="s">
        <v>1</v>
      </c>
      <c r="F185" s="612" t="s">
        <v>2023</v>
      </c>
      <c r="H185" s="613">
        <v>1.361</v>
      </c>
      <c r="I185" s="614"/>
      <c r="L185" s="610"/>
      <c r="M185" s="615"/>
      <c r="T185" s="616"/>
      <c r="AT185" s="611" t="s">
        <v>112</v>
      </c>
      <c r="AU185" s="611" t="s">
        <v>65</v>
      </c>
      <c r="AV185" s="609" t="s">
        <v>65</v>
      </c>
      <c r="AW185" s="609" t="s">
        <v>30</v>
      </c>
      <c r="AX185" s="609" t="s">
        <v>55</v>
      </c>
      <c r="AY185" s="611" t="s">
        <v>101</v>
      </c>
    </row>
    <row r="186" spans="2:65" s="617" customFormat="1" x14ac:dyDescent="0.2">
      <c r="B186" s="618"/>
      <c r="D186" s="603" t="s">
        <v>112</v>
      </c>
      <c r="E186" s="619" t="s">
        <v>1</v>
      </c>
      <c r="F186" s="620" t="s">
        <v>127</v>
      </c>
      <c r="H186" s="621">
        <v>3.2919999999999998</v>
      </c>
      <c r="I186" s="622"/>
      <c r="L186" s="618"/>
      <c r="M186" s="623"/>
      <c r="T186" s="624"/>
      <c r="AT186" s="619" t="s">
        <v>112</v>
      </c>
      <c r="AU186" s="619" t="s">
        <v>65</v>
      </c>
      <c r="AV186" s="617" t="s">
        <v>108</v>
      </c>
      <c r="AW186" s="617" t="s">
        <v>30</v>
      </c>
      <c r="AX186" s="617" t="s">
        <v>63</v>
      </c>
      <c r="AY186" s="619" t="s">
        <v>101</v>
      </c>
    </row>
    <row r="187" spans="2:65" s="516" customFormat="1" ht="37.9" customHeight="1" x14ac:dyDescent="0.2">
      <c r="B187" s="582"/>
      <c r="C187" s="583" t="s">
        <v>234</v>
      </c>
      <c r="D187" s="583" t="s">
        <v>103</v>
      </c>
      <c r="E187" s="584" t="s">
        <v>775</v>
      </c>
      <c r="F187" s="585" t="s">
        <v>776</v>
      </c>
      <c r="G187" s="586" t="s">
        <v>174</v>
      </c>
      <c r="H187" s="587">
        <v>86.831999999999994</v>
      </c>
      <c r="I187" s="588"/>
      <c r="J187" s="589">
        <f>ROUND(I187*H187,2)</f>
        <v>0</v>
      </c>
      <c r="K187" s="585" t="s">
        <v>107</v>
      </c>
      <c r="L187" s="517"/>
      <c r="M187" s="590" t="s">
        <v>1</v>
      </c>
      <c r="N187" s="591" t="s">
        <v>39</v>
      </c>
      <c r="P187" s="592">
        <f>O187*H187</f>
        <v>0</v>
      </c>
      <c r="Q187" s="592">
        <v>6.3200000000000001E-3</v>
      </c>
      <c r="R187" s="592">
        <f>Q187*H187</f>
        <v>0.54877823999999997</v>
      </c>
      <c r="S187" s="592">
        <v>0</v>
      </c>
      <c r="T187" s="593">
        <f>S187*H187</f>
        <v>0</v>
      </c>
      <c r="AR187" s="594" t="s">
        <v>108</v>
      </c>
      <c r="AT187" s="594" t="s">
        <v>103</v>
      </c>
      <c r="AU187" s="594" t="s">
        <v>65</v>
      </c>
      <c r="AY187" s="509" t="s">
        <v>101</v>
      </c>
      <c r="BE187" s="595">
        <f>IF(N187="základní",J187,0)</f>
        <v>0</v>
      </c>
      <c r="BF187" s="595">
        <f>IF(N187="snížená",J187,0)</f>
        <v>0</v>
      </c>
      <c r="BG187" s="595">
        <f>IF(N187="zákl. přenesená",J187,0)</f>
        <v>0</v>
      </c>
      <c r="BH187" s="595">
        <f>IF(N187="sníž. přenesená",J187,0)</f>
        <v>0</v>
      </c>
      <c r="BI187" s="595">
        <f>IF(N187="nulová",J187,0)</f>
        <v>0</v>
      </c>
      <c r="BJ187" s="509" t="s">
        <v>63</v>
      </c>
      <c r="BK187" s="595">
        <f>ROUND(I187*H187,2)</f>
        <v>0</v>
      </c>
      <c r="BL187" s="509" t="s">
        <v>108</v>
      </c>
      <c r="BM187" s="594" t="s">
        <v>2024</v>
      </c>
    </row>
    <row r="188" spans="2:65" s="516" customFormat="1" x14ac:dyDescent="0.2">
      <c r="B188" s="517"/>
      <c r="D188" s="596" t="s">
        <v>110</v>
      </c>
      <c r="F188" s="597" t="s">
        <v>778</v>
      </c>
      <c r="I188" s="598"/>
      <c r="L188" s="517"/>
      <c r="M188" s="599"/>
      <c r="T188" s="600"/>
      <c r="AT188" s="509" t="s">
        <v>110</v>
      </c>
      <c r="AU188" s="509" t="s">
        <v>65</v>
      </c>
    </row>
    <row r="189" spans="2:65" s="609" customFormat="1" x14ac:dyDescent="0.2">
      <c r="B189" s="610"/>
      <c r="D189" s="603" t="s">
        <v>112</v>
      </c>
      <c r="E189" s="611" t="s">
        <v>1</v>
      </c>
      <c r="F189" s="612" t="s">
        <v>2025</v>
      </c>
      <c r="H189" s="613">
        <v>86.831999999999994</v>
      </c>
      <c r="I189" s="614"/>
      <c r="L189" s="610"/>
      <c r="M189" s="615"/>
      <c r="T189" s="616"/>
      <c r="AT189" s="611" t="s">
        <v>112</v>
      </c>
      <c r="AU189" s="611" t="s">
        <v>65</v>
      </c>
      <c r="AV189" s="609" t="s">
        <v>65</v>
      </c>
      <c r="AW189" s="609" t="s">
        <v>30</v>
      </c>
      <c r="AX189" s="609" t="s">
        <v>63</v>
      </c>
      <c r="AY189" s="611" t="s">
        <v>101</v>
      </c>
    </row>
    <row r="190" spans="2:65" s="516" customFormat="1" ht="24.2" customHeight="1" x14ac:dyDescent="0.2">
      <c r="B190" s="582"/>
      <c r="C190" s="583" t="s">
        <v>239</v>
      </c>
      <c r="D190" s="583" t="s">
        <v>103</v>
      </c>
      <c r="E190" s="584" t="s">
        <v>298</v>
      </c>
      <c r="F190" s="585" t="s">
        <v>299</v>
      </c>
      <c r="G190" s="586" t="s">
        <v>174</v>
      </c>
      <c r="H190" s="587">
        <v>7.56</v>
      </c>
      <c r="I190" s="588"/>
      <c r="J190" s="589">
        <f>ROUND(I190*H190,2)</f>
        <v>0</v>
      </c>
      <c r="K190" s="585" t="s">
        <v>107</v>
      </c>
      <c r="L190" s="517"/>
      <c r="M190" s="590" t="s">
        <v>1</v>
      </c>
      <c r="N190" s="591" t="s">
        <v>39</v>
      </c>
      <c r="P190" s="592">
        <f>O190*H190</f>
        <v>0</v>
      </c>
      <c r="Q190" s="592">
        <v>6.3899999999999998E-3</v>
      </c>
      <c r="R190" s="592">
        <f>Q190*H190</f>
        <v>4.8308399999999994E-2</v>
      </c>
      <c r="S190" s="592">
        <v>0</v>
      </c>
      <c r="T190" s="593">
        <f>S190*H190</f>
        <v>0</v>
      </c>
      <c r="AR190" s="594" t="s">
        <v>108</v>
      </c>
      <c r="AT190" s="594" t="s">
        <v>103</v>
      </c>
      <c r="AU190" s="594" t="s">
        <v>65</v>
      </c>
      <c r="AY190" s="509" t="s">
        <v>101</v>
      </c>
      <c r="BE190" s="595">
        <f>IF(N190="základní",J190,0)</f>
        <v>0</v>
      </c>
      <c r="BF190" s="595">
        <f>IF(N190="snížená",J190,0)</f>
        <v>0</v>
      </c>
      <c r="BG190" s="595">
        <f>IF(N190="zákl. přenesená",J190,0)</f>
        <v>0</v>
      </c>
      <c r="BH190" s="595">
        <f>IF(N190="sníž. přenesená",J190,0)</f>
        <v>0</v>
      </c>
      <c r="BI190" s="595">
        <f>IF(N190="nulová",J190,0)</f>
        <v>0</v>
      </c>
      <c r="BJ190" s="509" t="s">
        <v>63</v>
      </c>
      <c r="BK190" s="595">
        <f>ROUND(I190*H190,2)</f>
        <v>0</v>
      </c>
      <c r="BL190" s="509" t="s">
        <v>108</v>
      </c>
      <c r="BM190" s="594" t="s">
        <v>2026</v>
      </c>
    </row>
    <row r="191" spans="2:65" s="516" customFormat="1" x14ac:dyDescent="0.2">
      <c r="B191" s="517"/>
      <c r="D191" s="596" t="s">
        <v>110</v>
      </c>
      <c r="F191" s="597" t="s">
        <v>301</v>
      </c>
      <c r="I191" s="598"/>
      <c r="L191" s="517"/>
      <c r="M191" s="599"/>
      <c r="T191" s="600"/>
      <c r="AT191" s="509" t="s">
        <v>110</v>
      </c>
      <c r="AU191" s="509" t="s">
        <v>65</v>
      </c>
    </row>
    <row r="192" spans="2:65" s="601" customFormat="1" x14ac:dyDescent="0.2">
      <c r="B192" s="602"/>
      <c r="D192" s="603" t="s">
        <v>112</v>
      </c>
      <c r="E192" s="604" t="s">
        <v>1</v>
      </c>
      <c r="F192" s="605" t="s">
        <v>772</v>
      </c>
      <c r="H192" s="604" t="s">
        <v>1</v>
      </c>
      <c r="I192" s="606"/>
      <c r="L192" s="602"/>
      <c r="M192" s="607"/>
      <c r="T192" s="608"/>
      <c r="AT192" s="604" t="s">
        <v>112</v>
      </c>
      <c r="AU192" s="604" t="s">
        <v>65</v>
      </c>
      <c r="AV192" s="601" t="s">
        <v>63</v>
      </c>
      <c r="AW192" s="601" t="s">
        <v>30</v>
      </c>
      <c r="AX192" s="601" t="s">
        <v>55</v>
      </c>
      <c r="AY192" s="604" t="s">
        <v>101</v>
      </c>
    </row>
    <row r="193" spans="2:65" s="609" customFormat="1" x14ac:dyDescent="0.2">
      <c r="B193" s="610"/>
      <c r="D193" s="603" t="s">
        <v>112</v>
      </c>
      <c r="E193" s="611" t="s">
        <v>1</v>
      </c>
      <c r="F193" s="612" t="s">
        <v>2027</v>
      </c>
      <c r="H193" s="613">
        <v>4.26</v>
      </c>
      <c r="I193" s="614"/>
      <c r="L193" s="610"/>
      <c r="M193" s="615"/>
      <c r="T193" s="616"/>
      <c r="AT193" s="611" t="s">
        <v>112</v>
      </c>
      <c r="AU193" s="611" t="s">
        <v>65</v>
      </c>
      <c r="AV193" s="609" t="s">
        <v>65</v>
      </c>
      <c r="AW193" s="609" t="s">
        <v>30</v>
      </c>
      <c r="AX193" s="609" t="s">
        <v>55</v>
      </c>
      <c r="AY193" s="611" t="s">
        <v>101</v>
      </c>
    </row>
    <row r="194" spans="2:65" s="609" customFormat="1" x14ac:dyDescent="0.2">
      <c r="B194" s="610"/>
      <c r="D194" s="603" t="s">
        <v>112</v>
      </c>
      <c r="E194" s="611" t="s">
        <v>1</v>
      </c>
      <c r="F194" s="612" t="s">
        <v>2028</v>
      </c>
      <c r="H194" s="613">
        <v>3.3</v>
      </c>
      <c r="I194" s="614"/>
      <c r="L194" s="610"/>
      <c r="M194" s="615"/>
      <c r="T194" s="616"/>
      <c r="AT194" s="611" t="s">
        <v>112</v>
      </c>
      <c r="AU194" s="611" t="s">
        <v>65</v>
      </c>
      <c r="AV194" s="609" t="s">
        <v>65</v>
      </c>
      <c r="AW194" s="609" t="s">
        <v>30</v>
      </c>
      <c r="AX194" s="609" t="s">
        <v>55</v>
      </c>
      <c r="AY194" s="611" t="s">
        <v>101</v>
      </c>
    </row>
    <row r="195" spans="2:65" s="617" customFormat="1" x14ac:dyDescent="0.2">
      <c r="B195" s="618"/>
      <c r="D195" s="603" t="s">
        <v>112</v>
      </c>
      <c r="E195" s="619" t="s">
        <v>1</v>
      </c>
      <c r="F195" s="620" t="s">
        <v>127</v>
      </c>
      <c r="H195" s="621">
        <v>7.56</v>
      </c>
      <c r="I195" s="622"/>
      <c r="L195" s="618"/>
      <c r="M195" s="623"/>
      <c r="T195" s="624"/>
      <c r="AT195" s="619" t="s">
        <v>112</v>
      </c>
      <c r="AU195" s="619" t="s">
        <v>65</v>
      </c>
      <c r="AV195" s="617" t="s">
        <v>108</v>
      </c>
      <c r="AW195" s="617" t="s">
        <v>30</v>
      </c>
      <c r="AX195" s="617" t="s">
        <v>63</v>
      </c>
      <c r="AY195" s="619" t="s">
        <v>101</v>
      </c>
    </row>
    <row r="196" spans="2:65" s="516" customFormat="1" ht="24.2" customHeight="1" x14ac:dyDescent="0.2">
      <c r="B196" s="582"/>
      <c r="C196" s="583" t="s">
        <v>6</v>
      </c>
      <c r="D196" s="583" t="s">
        <v>103</v>
      </c>
      <c r="E196" s="584" t="s">
        <v>786</v>
      </c>
      <c r="F196" s="585" t="s">
        <v>787</v>
      </c>
      <c r="G196" s="586" t="s">
        <v>231</v>
      </c>
      <c r="H196" s="587">
        <v>1.4999999999999999E-2</v>
      </c>
      <c r="I196" s="588"/>
      <c r="J196" s="589">
        <f>ROUND(I196*H196,2)</f>
        <v>0</v>
      </c>
      <c r="K196" s="585" t="s">
        <v>107</v>
      </c>
      <c r="L196" s="517"/>
      <c r="M196" s="590" t="s">
        <v>1</v>
      </c>
      <c r="N196" s="591" t="s">
        <v>39</v>
      </c>
      <c r="P196" s="592">
        <f>O196*H196</f>
        <v>0</v>
      </c>
      <c r="Q196" s="592">
        <v>1.06277</v>
      </c>
      <c r="R196" s="592">
        <f>Q196*H196</f>
        <v>1.5941549999999999E-2</v>
      </c>
      <c r="S196" s="592">
        <v>0</v>
      </c>
      <c r="T196" s="593">
        <f>S196*H196</f>
        <v>0</v>
      </c>
      <c r="AR196" s="594" t="s">
        <v>108</v>
      </c>
      <c r="AT196" s="594" t="s">
        <v>103</v>
      </c>
      <c r="AU196" s="594" t="s">
        <v>65</v>
      </c>
      <c r="AY196" s="509" t="s">
        <v>101</v>
      </c>
      <c r="BE196" s="595">
        <f>IF(N196="základní",J196,0)</f>
        <v>0</v>
      </c>
      <c r="BF196" s="595">
        <f>IF(N196="snížená",J196,0)</f>
        <v>0</v>
      </c>
      <c r="BG196" s="595">
        <f>IF(N196="zákl. přenesená",J196,0)</f>
        <v>0</v>
      </c>
      <c r="BH196" s="595">
        <f>IF(N196="sníž. přenesená",J196,0)</f>
        <v>0</v>
      </c>
      <c r="BI196" s="595">
        <f>IF(N196="nulová",J196,0)</f>
        <v>0</v>
      </c>
      <c r="BJ196" s="509" t="s">
        <v>63</v>
      </c>
      <c r="BK196" s="595">
        <f>ROUND(I196*H196,2)</f>
        <v>0</v>
      </c>
      <c r="BL196" s="509" t="s">
        <v>108</v>
      </c>
      <c r="BM196" s="594" t="s">
        <v>2029</v>
      </c>
    </row>
    <row r="197" spans="2:65" s="516" customFormat="1" x14ac:dyDescent="0.2">
      <c r="B197" s="517"/>
      <c r="D197" s="596" t="s">
        <v>110</v>
      </c>
      <c r="F197" s="597" t="s">
        <v>789</v>
      </c>
      <c r="I197" s="598"/>
      <c r="L197" s="517"/>
      <c r="M197" s="599"/>
      <c r="T197" s="600"/>
      <c r="AT197" s="509" t="s">
        <v>110</v>
      </c>
      <c r="AU197" s="509" t="s">
        <v>65</v>
      </c>
    </row>
    <row r="198" spans="2:65" s="601" customFormat="1" x14ac:dyDescent="0.2">
      <c r="B198" s="602"/>
      <c r="D198" s="603" t="s">
        <v>112</v>
      </c>
      <c r="E198" s="604" t="s">
        <v>1</v>
      </c>
      <c r="F198" s="605" t="s">
        <v>2030</v>
      </c>
      <c r="H198" s="604" t="s">
        <v>1</v>
      </c>
      <c r="I198" s="606"/>
      <c r="L198" s="602"/>
      <c r="M198" s="607"/>
      <c r="T198" s="608"/>
      <c r="AT198" s="604" t="s">
        <v>112</v>
      </c>
      <c r="AU198" s="604" t="s">
        <v>65</v>
      </c>
      <c r="AV198" s="601" t="s">
        <v>63</v>
      </c>
      <c r="AW198" s="601" t="s">
        <v>30</v>
      </c>
      <c r="AX198" s="601" t="s">
        <v>55</v>
      </c>
      <c r="AY198" s="604" t="s">
        <v>101</v>
      </c>
    </row>
    <row r="199" spans="2:65" s="609" customFormat="1" x14ac:dyDescent="0.2">
      <c r="B199" s="610"/>
      <c r="D199" s="603" t="s">
        <v>112</v>
      </c>
      <c r="E199" s="611" t="s">
        <v>1</v>
      </c>
      <c r="F199" s="612" t="s">
        <v>2031</v>
      </c>
      <c r="H199" s="613">
        <v>0.01</v>
      </c>
      <c r="I199" s="614"/>
      <c r="L199" s="610"/>
      <c r="M199" s="615"/>
      <c r="T199" s="616"/>
      <c r="AT199" s="611" t="s">
        <v>112</v>
      </c>
      <c r="AU199" s="611" t="s">
        <v>65</v>
      </c>
      <c r="AV199" s="609" t="s">
        <v>65</v>
      </c>
      <c r="AW199" s="609" t="s">
        <v>30</v>
      </c>
      <c r="AX199" s="609" t="s">
        <v>55</v>
      </c>
      <c r="AY199" s="611" t="s">
        <v>101</v>
      </c>
    </row>
    <row r="200" spans="2:65" s="609" customFormat="1" x14ac:dyDescent="0.2">
      <c r="B200" s="610"/>
      <c r="D200" s="603" t="s">
        <v>112</v>
      </c>
      <c r="E200" s="611" t="s">
        <v>1</v>
      </c>
      <c r="F200" s="612" t="s">
        <v>2032</v>
      </c>
      <c r="H200" s="613">
        <v>5.0000000000000001E-3</v>
      </c>
      <c r="I200" s="614"/>
      <c r="L200" s="610"/>
      <c r="M200" s="615"/>
      <c r="T200" s="616"/>
      <c r="AT200" s="611" t="s">
        <v>112</v>
      </c>
      <c r="AU200" s="611" t="s">
        <v>65</v>
      </c>
      <c r="AV200" s="609" t="s">
        <v>65</v>
      </c>
      <c r="AW200" s="609" t="s">
        <v>30</v>
      </c>
      <c r="AX200" s="609" t="s">
        <v>55</v>
      </c>
      <c r="AY200" s="611" t="s">
        <v>101</v>
      </c>
    </row>
    <row r="201" spans="2:65" s="617" customFormat="1" x14ac:dyDescent="0.2">
      <c r="B201" s="618"/>
      <c r="D201" s="603" t="s">
        <v>112</v>
      </c>
      <c r="E201" s="619" t="s">
        <v>1</v>
      </c>
      <c r="F201" s="620" t="s">
        <v>127</v>
      </c>
      <c r="H201" s="621">
        <v>1.4999999999999999E-2</v>
      </c>
      <c r="I201" s="622"/>
      <c r="L201" s="618"/>
      <c r="M201" s="623"/>
      <c r="T201" s="624"/>
      <c r="AT201" s="619" t="s">
        <v>112</v>
      </c>
      <c r="AU201" s="619" t="s">
        <v>65</v>
      </c>
      <c r="AV201" s="617" t="s">
        <v>108</v>
      </c>
      <c r="AW201" s="617" t="s">
        <v>30</v>
      </c>
      <c r="AX201" s="617" t="s">
        <v>63</v>
      </c>
      <c r="AY201" s="619" t="s">
        <v>101</v>
      </c>
    </row>
    <row r="202" spans="2:65" s="569" customFormat="1" ht="22.9" customHeight="1" x14ac:dyDescent="0.2">
      <c r="B202" s="570"/>
      <c r="D202" s="571" t="s">
        <v>54</v>
      </c>
      <c r="E202" s="580" t="s">
        <v>171</v>
      </c>
      <c r="F202" s="580" t="s">
        <v>306</v>
      </c>
      <c r="I202" s="573"/>
      <c r="J202" s="581">
        <f>BK202</f>
        <v>0</v>
      </c>
      <c r="L202" s="570"/>
      <c r="M202" s="575"/>
      <c r="P202" s="576">
        <f>SUM(P203:P204)</f>
        <v>0</v>
      </c>
      <c r="R202" s="576">
        <f>SUM(R203:R204)</f>
        <v>3.3822000000000005E-2</v>
      </c>
      <c r="T202" s="577">
        <f>SUM(T203:T204)</f>
        <v>0</v>
      </c>
      <c r="AR202" s="571" t="s">
        <v>63</v>
      </c>
      <c r="AT202" s="578" t="s">
        <v>54</v>
      </c>
      <c r="AU202" s="578" t="s">
        <v>63</v>
      </c>
      <c r="AY202" s="571" t="s">
        <v>101</v>
      </c>
      <c r="BK202" s="579">
        <f>SUM(BK203:BK204)</f>
        <v>0</v>
      </c>
    </row>
    <row r="203" spans="2:65" s="516" customFormat="1" ht="21.75" customHeight="1" x14ac:dyDescent="0.2">
      <c r="B203" s="582"/>
      <c r="C203" s="583" t="s">
        <v>256</v>
      </c>
      <c r="D203" s="583" t="s">
        <v>103</v>
      </c>
      <c r="E203" s="584" t="s">
        <v>1049</v>
      </c>
      <c r="F203" s="585" t="s">
        <v>1050</v>
      </c>
      <c r="G203" s="586" t="s">
        <v>106</v>
      </c>
      <c r="H203" s="587">
        <v>563.70000000000005</v>
      </c>
      <c r="I203" s="588"/>
      <c r="J203" s="589">
        <f>ROUND(I203*H203,2)</f>
        <v>0</v>
      </c>
      <c r="K203" s="585" t="s">
        <v>107</v>
      </c>
      <c r="L203" s="517"/>
      <c r="M203" s="590" t="s">
        <v>1</v>
      </c>
      <c r="N203" s="591" t="s">
        <v>39</v>
      </c>
      <c r="P203" s="592">
        <f>O203*H203</f>
        <v>0</v>
      </c>
      <c r="Q203" s="592">
        <v>6.0000000000000002E-5</v>
      </c>
      <c r="R203" s="592">
        <f>Q203*H203</f>
        <v>3.3822000000000005E-2</v>
      </c>
      <c r="S203" s="592">
        <v>0</v>
      </c>
      <c r="T203" s="593">
        <f>S203*H203</f>
        <v>0</v>
      </c>
      <c r="AR203" s="594" t="s">
        <v>108</v>
      </c>
      <c r="AT203" s="594" t="s">
        <v>103</v>
      </c>
      <c r="AU203" s="594" t="s">
        <v>65</v>
      </c>
      <c r="AY203" s="509" t="s">
        <v>101</v>
      </c>
      <c r="BE203" s="595">
        <f>IF(N203="základní",J203,0)</f>
        <v>0</v>
      </c>
      <c r="BF203" s="595">
        <f>IF(N203="snížená",J203,0)</f>
        <v>0</v>
      </c>
      <c r="BG203" s="595">
        <f>IF(N203="zákl. přenesená",J203,0)</f>
        <v>0</v>
      </c>
      <c r="BH203" s="595">
        <f>IF(N203="sníž. přenesená",J203,0)</f>
        <v>0</v>
      </c>
      <c r="BI203" s="595">
        <f>IF(N203="nulová",J203,0)</f>
        <v>0</v>
      </c>
      <c r="BJ203" s="509" t="s">
        <v>63</v>
      </c>
      <c r="BK203" s="595">
        <f>ROUND(I203*H203,2)</f>
        <v>0</v>
      </c>
      <c r="BL203" s="509" t="s">
        <v>108</v>
      </c>
      <c r="BM203" s="594" t="s">
        <v>2033</v>
      </c>
    </row>
    <row r="204" spans="2:65" s="516" customFormat="1" x14ac:dyDescent="0.2">
      <c r="B204" s="517"/>
      <c r="D204" s="596" t="s">
        <v>110</v>
      </c>
      <c r="F204" s="597" t="s">
        <v>1052</v>
      </c>
      <c r="I204" s="598"/>
      <c r="L204" s="517"/>
      <c r="M204" s="599"/>
      <c r="T204" s="600"/>
      <c r="AT204" s="509" t="s">
        <v>110</v>
      </c>
      <c r="AU204" s="509" t="s">
        <v>65</v>
      </c>
    </row>
    <row r="205" spans="2:65" s="569" customFormat="1" ht="22.9" customHeight="1" x14ac:dyDescent="0.2">
      <c r="B205" s="570"/>
      <c r="D205" s="571" t="s">
        <v>54</v>
      </c>
      <c r="E205" s="580" t="s">
        <v>625</v>
      </c>
      <c r="F205" s="580" t="s">
        <v>626</v>
      </c>
      <c r="I205" s="573"/>
      <c r="J205" s="581">
        <f>BK205</f>
        <v>0</v>
      </c>
      <c r="L205" s="570"/>
      <c r="M205" s="575"/>
      <c r="P205" s="576">
        <f>SUM(P206:P209)</f>
        <v>0</v>
      </c>
      <c r="R205" s="576">
        <f>SUM(R206:R209)</f>
        <v>0</v>
      </c>
      <c r="T205" s="577">
        <f>SUM(T206:T209)</f>
        <v>0</v>
      </c>
      <c r="AR205" s="571" t="s">
        <v>63</v>
      </c>
      <c r="AT205" s="578" t="s">
        <v>54</v>
      </c>
      <c r="AU205" s="578" t="s">
        <v>63</v>
      </c>
      <c r="AY205" s="571" t="s">
        <v>101</v>
      </c>
      <c r="BK205" s="579">
        <f>SUM(BK206:BK209)</f>
        <v>0</v>
      </c>
    </row>
    <row r="206" spans="2:65" s="516" customFormat="1" ht="49.15" customHeight="1" x14ac:dyDescent="0.2">
      <c r="B206" s="582"/>
      <c r="C206" s="583" t="s">
        <v>261</v>
      </c>
      <c r="D206" s="583" t="s">
        <v>103</v>
      </c>
      <c r="E206" s="584" t="s">
        <v>628</v>
      </c>
      <c r="F206" s="585" t="s">
        <v>629</v>
      </c>
      <c r="G206" s="586" t="s">
        <v>231</v>
      </c>
      <c r="H206" s="587">
        <v>0.64700000000000002</v>
      </c>
      <c r="I206" s="588"/>
      <c r="J206" s="589">
        <f>ROUND(I206*H206,2)</f>
        <v>0</v>
      </c>
      <c r="K206" s="585" t="s">
        <v>107</v>
      </c>
      <c r="L206" s="517"/>
      <c r="M206" s="590" t="s">
        <v>1</v>
      </c>
      <c r="N206" s="591" t="s">
        <v>39</v>
      </c>
      <c r="P206" s="592">
        <f>O206*H206</f>
        <v>0</v>
      </c>
      <c r="Q206" s="592">
        <v>0</v>
      </c>
      <c r="R206" s="592">
        <f>Q206*H206</f>
        <v>0</v>
      </c>
      <c r="S206" s="592">
        <v>0</v>
      </c>
      <c r="T206" s="593">
        <f>S206*H206</f>
        <v>0</v>
      </c>
      <c r="AR206" s="594" t="s">
        <v>108</v>
      </c>
      <c r="AT206" s="594" t="s">
        <v>103</v>
      </c>
      <c r="AU206" s="594" t="s">
        <v>65</v>
      </c>
      <c r="AY206" s="509" t="s">
        <v>101</v>
      </c>
      <c r="BE206" s="595">
        <f>IF(N206="základní",J206,0)</f>
        <v>0</v>
      </c>
      <c r="BF206" s="595">
        <f>IF(N206="snížená",J206,0)</f>
        <v>0</v>
      </c>
      <c r="BG206" s="595">
        <f>IF(N206="zákl. přenesená",J206,0)</f>
        <v>0</v>
      </c>
      <c r="BH206" s="595">
        <f>IF(N206="sníž. přenesená",J206,0)</f>
        <v>0</v>
      </c>
      <c r="BI206" s="595">
        <f>IF(N206="nulová",J206,0)</f>
        <v>0</v>
      </c>
      <c r="BJ206" s="509" t="s">
        <v>63</v>
      </c>
      <c r="BK206" s="595">
        <f>ROUND(I206*H206,2)</f>
        <v>0</v>
      </c>
      <c r="BL206" s="509" t="s">
        <v>108</v>
      </c>
      <c r="BM206" s="594" t="s">
        <v>2034</v>
      </c>
    </row>
    <row r="207" spans="2:65" s="516" customFormat="1" x14ac:dyDescent="0.2">
      <c r="B207" s="517"/>
      <c r="D207" s="596" t="s">
        <v>110</v>
      </c>
      <c r="F207" s="597" t="s">
        <v>631</v>
      </c>
      <c r="I207" s="598"/>
      <c r="L207" s="517"/>
      <c r="M207" s="599"/>
      <c r="T207" s="600"/>
      <c r="AT207" s="509" t="s">
        <v>110</v>
      </c>
      <c r="AU207" s="509" t="s">
        <v>65</v>
      </c>
    </row>
    <row r="208" spans="2:65" s="516" customFormat="1" ht="55.5" customHeight="1" x14ac:dyDescent="0.2">
      <c r="B208" s="582"/>
      <c r="C208" s="583" t="s">
        <v>275</v>
      </c>
      <c r="D208" s="583" t="s">
        <v>103</v>
      </c>
      <c r="E208" s="584" t="s">
        <v>633</v>
      </c>
      <c r="F208" s="585" t="s">
        <v>634</v>
      </c>
      <c r="G208" s="586" t="s">
        <v>231</v>
      </c>
      <c r="H208" s="587">
        <v>0.64700000000000002</v>
      </c>
      <c r="I208" s="588"/>
      <c r="J208" s="589">
        <f>ROUND(I208*H208,2)</f>
        <v>0</v>
      </c>
      <c r="K208" s="585" t="s">
        <v>107</v>
      </c>
      <c r="L208" s="517"/>
      <c r="M208" s="590" t="s">
        <v>1</v>
      </c>
      <c r="N208" s="591" t="s">
        <v>39</v>
      </c>
      <c r="P208" s="592">
        <f>O208*H208</f>
        <v>0</v>
      </c>
      <c r="Q208" s="592">
        <v>0</v>
      </c>
      <c r="R208" s="592">
        <f>Q208*H208</f>
        <v>0</v>
      </c>
      <c r="S208" s="592">
        <v>0</v>
      </c>
      <c r="T208" s="593">
        <f>S208*H208</f>
        <v>0</v>
      </c>
      <c r="AR208" s="594" t="s">
        <v>108</v>
      </c>
      <c r="AT208" s="594" t="s">
        <v>103</v>
      </c>
      <c r="AU208" s="594" t="s">
        <v>65</v>
      </c>
      <c r="AY208" s="509" t="s">
        <v>101</v>
      </c>
      <c r="BE208" s="595">
        <f>IF(N208="základní",J208,0)</f>
        <v>0</v>
      </c>
      <c r="BF208" s="595">
        <f>IF(N208="snížená",J208,0)</f>
        <v>0</v>
      </c>
      <c r="BG208" s="595">
        <f>IF(N208="zákl. přenesená",J208,0)</f>
        <v>0</v>
      </c>
      <c r="BH208" s="595">
        <f>IF(N208="sníž. přenesená",J208,0)</f>
        <v>0</v>
      </c>
      <c r="BI208" s="595">
        <f>IF(N208="nulová",J208,0)</f>
        <v>0</v>
      </c>
      <c r="BJ208" s="509" t="s">
        <v>63</v>
      </c>
      <c r="BK208" s="595">
        <f>ROUND(I208*H208,2)</f>
        <v>0</v>
      </c>
      <c r="BL208" s="509" t="s">
        <v>108</v>
      </c>
      <c r="BM208" s="594" t="s">
        <v>2035</v>
      </c>
    </row>
    <row r="209" spans="2:65" s="516" customFormat="1" x14ac:dyDescent="0.2">
      <c r="B209" s="517"/>
      <c r="D209" s="596" t="s">
        <v>110</v>
      </c>
      <c r="F209" s="597" t="s">
        <v>636</v>
      </c>
      <c r="I209" s="598"/>
      <c r="L209" s="517"/>
      <c r="M209" s="599"/>
      <c r="T209" s="600"/>
      <c r="AT209" s="509" t="s">
        <v>110</v>
      </c>
      <c r="AU209" s="509" t="s">
        <v>65</v>
      </c>
    </row>
    <row r="210" spans="2:65" s="569" customFormat="1" ht="25.9" customHeight="1" x14ac:dyDescent="0.2">
      <c r="B210" s="570"/>
      <c r="D210" s="571" t="s">
        <v>54</v>
      </c>
      <c r="E210" s="572" t="s">
        <v>252</v>
      </c>
      <c r="F210" s="572" t="s">
        <v>2036</v>
      </c>
      <c r="I210" s="573"/>
      <c r="J210" s="574">
        <f>BK210</f>
        <v>0</v>
      </c>
      <c r="L210" s="570"/>
      <c r="M210" s="575"/>
      <c r="P210" s="576">
        <f>P211+P215</f>
        <v>0</v>
      </c>
      <c r="R210" s="576">
        <f>R211+R215</f>
        <v>14.620248</v>
      </c>
      <c r="T210" s="577">
        <f>T211+T215</f>
        <v>0</v>
      </c>
      <c r="AR210" s="571" t="s">
        <v>119</v>
      </c>
      <c r="AT210" s="578" t="s">
        <v>54</v>
      </c>
      <c r="AU210" s="578" t="s">
        <v>55</v>
      </c>
      <c r="AY210" s="571" t="s">
        <v>101</v>
      </c>
      <c r="BK210" s="579">
        <f>BK211+BK215</f>
        <v>0</v>
      </c>
    </row>
    <row r="211" spans="2:65" s="569" customFormat="1" ht="22.9" customHeight="1" x14ac:dyDescent="0.2">
      <c r="B211" s="570"/>
      <c r="D211" s="571" t="s">
        <v>54</v>
      </c>
      <c r="E211" s="580" t="s">
        <v>2037</v>
      </c>
      <c r="F211" s="580" t="s">
        <v>2038</v>
      </c>
      <c r="I211" s="573"/>
      <c r="J211" s="581">
        <f>BK211</f>
        <v>0</v>
      </c>
      <c r="L211" s="570"/>
      <c r="M211" s="575"/>
      <c r="P211" s="576">
        <f>SUM(P212:P214)</f>
        <v>0</v>
      </c>
      <c r="R211" s="576">
        <f>SUM(R212:R214)</f>
        <v>0</v>
      </c>
      <c r="T211" s="577">
        <f>SUM(T212:T214)</f>
        <v>0</v>
      </c>
      <c r="AR211" s="571" t="s">
        <v>119</v>
      </c>
      <c r="AT211" s="578" t="s">
        <v>54</v>
      </c>
      <c r="AU211" s="578" t="s">
        <v>63</v>
      </c>
      <c r="AY211" s="571" t="s">
        <v>101</v>
      </c>
      <c r="BK211" s="579">
        <f>SUM(BK212:BK214)</f>
        <v>0</v>
      </c>
    </row>
    <row r="212" spans="2:65" s="516" customFormat="1" ht="24.2" customHeight="1" x14ac:dyDescent="0.2">
      <c r="B212" s="582"/>
      <c r="C212" s="583" t="s">
        <v>288</v>
      </c>
      <c r="D212" s="583" t="s">
        <v>103</v>
      </c>
      <c r="E212" s="584" t="s">
        <v>2039</v>
      </c>
      <c r="F212" s="585" t="s">
        <v>2040</v>
      </c>
      <c r="G212" s="586" t="s">
        <v>314</v>
      </c>
      <c r="H212" s="587">
        <v>1</v>
      </c>
      <c r="I212" s="588"/>
      <c r="J212" s="589">
        <f>ROUND(I212*H212,2)</f>
        <v>0</v>
      </c>
      <c r="K212" s="585" t="s">
        <v>107</v>
      </c>
      <c r="L212" s="517"/>
      <c r="M212" s="590" t="s">
        <v>1</v>
      </c>
      <c r="N212" s="591" t="s">
        <v>39</v>
      </c>
      <c r="P212" s="592">
        <f>O212*H212</f>
        <v>0</v>
      </c>
      <c r="Q212" s="592">
        <v>0</v>
      </c>
      <c r="R212" s="592">
        <f>Q212*H212</f>
        <v>0</v>
      </c>
      <c r="S212" s="592">
        <v>0</v>
      </c>
      <c r="T212" s="593">
        <f>S212*H212</f>
        <v>0</v>
      </c>
      <c r="AR212" s="594" t="s">
        <v>476</v>
      </c>
      <c r="AT212" s="594" t="s">
        <v>103</v>
      </c>
      <c r="AU212" s="594" t="s">
        <v>65</v>
      </c>
      <c r="AY212" s="509" t="s">
        <v>101</v>
      </c>
      <c r="BE212" s="595">
        <f>IF(N212="základní",J212,0)</f>
        <v>0</v>
      </c>
      <c r="BF212" s="595">
        <f>IF(N212="snížená",J212,0)</f>
        <v>0</v>
      </c>
      <c r="BG212" s="595">
        <f>IF(N212="zákl. přenesená",J212,0)</f>
        <v>0</v>
      </c>
      <c r="BH212" s="595">
        <f>IF(N212="sníž. přenesená",J212,0)</f>
        <v>0</v>
      </c>
      <c r="BI212" s="595">
        <f>IF(N212="nulová",J212,0)</f>
        <v>0</v>
      </c>
      <c r="BJ212" s="509" t="s">
        <v>63</v>
      </c>
      <c r="BK212" s="595">
        <f>ROUND(I212*H212,2)</f>
        <v>0</v>
      </c>
      <c r="BL212" s="509" t="s">
        <v>476</v>
      </c>
      <c r="BM212" s="594" t="s">
        <v>2041</v>
      </c>
    </row>
    <row r="213" spans="2:65" s="516" customFormat="1" x14ac:dyDescent="0.2">
      <c r="B213" s="517"/>
      <c r="D213" s="596" t="s">
        <v>110</v>
      </c>
      <c r="F213" s="597" t="s">
        <v>2042</v>
      </c>
      <c r="I213" s="598"/>
      <c r="L213" s="517"/>
      <c r="M213" s="599"/>
      <c r="T213" s="600"/>
      <c r="AT213" s="509" t="s">
        <v>110</v>
      </c>
      <c r="AU213" s="509" t="s">
        <v>65</v>
      </c>
    </row>
    <row r="214" spans="2:65" s="516" customFormat="1" ht="24.2" customHeight="1" x14ac:dyDescent="0.2">
      <c r="B214" s="582"/>
      <c r="C214" s="625" t="s">
        <v>297</v>
      </c>
      <c r="D214" s="625" t="s">
        <v>252</v>
      </c>
      <c r="E214" s="626" t="s">
        <v>2043</v>
      </c>
      <c r="F214" s="627" t="s">
        <v>2044</v>
      </c>
      <c r="G214" s="628" t="s">
        <v>314</v>
      </c>
      <c r="H214" s="629">
        <v>1</v>
      </c>
      <c r="I214" s="630"/>
      <c r="J214" s="631">
        <f>ROUND(I214*H214,2)</f>
        <v>0</v>
      </c>
      <c r="K214" s="627" t="s">
        <v>1</v>
      </c>
      <c r="L214" s="632"/>
      <c r="M214" s="633" t="s">
        <v>1</v>
      </c>
      <c r="N214" s="634" t="s">
        <v>39</v>
      </c>
      <c r="P214" s="592">
        <f>O214*H214</f>
        <v>0</v>
      </c>
      <c r="Q214" s="592">
        <v>0</v>
      </c>
      <c r="R214" s="592">
        <f>Q214*H214</f>
        <v>0</v>
      </c>
      <c r="S214" s="592">
        <v>0</v>
      </c>
      <c r="T214" s="593">
        <f>S214*H214</f>
        <v>0</v>
      </c>
      <c r="AR214" s="594" t="s">
        <v>2045</v>
      </c>
      <c r="AT214" s="594" t="s">
        <v>252</v>
      </c>
      <c r="AU214" s="594" t="s">
        <v>65</v>
      </c>
      <c r="AY214" s="509" t="s">
        <v>101</v>
      </c>
      <c r="BE214" s="595">
        <f>IF(N214="základní",J214,0)</f>
        <v>0</v>
      </c>
      <c r="BF214" s="595">
        <f>IF(N214="snížená",J214,0)</f>
        <v>0</v>
      </c>
      <c r="BG214" s="595">
        <f>IF(N214="zákl. přenesená",J214,0)</f>
        <v>0</v>
      </c>
      <c r="BH214" s="595">
        <f>IF(N214="sníž. přenesená",J214,0)</f>
        <v>0</v>
      </c>
      <c r="BI214" s="595">
        <f>IF(N214="nulová",J214,0)</f>
        <v>0</v>
      </c>
      <c r="BJ214" s="509" t="s">
        <v>63</v>
      </c>
      <c r="BK214" s="595">
        <f>ROUND(I214*H214,2)</f>
        <v>0</v>
      </c>
      <c r="BL214" s="509" t="s">
        <v>2045</v>
      </c>
      <c r="BM214" s="594" t="s">
        <v>2046</v>
      </c>
    </row>
    <row r="215" spans="2:65" s="569" customFormat="1" ht="22.9" customHeight="1" x14ac:dyDescent="0.2">
      <c r="B215" s="570"/>
      <c r="D215" s="571" t="s">
        <v>54</v>
      </c>
      <c r="E215" s="580" t="s">
        <v>2047</v>
      </c>
      <c r="F215" s="580" t="s">
        <v>2048</v>
      </c>
      <c r="I215" s="573"/>
      <c r="J215" s="581">
        <f>BK215</f>
        <v>0</v>
      </c>
      <c r="L215" s="570"/>
      <c r="M215" s="575"/>
      <c r="P215" s="576">
        <f>SUM(P216:P244)</f>
        <v>0</v>
      </c>
      <c r="R215" s="576">
        <f>SUM(R216:R244)</f>
        <v>14.620248</v>
      </c>
      <c r="T215" s="577">
        <f>SUM(T216:T244)</f>
        <v>0</v>
      </c>
      <c r="AR215" s="571" t="s">
        <v>119</v>
      </c>
      <c r="AT215" s="578" t="s">
        <v>54</v>
      </c>
      <c r="AU215" s="578" t="s">
        <v>63</v>
      </c>
      <c r="AY215" s="571" t="s">
        <v>101</v>
      </c>
      <c r="BK215" s="579">
        <f>SUM(BK216:BK244)</f>
        <v>0</v>
      </c>
    </row>
    <row r="216" spans="2:65" s="516" customFormat="1" ht="37.9" customHeight="1" x14ac:dyDescent="0.2">
      <c r="B216" s="582"/>
      <c r="C216" s="583" t="s">
        <v>307</v>
      </c>
      <c r="D216" s="583" t="s">
        <v>103</v>
      </c>
      <c r="E216" s="584" t="s">
        <v>2049</v>
      </c>
      <c r="F216" s="585" t="s">
        <v>2050</v>
      </c>
      <c r="G216" s="586" t="s">
        <v>106</v>
      </c>
      <c r="H216" s="587">
        <v>563.70000000000005</v>
      </c>
      <c r="I216" s="588"/>
      <c r="J216" s="589">
        <f>ROUND(I216*H216,2)</f>
        <v>0</v>
      </c>
      <c r="K216" s="585" t="s">
        <v>107</v>
      </c>
      <c r="L216" s="517"/>
      <c r="M216" s="590" t="s">
        <v>1</v>
      </c>
      <c r="N216" s="591" t="s">
        <v>39</v>
      </c>
      <c r="P216" s="592">
        <f>O216*H216</f>
        <v>0</v>
      </c>
      <c r="Q216" s="592">
        <v>4.0000000000000003E-5</v>
      </c>
      <c r="R216" s="592">
        <f>Q216*H216</f>
        <v>2.2548000000000002E-2</v>
      </c>
      <c r="S216" s="592">
        <v>0</v>
      </c>
      <c r="T216" s="593">
        <f>S216*H216</f>
        <v>0</v>
      </c>
      <c r="AR216" s="594" t="s">
        <v>476</v>
      </c>
      <c r="AT216" s="594" t="s">
        <v>103</v>
      </c>
      <c r="AU216" s="594" t="s">
        <v>65</v>
      </c>
      <c r="AY216" s="509" t="s">
        <v>101</v>
      </c>
      <c r="BE216" s="595">
        <f>IF(N216="základní",J216,0)</f>
        <v>0</v>
      </c>
      <c r="BF216" s="595">
        <f>IF(N216="snížená",J216,0)</f>
        <v>0</v>
      </c>
      <c r="BG216" s="595">
        <f>IF(N216="zákl. přenesená",J216,0)</f>
        <v>0</v>
      </c>
      <c r="BH216" s="595">
        <f>IF(N216="sníž. přenesená",J216,0)</f>
        <v>0</v>
      </c>
      <c r="BI216" s="595">
        <f>IF(N216="nulová",J216,0)</f>
        <v>0</v>
      </c>
      <c r="BJ216" s="509" t="s">
        <v>63</v>
      </c>
      <c r="BK216" s="595">
        <f>ROUND(I216*H216,2)</f>
        <v>0</v>
      </c>
      <c r="BL216" s="509" t="s">
        <v>476</v>
      </c>
      <c r="BM216" s="594" t="s">
        <v>2051</v>
      </c>
    </row>
    <row r="217" spans="2:65" s="516" customFormat="1" x14ac:dyDescent="0.2">
      <c r="B217" s="517"/>
      <c r="D217" s="596" t="s">
        <v>110</v>
      </c>
      <c r="F217" s="597" t="s">
        <v>2052</v>
      </c>
      <c r="I217" s="598"/>
      <c r="L217" s="517"/>
      <c r="M217" s="599"/>
      <c r="T217" s="600"/>
      <c r="AT217" s="509" t="s">
        <v>110</v>
      </c>
      <c r="AU217" s="509" t="s">
        <v>65</v>
      </c>
    </row>
    <row r="218" spans="2:65" s="516" customFormat="1" ht="16.5" customHeight="1" x14ac:dyDescent="0.2">
      <c r="B218" s="582"/>
      <c r="C218" s="625" t="s">
        <v>311</v>
      </c>
      <c r="D218" s="625" t="s">
        <v>252</v>
      </c>
      <c r="E218" s="626" t="s">
        <v>2053</v>
      </c>
      <c r="F218" s="627" t="s">
        <v>2054</v>
      </c>
      <c r="G218" s="628" t="s">
        <v>1368</v>
      </c>
      <c r="H218" s="629">
        <v>532</v>
      </c>
      <c r="I218" s="630"/>
      <c r="J218" s="631">
        <f>ROUND(I218*H218,2)</f>
        <v>0</v>
      </c>
      <c r="K218" s="627" t="s">
        <v>1</v>
      </c>
      <c r="L218" s="632"/>
      <c r="M218" s="633" t="s">
        <v>1</v>
      </c>
      <c r="N218" s="634" t="s">
        <v>39</v>
      </c>
      <c r="P218" s="592">
        <f>O218*H218</f>
        <v>0</v>
      </c>
      <c r="Q218" s="592">
        <v>1.9699999999999999E-2</v>
      </c>
      <c r="R218" s="592">
        <f>Q218*H218</f>
        <v>10.480399999999999</v>
      </c>
      <c r="S218" s="592">
        <v>0</v>
      </c>
      <c r="T218" s="593">
        <f>S218*H218</f>
        <v>0</v>
      </c>
      <c r="AR218" s="594" t="s">
        <v>2045</v>
      </c>
      <c r="AT218" s="594" t="s">
        <v>252</v>
      </c>
      <c r="AU218" s="594" t="s">
        <v>65</v>
      </c>
      <c r="AY218" s="509" t="s">
        <v>101</v>
      </c>
      <c r="BE218" s="595">
        <f>IF(N218="základní",J218,0)</f>
        <v>0</v>
      </c>
      <c r="BF218" s="595">
        <f>IF(N218="snížená",J218,0)</f>
        <v>0</v>
      </c>
      <c r="BG218" s="595">
        <f>IF(N218="zákl. přenesená",J218,0)</f>
        <v>0</v>
      </c>
      <c r="BH218" s="595">
        <f>IF(N218="sníž. přenesená",J218,0)</f>
        <v>0</v>
      </c>
      <c r="BI218" s="595">
        <f>IF(N218="nulová",J218,0)</f>
        <v>0</v>
      </c>
      <c r="BJ218" s="509" t="s">
        <v>63</v>
      </c>
      <c r="BK218" s="595">
        <f>ROUND(I218*H218,2)</f>
        <v>0</v>
      </c>
      <c r="BL218" s="509" t="s">
        <v>2045</v>
      </c>
      <c r="BM218" s="594" t="s">
        <v>2055</v>
      </c>
    </row>
    <row r="219" spans="2:65" s="609" customFormat="1" x14ac:dyDescent="0.2">
      <c r="B219" s="610"/>
      <c r="D219" s="603" t="s">
        <v>112</v>
      </c>
      <c r="E219" s="611" t="s">
        <v>1</v>
      </c>
      <c r="F219" s="612" t="s">
        <v>2056</v>
      </c>
      <c r="H219" s="613">
        <v>518</v>
      </c>
      <c r="I219" s="614"/>
      <c r="L219" s="610"/>
      <c r="M219" s="615"/>
      <c r="T219" s="616"/>
      <c r="AT219" s="611" t="s">
        <v>112</v>
      </c>
      <c r="AU219" s="611" t="s">
        <v>65</v>
      </c>
      <c r="AV219" s="609" t="s">
        <v>65</v>
      </c>
      <c r="AW219" s="609" t="s">
        <v>30</v>
      </c>
      <c r="AX219" s="609" t="s">
        <v>55</v>
      </c>
      <c r="AY219" s="611" t="s">
        <v>101</v>
      </c>
    </row>
    <row r="220" spans="2:65" s="609" customFormat="1" x14ac:dyDescent="0.2">
      <c r="B220" s="610"/>
      <c r="D220" s="603" t="s">
        <v>112</v>
      </c>
      <c r="E220" s="611" t="s">
        <v>1</v>
      </c>
      <c r="F220" s="612" t="s">
        <v>2057</v>
      </c>
      <c r="H220" s="613">
        <v>14</v>
      </c>
      <c r="I220" s="614"/>
      <c r="L220" s="610"/>
      <c r="M220" s="615"/>
      <c r="T220" s="616"/>
      <c r="AT220" s="611" t="s">
        <v>112</v>
      </c>
      <c r="AU220" s="611" t="s">
        <v>65</v>
      </c>
      <c r="AV220" s="609" t="s">
        <v>65</v>
      </c>
      <c r="AW220" s="609" t="s">
        <v>30</v>
      </c>
      <c r="AX220" s="609" t="s">
        <v>55</v>
      </c>
      <c r="AY220" s="611" t="s">
        <v>101</v>
      </c>
    </row>
    <row r="221" spans="2:65" s="617" customFormat="1" x14ac:dyDescent="0.2">
      <c r="B221" s="618"/>
      <c r="D221" s="603" t="s">
        <v>112</v>
      </c>
      <c r="E221" s="619" t="s">
        <v>1</v>
      </c>
      <c r="F221" s="620" t="s">
        <v>127</v>
      </c>
      <c r="H221" s="621">
        <v>532</v>
      </c>
      <c r="I221" s="622"/>
      <c r="L221" s="618"/>
      <c r="M221" s="623"/>
      <c r="T221" s="624"/>
      <c r="AT221" s="619" t="s">
        <v>112</v>
      </c>
      <c r="AU221" s="619" t="s">
        <v>65</v>
      </c>
      <c r="AV221" s="617" t="s">
        <v>108</v>
      </c>
      <c r="AW221" s="617" t="s">
        <v>30</v>
      </c>
      <c r="AX221" s="617" t="s">
        <v>63</v>
      </c>
      <c r="AY221" s="619" t="s">
        <v>101</v>
      </c>
    </row>
    <row r="222" spans="2:65" s="516" customFormat="1" ht="44.25" customHeight="1" x14ac:dyDescent="0.2">
      <c r="B222" s="582"/>
      <c r="C222" s="583" t="s">
        <v>317</v>
      </c>
      <c r="D222" s="583" t="s">
        <v>103</v>
      </c>
      <c r="E222" s="584" t="s">
        <v>2058</v>
      </c>
      <c r="F222" s="585" t="s">
        <v>2059</v>
      </c>
      <c r="G222" s="586" t="s">
        <v>314</v>
      </c>
      <c r="H222" s="587">
        <v>5</v>
      </c>
      <c r="I222" s="588"/>
      <c r="J222" s="589">
        <f>ROUND(I222*H222,2)</f>
        <v>0</v>
      </c>
      <c r="K222" s="585" t="s">
        <v>107</v>
      </c>
      <c r="L222" s="517"/>
      <c r="M222" s="590" t="s">
        <v>1</v>
      </c>
      <c r="N222" s="591" t="s">
        <v>39</v>
      </c>
      <c r="P222" s="592">
        <f>O222*H222</f>
        <v>0</v>
      </c>
      <c r="Q222" s="592">
        <v>0.37430000000000002</v>
      </c>
      <c r="R222" s="592">
        <f>Q222*H222</f>
        <v>1.8715000000000002</v>
      </c>
      <c r="S222" s="592">
        <v>0</v>
      </c>
      <c r="T222" s="593">
        <f>S222*H222</f>
        <v>0</v>
      </c>
      <c r="AR222" s="594" t="s">
        <v>476</v>
      </c>
      <c r="AT222" s="594" t="s">
        <v>103</v>
      </c>
      <c r="AU222" s="594" t="s">
        <v>65</v>
      </c>
      <c r="AY222" s="509" t="s">
        <v>101</v>
      </c>
      <c r="BE222" s="595">
        <f>IF(N222="základní",J222,0)</f>
        <v>0</v>
      </c>
      <c r="BF222" s="595">
        <f>IF(N222="snížená",J222,0)</f>
        <v>0</v>
      </c>
      <c r="BG222" s="595">
        <f>IF(N222="zákl. přenesená",J222,0)</f>
        <v>0</v>
      </c>
      <c r="BH222" s="595">
        <f>IF(N222="sníž. přenesená",J222,0)</f>
        <v>0</v>
      </c>
      <c r="BI222" s="595">
        <f>IF(N222="nulová",J222,0)</f>
        <v>0</v>
      </c>
      <c r="BJ222" s="509" t="s">
        <v>63</v>
      </c>
      <c r="BK222" s="595">
        <f>ROUND(I222*H222,2)</f>
        <v>0</v>
      </c>
      <c r="BL222" s="509" t="s">
        <v>476</v>
      </c>
      <c r="BM222" s="594" t="s">
        <v>2060</v>
      </c>
    </row>
    <row r="223" spans="2:65" s="516" customFormat="1" x14ac:dyDescent="0.2">
      <c r="B223" s="517"/>
      <c r="D223" s="596" t="s">
        <v>110</v>
      </c>
      <c r="F223" s="597" t="s">
        <v>2061</v>
      </c>
      <c r="I223" s="598"/>
      <c r="L223" s="517"/>
      <c r="M223" s="599"/>
      <c r="T223" s="600"/>
      <c r="AT223" s="509" t="s">
        <v>110</v>
      </c>
      <c r="AU223" s="509" t="s">
        <v>65</v>
      </c>
    </row>
    <row r="224" spans="2:65" s="516" customFormat="1" ht="16.5" customHeight="1" x14ac:dyDescent="0.2">
      <c r="B224" s="582"/>
      <c r="C224" s="625" t="s">
        <v>321</v>
      </c>
      <c r="D224" s="625" t="s">
        <v>252</v>
      </c>
      <c r="E224" s="626" t="s">
        <v>2062</v>
      </c>
      <c r="F224" s="627" t="s">
        <v>2063</v>
      </c>
      <c r="G224" s="628" t="s">
        <v>1</v>
      </c>
      <c r="H224" s="629">
        <v>5</v>
      </c>
      <c r="I224" s="630"/>
      <c r="J224" s="631">
        <f>ROUND(I224*H224,2)</f>
        <v>0</v>
      </c>
      <c r="K224" s="627" t="s">
        <v>1</v>
      </c>
      <c r="L224" s="632"/>
      <c r="M224" s="633" t="s">
        <v>1</v>
      </c>
      <c r="N224" s="634" t="s">
        <v>39</v>
      </c>
      <c r="P224" s="592">
        <f>O224*H224</f>
        <v>0</v>
      </c>
      <c r="Q224" s="592">
        <v>0</v>
      </c>
      <c r="R224" s="592">
        <f>Q224*H224</f>
        <v>0</v>
      </c>
      <c r="S224" s="592">
        <v>0</v>
      </c>
      <c r="T224" s="593">
        <f>S224*H224</f>
        <v>0</v>
      </c>
      <c r="AR224" s="594" t="s">
        <v>2045</v>
      </c>
      <c r="AT224" s="594" t="s">
        <v>252</v>
      </c>
      <c r="AU224" s="594" t="s">
        <v>65</v>
      </c>
      <c r="AY224" s="509" t="s">
        <v>101</v>
      </c>
      <c r="BE224" s="595">
        <f>IF(N224="základní",J224,0)</f>
        <v>0</v>
      </c>
      <c r="BF224" s="595">
        <f>IF(N224="snížená",J224,0)</f>
        <v>0</v>
      </c>
      <c r="BG224" s="595">
        <f>IF(N224="zákl. přenesená",J224,0)</f>
        <v>0</v>
      </c>
      <c r="BH224" s="595">
        <f>IF(N224="sníž. přenesená",J224,0)</f>
        <v>0</v>
      </c>
      <c r="BI224" s="595">
        <f>IF(N224="nulová",J224,0)</f>
        <v>0</v>
      </c>
      <c r="BJ224" s="509" t="s">
        <v>63</v>
      </c>
      <c r="BK224" s="595">
        <f>ROUND(I224*H224,2)</f>
        <v>0</v>
      </c>
      <c r="BL224" s="509" t="s">
        <v>2045</v>
      </c>
      <c r="BM224" s="594" t="s">
        <v>2064</v>
      </c>
    </row>
    <row r="225" spans="2:65" s="516" customFormat="1" ht="44.25" customHeight="1" x14ac:dyDescent="0.2">
      <c r="B225" s="582"/>
      <c r="C225" s="583" t="s">
        <v>325</v>
      </c>
      <c r="D225" s="583" t="s">
        <v>103</v>
      </c>
      <c r="E225" s="584" t="s">
        <v>2065</v>
      </c>
      <c r="F225" s="585" t="s">
        <v>2066</v>
      </c>
      <c r="G225" s="586" t="s">
        <v>314</v>
      </c>
      <c r="H225" s="587">
        <v>6</v>
      </c>
      <c r="I225" s="588"/>
      <c r="J225" s="589">
        <f>ROUND(I225*H225,2)</f>
        <v>0</v>
      </c>
      <c r="K225" s="585" t="s">
        <v>107</v>
      </c>
      <c r="L225" s="517"/>
      <c r="M225" s="590" t="s">
        <v>1</v>
      </c>
      <c r="N225" s="591" t="s">
        <v>39</v>
      </c>
      <c r="P225" s="592">
        <f>O225*H225</f>
        <v>0</v>
      </c>
      <c r="Q225" s="592">
        <v>0.37430000000000002</v>
      </c>
      <c r="R225" s="592">
        <f>Q225*H225</f>
        <v>2.2458</v>
      </c>
      <c r="S225" s="592">
        <v>0</v>
      </c>
      <c r="T225" s="593">
        <f>S225*H225</f>
        <v>0</v>
      </c>
      <c r="AR225" s="594" t="s">
        <v>476</v>
      </c>
      <c r="AT225" s="594" t="s">
        <v>103</v>
      </c>
      <c r="AU225" s="594" t="s">
        <v>65</v>
      </c>
      <c r="AY225" s="509" t="s">
        <v>101</v>
      </c>
      <c r="BE225" s="595">
        <f>IF(N225="základní",J225,0)</f>
        <v>0</v>
      </c>
      <c r="BF225" s="595">
        <f>IF(N225="snížená",J225,0)</f>
        <v>0</v>
      </c>
      <c r="BG225" s="595">
        <f>IF(N225="zákl. přenesená",J225,0)</f>
        <v>0</v>
      </c>
      <c r="BH225" s="595">
        <f>IF(N225="sníž. přenesená",J225,0)</f>
        <v>0</v>
      </c>
      <c r="BI225" s="595">
        <f>IF(N225="nulová",J225,0)</f>
        <v>0</v>
      </c>
      <c r="BJ225" s="509" t="s">
        <v>63</v>
      </c>
      <c r="BK225" s="595">
        <f>ROUND(I225*H225,2)</f>
        <v>0</v>
      </c>
      <c r="BL225" s="509" t="s">
        <v>476</v>
      </c>
      <c r="BM225" s="594" t="s">
        <v>2067</v>
      </c>
    </row>
    <row r="226" spans="2:65" s="516" customFormat="1" x14ac:dyDescent="0.2">
      <c r="B226" s="517"/>
      <c r="D226" s="596" t="s">
        <v>110</v>
      </c>
      <c r="F226" s="597" t="s">
        <v>2068</v>
      </c>
      <c r="I226" s="598"/>
      <c r="L226" s="517"/>
      <c r="M226" s="599"/>
      <c r="T226" s="600"/>
      <c r="AT226" s="509" t="s">
        <v>110</v>
      </c>
      <c r="AU226" s="509" t="s">
        <v>65</v>
      </c>
    </row>
    <row r="227" spans="2:65" s="516" customFormat="1" ht="16.5" customHeight="1" x14ac:dyDescent="0.2">
      <c r="B227" s="582"/>
      <c r="C227" s="625" t="s">
        <v>329</v>
      </c>
      <c r="D227" s="625" t="s">
        <v>252</v>
      </c>
      <c r="E227" s="626" t="s">
        <v>2069</v>
      </c>
      <c r="F227" s="627" t="s">
        <v>2063</v>
      </c>
      <c r="G227" s="628" t="s">
        <v>1</v>
      </c>
      <c r="H227" s="629">
        <v>6</v>
      </c>
      <c r="I227" s="630"/>
      <c r="J227" s="631">
        <f>ROUND(I227*H227,2)</f>
        <v>0</v>
      </c>
      <c r="K227" s="627" t="s">
        <v>1</v>
      </c>
      <c r="L227" s="632"/>
      <c r="M227" s="633" t="s">
        <v>1</v>
      </c>
      <c r="N227" s="634" t="s">
        <v>39</v>
      </c>
      <c r="P227" s="592">
        <f>O227*H227</f>
        <v>0</v>
      </c>
      <c r="Q227" s="592">
        <v>0</v>
      </c>
      <c r="R227" s="592">
        <f>Q227*H227</f>
        <v>0</v>
      </c>
      <c r="S227" s="592">
        <v>0</v>
      </c>
      <c r="T227" s="593">
        <f>S227*H227</f>
        <v>0</v>
      </c>
      <c r="AR227" s="594" t="s">
        <v>2045</v>
      </c>
      <c r="AT227" s="594" t="s">
        <v>252</v>
      </c>
      <c r="AU227" s="594" t="s">
        <v>65</v>
      </c>
      <c r="AY227" s="509" t="s">
        <v>101</v>
      </c>
      <c r="BE227" s="595">
        <f>IF(N227="základní",J227,0)</f>
        <v>0</v>
      </c>
      <c r="BF227" s="595">
        <f>IF(N227="snížená",J227,0)</f>
        <v>0</v>
      </c>
      <c r="BG227" s="595">
        <f>IF(N227="zákl. přenesená",J227,0)</f>
        <v>0</v>
      </c>
      <c r="BH227" s="595">
        <f>IF(N227="sníž. přenesená",J227,0)</f>
        <v>0</v>
      </c>
      <c r="BI227" s="595">
        <f>IF(N227="nulová",J227,0)</f>
        <v>0</v>
      </c>
      <c r="BJ227" s="509" t="s">
        <v>63</v>
      </c>
      <c r="BK227" s="595">
        <f>ROUND(I227*H227,2)</f>
        <v>0</v>
      </c>
      <c r="BL227" s="509" t="s">
        <v>2045</v>
      </c>
      <c r="BM227" s="594" t="s">
        <v>2070</v>
      </c>
    </row>
    <row r="228" spans="2:65" s="516" customFormat="1" ht="33" customHeight="1" x14ac:dyDescent="0.2">
      <c r="B228" s="582"/>
      <c r="C228" s="583" t="s">
        <v>334</v>
      </c>
      <c r="D228" s="583" t="s">
        <v>103</v>
      </c>
      <c r="E228" s="584" t="s">
        <v>2071</v>
      </c>
      <c r="F228" s="585" t="s">
        <v>2072</v>
      </c>
      <c r="G228" s="586" t="s">
        <v>314</v>
      </c>
      <c r="H228" s="587">
        <v>4</v>
      </c>
      <c r="I228" s="588"/>
      <c r="J228" s="589">
        <f>ROUND(I228*H228,2)</f>
        <v>0</v>
      </c>
      <c r="K228" s="585" t="s">
        <v>107</v>
      </c>
      <c r="L228" s="517"/>
      <c r="M228" s="590" t="s">
        <v>1</v>
      </c>
      <c r="N228" s="591" t="s">
        <v>39</v>
      </c>
      <c r="P228" s="592">
        <f>O228*H228</f>
        <v>0</v>
      </c>
      <c r="Q228" s="592">
        <v>0</v>
      </c>
      <c r="R228" s="592">
        <f>Q228*H228</f>
        <v>0</v>
      </c>
      <c r="S228" s="592">
        <v>0</v>
      </c>
      <c r="T228" s="593">
        <f>S228*H228</f>
        <v>0</v>
      </c>
      <c r="AR228" s="594" t="s">
        <v>476</v>
      </c>
      <c r="AT228" s="594" t="s">
        <v>103</v>
      </c>
      <c r="AU228" s="594" t="s">
        <v>65</v>
      </c>
      <c r="AY228" s="509" t="s">
        <v>101</v>
      </c>
      <c r="BE228" s="595">
        <f>IF(N228="základní",J228,0)</f>
        <v>0</v>
      </c>
      <c r="BF228" s="595">
        <f>IF(N228="snížená",J228,0)</f>
        <v>0</v>
      </c>
      <c r="BG228" s="595">
        <f>IF(N228="zákl. přenesená",J228,0)</f>
        <v>0</v>
      </c>
      <c r="BH228" s="595">
        <f>IF(N228="sníž. přenesená",J228,0)</f>
        <v>0</v>
      </c>
      <c r="BI228" s="595">
        <f>IF(N228="nulová",J228,0)</f>
        <v>0</v>
      </c>
      <c r="BJ228" s="509" t="s">
        <v>63</v>
      </c>
      <c r="BK228" s="595">
        <f>ROUND(I228*H228,2)</f>
        <v>0</v>
      </c>
      <c r="BL228" s="509" t="s">
        <v>476</v>
      </c>
      <c r="BM228" s="594" t="s">
        <v>2073</v>
      </c>
    </row>
    <row r="229" spans="2:65" s="516" customFormat="1" x14ac:dyDescent="0.2">
      <c r="B229" s="517"/>
      <c r="D229" s="596" t="s">
        <v>110</v>
      </c>
      <c r="F229" s="597" t="s">
        <v>2074</v>
      </c>
      <c r="I229" s="598"/>
      <c r="L229" s="517"/>
      <c r="M229" s="599"/>
      <c r="T229" s="600"/>
      <c r="AT229" s="509" t="s">
        <v>110</v>
      </c>
      <c r="AU229" s="509" t="s">
        <v>65</v>
      </c>
    </row>
    <row r="230" spans="2:65" s="516" customFormat="1" ht="16.5" customHeight="1" x14ac:dyDescent="0.2">
      <c r="B230" s="582"/>
      <c r="C230" s="625" t="s">
        <v>338</v>
      </c>
      <c r="D230" s="625" t="s">
        <v>252</v>
      </c>
      <c r="E230" s="626" t="s">
        <v>2075</v>
      </c>
      <c r="F230" s="627" t="s">
        <v>2076</v>
      </c>
      <c r="G230" s="628" t="s">
        <v>1</v>
      </c>
      <c r="H230" s="629">
        <v>4</v>
      </c>
      <c r="I230" s="630"/>
      <c r="J230" s="631">
        <f>ROUND(I230*H230,2)</f>
        <v>0</v>
      </c>
      <c r="K230" s="627" t="s">
        <v>1</v>
      </c>
      <c r="L230" s="632"/>
      <c r="M230" s="633" t="s">
        <v>1</v>
      </c>
      <c r="N230" s="634" t="s">
        <v>39</v>
      </c>
      <c r="P230" s="592">
        <f>O230*H230</f>
        <v>0</v>
      </c>
      <c r="Q230" s="592">
        <v>0</v>
      </c>
      <c r="R230" s="592">
        <f>Q230*H230</f>
        <v>0</v>
      </c>
      <c r="S230" s="592">
        <v>0</v>
      </c>
      <c r="T230" s="593">
        <f>S230*H230</f>
        <v>0</v>
      </c>
      <c r="AR230" s="594" t="s">
        <v>2045</v>
      </c>
      <c r="AT230" s="594" t="s">
        <v>252</v>
      </c>
      <c r="AU230" s="594" t="s">
        <v>65</v>
      </c>
      <c r="AY230" s="509" t="s">
        <v>101</v>
      </c>
      <c r="BE230" s="595">
        <f>IF(N230="základní",J230,0)</f>
        <v>0</v>
      </c>
      <c r="BF230" s="595">
        <f>IF(N230="snížená",J230,0)</f>
        <v>0</v>
      </c>
      <c r="BG230" s="595">
        <f>IF(N230="zákl. přenesená",J230,0)</f>
        <v>0</v>
      </c>
      <c r="BH230" s="595">
        <f>IF(N230="sníž. přenesená",J230,0)</f>
        <v>0</v>
      </c>
      <c r="BI230" s="595">
        <f>IF(N230="nulová",J230,0)</f>
        <v>0</v>
      </c>
      <c r="BJ230" s="509" t="s">
        <v>63</v>
      </c>
      <c r="BK230" s="595">
        <f>ROUND(I230*H230,2)</f>
        <v>0</v>
      </c>
      <c r="BL230" s="509" t="s">
        <v>2045</v>
      </c>
      <c r="BM230" s="594" t="s">
        <v>2077</v>
      </c>
    </row>
    <row r="231" spans="2:65" s="516" customFormat="1" ht="37.9" customHeight="1" x14ac:dyDescent="0.2">
      <c r="B231" s="582"/>
      <c r="C231" s="583" t="s">
        <v>342</v>
      </c>
      <c r="D231" s="583" t="s">
        <v>103</v>
      </c>
      <c r="E231" s="584" t="s">
        <v>2078</v>
      </c>
      <c r="F231" s="585" t="s">
        <v>2079</v>
      </c>
      <c r="G231" s="586" t="s">
        <v>314</v>
      </c>
      <c r="H231" s="587">
        <v>4</v>
      </c>
      <c r="I231" s="588"/>
      <c r="J231" s="589">
        <f>ROUND(I231*H231,2)</f>
        <v>0</v>
      </c>
      <c r="K231" s="585" t="s">
        <v>107</v>
      </c>
      <c r="L231" s="517"/>
      <c r="M231" s="590" t="s">
        <v>1</v>
      </c>
      <c r="N231" s="591" t="s">
        <v>39</v>
      </c>
      <c r="P231" s="592">
        <f>O231*H231</f>
        <v>0</v>
      </c>
      <c r="Q231" s="592">
        <v>0</v>
      </c>
      <c r="R231" s="592">
        <f>Q231*H231</f>
        <v>0</v>
      </c>
      <c r="S231" s="592">
        <v>0</v>
      </c>
      <c r="T231" s="593">
        <f>S231*H231</f>
        <v>0</v>
      </c>
      <c r="AR231" s="594" t="s">
        <v>476</v>
      </c>
      <c r="AT231" s="594" t="s">
        <v>103</v>
      </c>
      <c r="AU231" s="594" t="s">
        <v>65</v>
      </c>
      <c r="AY231" s="509" t="s">
        <v>101</v>
      </c>
      <c r="BE231" s="595">
        <f>IF(N231="základní",J231,0)</f>
        <v>0</v>
      </c>
      <c r="BF231" s="595">
        <f>IF(N231="snížená",J231,0)</f>
        <v>0</v>
      </c>
      <c r="BG231" s="595">
        <f>IF(N231="zákl. přenesená",J231,0)</f>
        <v>0</v>
      </c>
      <c r="BH231" s="595">
        <f>IF(N231="sníž. přenesená",J231,0)</f>
        <v>0</v>
      </c>
      <c r="BI231" s="595">
        <f>IF(N231="nulová",J231,0)</f>
        <v>0</v>
      </c>
      <c r="BJ231" s="509" t="s">
        <v>63</v>
      </c>
      <c r="BK231" s="595">
        <f>ROUND(I231*H231,2)</f>
        <v>0</v>
      </c>
      <c r="BL231" s="509" t="s">
        <v>476</v>
      </c>
      <c r="BM231" s="594" t="s">
        <v>2080</v>
      </c>
    </row>
    <row r="232" spans="2:65" s="516" customFormat="1" x14ac:dyDescent="0.2">
      <c r="B232" s="517"/>
      <c r="D232" s="596" t="s">
        <v>110</v>
      </c>
      <c r="F232" s="597" t="s">
        <v>2081</v>
      </c>
      <c r="I232" s="598"/>
      <c r="L232" s="517"/>
      <c r="M232" s="599"/>
      <c r="T232" s="600"/>
      <c r="AT232" s="509" t="s">
        <v>110</v>
      </c>
      <c r="AU232" s="509" t="s">
        <v>65</v>
      </c>
    </row>
    <row r="233" spans="2:65" s="516" customFormat="1" ht="16.5" customHeight="1" x14ac:dyDescent="0.2">
      <c r="B233" s="582"/>
      <c r="C233" s="625" t="s">
        <v>346</v>
      </c>
      <c r="D233" s="625" t="s">
        <v>252</v>
      </c>
      <c r="E233" s="626" t="s">
        <v>2082</v>
      </c>
      <c r="F233" s="627" t="s">
        <v>2076</v>
      </c>
      <c r="G233" s="628" t="s">
        <v>1</v>
      </c>
      <c r="H233" s="629">
        <v>4</v>
      </c>
      <c r="I233" s="630"/>
      <c r="J233" s="631">
        <f>ROUND(I233*H233,2)</f>
        <v>0</v>
      </c>
      <c r="K233" s="627" t="s">
        <v>1</v>
      </c>
      <c r="L233" s="632"/>
      <c r="M233" s="633" t="s">
        <v>1</v>
      </c>
      <c r="N233" s="634" t="s">
        <v>39</v>
      </c>
      <c r="P233" s="592">
        <f>O233*H233</f>
        <v>0</v>
      </c>
      <c r="Q233" s="592">
        <v>0</v>
      </c>
      <c r="R233" s="592">
        <f>Q233*H233</f>
        <v>0</v>
      </c>
      <c r="S233" s="592">
        <v>0</v>
      </c>
      <c r="T233" s="593">
        <f>S233*H233</f>
        <v>0</v>
      </c>
      <c r="AR233" s="594" t="s">
        <v>2045</v>
      </c>
      <c r="AT233" s="594" t="s">
        <v>252</v>
      </c>
      <c r="AU233" s="594" t="s">
        <v>65</v>
      </c>
      <c r="AY233" s="509" t="s">
        <v>101</v>
      </c>
      <c r="BE233" s="595">
        <f>IF(N233="základní",J233,0)</f>
        <v>0</v>
      </c>
      <c r="BF233" s="595">
        <f>IF(N233="snížená",J233,0)</f>
        <v>0</v>
      </c>
      <c r="BG233" s="595">
        <f>IF(N233="zákl. přenesená",J233,0)</f>
        <v>0</v>
      </c>
      <c r="BH233" s="595">
        <f>IF(N233="sníž. přenesená",J233,0)</f>
        <v>0</v>
      </c>
      <c r="BI233" s="595">
        <f>IF(N233="nulová",J233,0)</f>
        <v>0</v>
      </c>
      <c r="BJ233" s="509" t="s">
        <v>63</v>
      </c>
      <c r="BK233" s="595">
        <f>ROUND(I233*H233,2)</f>
        <v>0</v>
      </c>
      <c r="BL233" s="509" t="s">
        <v>2045</v>
      </c>
      <c r="BM233" s="594" t="s">
        <v>2083</v>
      </c>
    </row>
    <row r="234" spans="2:65" s="516" customFormat="1" ht="37.9" customHeight="1" x14ac:dyDescent="0.2">
      <c r="B234" s="582"/>
      <c r="C234" s="583" t="s">
        <v>351</v>
      </c>
      <c r="D234" s="583" t="s">
        <v>103</v>
      </c>
      <c r="E234" s="584" t="s">
        <v>2084</v>
      </c>
      <c r="F234" s="585" t="s">
        <v>2085</v>
      </c>
      <c r="G234" s="586" t="s">
        <v>314</v>
      </c>
      <c r="H234" s="587">
        <v>1</v>
      </c>
      <c r="I234" s="588"/>
      <c r="J234" s="589">
        <f>ROUND(I234*H234,2)</f>
        <v>0</v>
      </c>
      <c r="K234" s="585" t="s">
        <v>107</v>
      </c>
      <c r="L234" s="517"/>
      <c r="M234" s="590" t="s">
        <v>1</v>
      </c>
      <c r="N234" s="591" t="s">
        <v>39</v>
      </c>
      <c r="P234" s="592">
        <f>O234*H234</f>
        <v>0</v>
      </c>
      <c r="Q234" s="592">
        <v>0</v>
      </c>
      <c r="R234" s="592">
        <f>Q234*H234</f>
        <v>0</v>
      </c>
      <c r="S234" s="592">
        <v>0</v>
      </c>
      <c r="T234" s="593">
        <f>S234*H234</f>
        <v>0</v>
      </c>
      <c r="AR234" s="594" t="s">
        <v>476</v>
      </c>
      <c r="AT234" s="594" t="s">
        <v>103</v>
      </c>
      <c r="AU234" s="594" t="s">
        <v>65</v>
      </c>
      <c r="AY234" s="509" t="s">
        <v>101</v>
      </c>
      <c r="BE234" s="595">
        <f>IF(N234="základní",J234,0)</f>
        <v>0</v>
      </c>
      <c r="BF234" s="595">
        <f>IF(N234="snížená",J234,0)</f>
        <v>0</v>
      </c>
      <c r="BG234" s="595">
        <f>IF(N234="zákl. přenesená",J234,0)</f>
        <v>0</v>
      </c>
      <c r="BH234" s="595">
        <f>IF(N234="sníž. přenesená",J234,0)</f>
        <v>0</v>
      </c>
      <c r="BI234" s="595">
        <f>IF(N234="nulová",J234,0)</f>
        <v>0</v>
      </c>
      <c r="BJ234" s="509" t="s">
        <v>63</v>
      </c>
      <c r="BK234" s="595">
        <f>ROUND(I234*H234,2)</f>
        <v>0</v>
      </c>
      <c r="BL234" s="509" t="s">
        <v>476</v>
      </c>
      <c r="BM234" s="594" t="s">
        <v>2086</v>
      </c>
    </row>
    <row r="235" spans="2:65" s="516" customFormat="1" x14ac:dyDescent="0.2">
      <c r="B235" s="517"/>
      <c r="D235" s="596" t="s">
        <v>110</v>
      </c>
      <c r="F235" s="597" t="s">
        <v>2087</v>
      </c>
      <c r="I235" s="598"/>
      <c r="L235" s="517"/>
      <c r="M235" s="599"/>
      <c r="T235" s="600"/>
      <c r="AT235" s="509" t="s">
        <v>110</v>
      </c>
      <c r="AU235" s="509" t="s">
        <v>65</v>
      </c>
    </row>
    <row r="236" spans="2:65" s="516" customFormat="1" ht="16.5" customHeight="1" x14ac:dyDescent="0.2">
      <c r="B236" s="582"/>
      <c r="C236" s="625" t="s">
        <v>355</v>
      </c>
      <c r="D236" s="625" t="s">
        <v>252</v>
      </c>
      <c r="E236" s="626" t="s">
        <v>2088</v>
      </c>
      <c r="F236" s="627" t="s">
        <v>2089</v>
      </c>
      <c r="G236" s="628" t="s">
        <v>1</v>
      </c>
      <c r="H236" s="629">
        <v>1</v>
      </c>
      <c r="I236" s="630"/>
      <c r="J236" s="631">
        <f>ROUND(I236*H236,2)</f>
        <v>0</v>
      </c>
      <c r="K236" s="627" t="s">
        <v>1</v>
      </c>
      <c r="L236" s="632"/>
      <c r="M236" s="633" t="s">
        <v>1</v>
      </c>
      <c r="N236" s="634" t="s">
        <v>39</v>
      </c>
      <c r="P236" s="592">
        <f>O236*H236</f>
        <v>0</v>
      </c>
      <c r="Q236" s="592">
        <v>0</v>
      </c>
      <c r="R236" s="592">
        <f>Q236*H236</f>
        <v>0</v>
      </c>
      <c r="S236" s="592">
        <v>0</v>
      </c>
      <c r="T236" s="593">
        <f>S236*H236</f>
        <v>0</v>
      </c>
      <c r="AR236" s="594" t="s">
        <v>2045</v>
      </c>
      <c r="AT236" s="594" t="s">
        <v>252</v>
      </c>
      <c r="AU236" s="594" t="s">
        <v>65</v>
      </c>
      <c r="AY236" s="509" t="s">
        <v>101</v>
      </c>
      <c r="BE236" s="595">
        <f>IF(N236="základní",J236,0)</f>
        <v>0</v>
      </c>
      <c r="BF236" s="595">
        <f>IF(N236="snížená",J236,0)</f>
        <v>0</v>
      </c>
      <c r="BG236" s="595">
        <f>IF(N236="zákl. přenesená",J236,0)</f>
        <v>0</v>
      </c>
      <c r="BH236" s="595">
        <f>IF(N236="sníž. přenesená",J236,0)</f>
        <v>0</v>
      </c>
      <c r="BI236" s="595">
        <f>IF(N236="nulová",J236,0)</f>
        <v>0</v>
      </c>
      <c r="BJ236" s="509" t="s">
        <v>63</v>
      </c>
      <c r="BK236" s="595">
        <f>ROUND(I236*H236,2)</f>
        <v>0</v>
      </c>
      <c r="BL236" s="509" t="s">
        <v>2045</v>
      </c>
      <c r="BM236" s="594" t="s">
        <v>2090</v>
      </c>
    </row>
    <row r="237" spans="2:65" s="516" customFormat="1" ht="37.9" customHeight="1" x14ac:dyDescent="0.2">
      <c r="B237" s="582"/>
      <c r="C237" s="583" t="s">
        <v>359</v>
      </c>
      <c r="D237" s="583" t="s">
        <v>103</v>
      </c>
      <c r="E237" s="584" t="s">
        <v>2091</v>
      </c>
      <c r="F237" s="585" t="s">
        <v>2092</v>
      </c>
      <c r="G237" s="586" t="s">
        <v>314</v>
      </c>
      <c r="H237" s="587">
        <v>2</v>
      </c>
      <c r="I237" s="588"/>
      <c r="J237" s="589">
        <f>ROUND(I237*H237,2)</f>
        <v>0</v>
      </c>
      <c r="K237" s="585" t="s">
        <v>107</v>
      </c>
      <c r="L237" s="517"/>
      <c r="M237" s="590" t="s">
        <v>1</v>
      </c>
      <c r="N237" s="591" t="s">
        <v>39</v>
      </c>
      <c r="P237" s="592">
        <f>O237*H237</f>
        <v>0</v>
      </c>
      <c r="Q237" s="592">
        <v>0</v>
      </c>
      <c r="R237" s="592">
        <f>Q237*H237</f>
        <v>0</v>
      </c>
      <c r="S237" s="592">
        <v>0</v>
      </c>
      <c r="T237" s="593">
        <f>S237*H237</f>
        <v>0</v>
      </c>
      <c r="AR237" s="594" t="s">
        <v>476</v>
      </c>
      <c r="AT237" s="594" t="s">
        <v>103</v>
      </c>
      <c r="AU237" s="594" t="s">
        <v>65</v>
      </c>
      <c r="AY237" s="509" t="s">
        <v>101</v>
      </c>
      <c r="BE237" s="595">
        <f>IF(N237="základní",J237,0)</f>
        <v>0</v>
      </c>
      <c r="BF237" s="595">
        <f>IF(N237="snížená",J237,0)</f>
        <v>0</v>
      </c>
      <c r="BG237" s="595">
        <f>IF(N237="zákl. přenesená",J237,0)</f>
        <v>0</v>
      </c>
      <c r="BH237" s="595">
        <f>IF(N237="sníž. přenesená",J237,0)</f>
        <v>0</v>
      </c>
      <c r="BI237" s="595">
        <f>IF(N237="nulová",J237,0)</f>
        <v>0</v>
      </c>
      <c r="BJ237" s="509" t="s">
        <v>63</v>
      </c>
      <c r="BK237" s="595">
        <f>ROUND(I237*H237,2)</f>
        <v>0</v>
      </c>
      <c r="BL237" s="509" t="s">
        <v>476</v>
      </c>
      <c r="BM237" s="594" t="s">
        <v>2093</v>
      </c>
    </row>
    <row r="238" spans="2:65" s="516" customFormat="1" x14ac:dyDescent="0.2">
      <c r="B238" s="517"/>
      <c r="D238" s="596" t="s">
        <v>110</v>
      </c>
      <c r="F238" s="597" t="s">
        <v>2094</v>
      </c>
      <c r="I238" s="598"/>
      <c r="L238" s="517"/>
      <c r="M238" s="599"/>
      <c r="T238" s="600"/>
      <c r="AT238" s="509" t="s">
        <v>110</v>
      </c>
      <c r="AU238" s="509" t="s">
        <v>65</v>
      </c>
    </row>
    <row r="239" spans="2:65" s="516" customFormat="1" ht="16.5" customHeight="1" x14ac:dyDescent="0.2">
      <c r="B239" s="582"/>
      <c r="C239" s="625" t="s">
        <v>363</v>
      </c>
      <c r="D239" s="625" t="s">
        <v>252</v>
      </c>
      <c r="E239" s="626" t="s">
        <v>2095</v>
      </c>
      <c r="F239" s="627" t="s">
        <v>2089</v>
      </c>
      <c r="G239" s="628" t="s">
        <v>1</v>
      </c>
      <c r="H239" s="629">
        <v>2</v>
      </c>
      <c r="I239" s="630"/>
      <c r="J239" s="631">
        <f>ROUND(I239*H239,2)</f>
        <v>0</v>
      </c>
      <c r="K239" s="627" t="s">
        <v>1</v>
      </c>
      <c r="L239" s="632"/>
      <c r="M239" s="633" t="s">
        <v>1</v>
      </c>
      <c r="N239" s="634" t="s">
        <v>39</v>
      </c>
      <c r="P239" s="592">
        <f>O239*H239</f>
        <v>0</v>
      </c>
      <c r="Q239" s="592">
        <v>0</v>
      </c>
      <c r="R239" s="592">
        <f>Q239*H239</f>
        <v>0</v>
      </c>
      <c r="S239" s="592">
        <v>0</v>
      </c>
      <c r="T239" s="593">
        <f>S239*H239</f>
        <v>0</v>
      </c>
      <c r="AR239" s="594" t="s">
        <v>2045</v>
      </c>
      <c r="AT239" s="594" t="s">
        <v>252</v>
      </c>
      <c r="AU239" s="594" t="s">
        <v>65</v>
      </c>
      <c r="AY239" s="509" t="s">
        <v>101</v>
      </c>
      <c r="BE239" s="595">
        <f>IF(N239="základní",J239,0)</f>
        <v>0</v>
      </c>
      <c r="BF239" s="595">
        <f>IF(N239="snížená",J239,0)</f>
        <v>0</v>
      </c>
      <c r="BG239" s="595">
        <f>IF(N239="zákl. přenesená",J239,0)</f>
        <v>0</v>
      </c>
      <c r="BH239" s="595">
        <f>IF(N239="sníž. přenesená",J239,0)</f>
        <v>0</v>
      </c>
      <c r="BI239" s="595">
        <f>IF(N239="nulová",J239,0)</f>
        <v>0</v>
      </c>
      <c r="BJ239" s="509" t="s">
        <v>63</v>
      </c>
      <c r="BK239" s="595">
        <f>ROUND(I239*H239,2)</f>
        <v>0</v>
      </c>
      <c r="BL239" s="509" t="s">
        <v>2045</v>
      </c>
      <c r="BM239" s="594" t="s">
        <v>2096</v>
      </c>
    </row>
    <row r="240" spans="2:65" s="516" customFormat="1" ht="24.2" customHeight="1" x14ac:dyDescent="0.2">
      <c r="B240" s="582"/>
      <c r="C240" s="583" t="s">
        <v>368</v>
      </c>
      <c r="D240" s="583" t="s">
        <v>103</v>
      </c>
      <c r="E240" s="584" t="s">
        <v>2097</v>
      </c>
      <c r="F240" s="585" t="s">
        <v>2098</v>
      </c>
      <c r="G240" s="586" t="s">
        <v>314</v>
      </c>
      <c r="H240" s="587">
        <v>21</v>
      </c>
      <c r="I240" s="588"/>
      <c r="J240" s="589">
        <f>ROUND(I240*H240,2)</f>
        <v>0</v>
      </c>
      <c r="K240" s="585" t="s">
        <v>107</v>
      </c>
      <c r="L240" s="517"/>
      <c r="M240" s="590" t="s">
        <v>1</v>
      </c>
      <c r="N240" s="591" t="s">
        <v>39</v>
      </c>
      <c r="P240" s="592">
        <f>O240*H240</f>
        <v>0</v>
      </c>
      <c r="Q240" s="592">
        <v>0</v>
      </c>
      <c r="R240" s="592">
        <f>Q240*H240</f>
        <v>0</v>
      </c>
      <c r="S240" s="592">
        <v>0</v>
      </c>
      <c r="T240" s="593">
        <f>S240*H240</f>
        <v>0</v>
      </c>
      <c r="AR240" s="594" t="s">
        <v>476</v>
      </c>
      <c r="AT240" s="594" t="s">
        <v>103</v>
      </c>
      <c r="AU240" s="594" t="s">
        <v>65</v>
      </c>
      <c r="AY240" s="509" t="s">
        <v>101</v>
      </c>
      <c r="BE240" s="595">
        <f>IF(N240="základní",J240,0)</f>
        <v>0</v>
      </c>
      <c r="BF240" s="595">
        <f>IF(N240="snížená",J240,0)</f>
        <v>0</v>
      </c>
      <c r="BG240" s="595">
        <f>IF(N240="zákl. přenesená",J240,0)</f>
        <v>0</v>
      </c>
      <c r="BH240" s="595">
        <f>IF(N240="sníž. přenesená",J240,0)</f>
        <v>0</v>
      </c>
      <c r="BI240" s="595">
        <f>IF(N240="nulová",J240,0)</f>
        <v>0</v>
      </c>
      <c r="BJ240" s="509" t="s">
        <v>63</v>
      </c>
      <c r="BK240" s="595">
        <f>ROUND(I240*H240,2)</f>
        <v>0</v>
      </c>
      <c r="BL240" s="509" t="s">
        <v>476</v>
      </c>
      <c r="BM240" s="594" t="s">
        <v>2099</v>
      </c>
    </row>
    <row r="241" spans="2:65" s="516" customFormat="1" x14ac:dyDescent="0.2">
      <c r="B241" s="517"/>
      <c r="D241" s="596" t="s">
        <v>110</v>
      </c>
      <c r="F241" s="597" t="s">
        <v>2100</v>
      </c>
      <c r="I241" s="598"/>
      <c r="L241" s="517"/>
      <c r="M241" s="599"/>
      <c r="T241" s="600"/>
      <c r="AT241" s="509" t="s">
        <v>110</v>
      </c>
      <c r="AU241" s="509" t="s">
        <v>65</v>
      </c>
    </row>
    <row r="242" spans="2:65" s="516" customFormat="1" ht="16.5" customHeight="1" x14ac:dyDescent="0.2">
      <c r="B242" s="582"/>
      <c r="C242" s="583" t="s">
        <v>372</v>
      </c>
      <c r="D242" s="583" t="s">
        <v>103</v>
      </c>
      <c r="E242" s="584" t="s">
        <v>2101</v>
      </c>
      <c r="F242" s="585" t="s">
        <v>2102</v>
      </c>
      <c r="G242" s="586" t="s">
        <v>314</v>
      </c>
      <c r="H242" s="587">
        <v>21</v>
      </c>
      <c r="I242" s="588"/>
      <c r="J242" s="589">
        <f>ROUND(I242*H242,2)</f>
        <v>0</v>
      </c>
      <c r="K242" s="585" t="s">
        <v>1</v>
      </c>
      <c r="L242" s="517"/>
      <c r="M242" s="590" t="s">
        <v>1</v>
      </c>
      <c r="N242" s="591" t="s">
        <v>39</v>
      </c>
      <c r="P242" s="592">
        <f>O242*H242</f>
        <v>0</v>
      </c>
      <c r="Q242" s="592">
        <v>0</v>
      </c>
      <c r="R242" s="592">
        <f>Q242*H242</f>
        <v>0</v>
      </c>
      <c r="S242" s="592">
        <v>0</v>
      </c>
      <c r="T242" s="593">
        <f>S242*H242</f>
        <v>0</v>
      </c>
      <c r="AR242" s="594" t="s">
        <v>476</v>
      </c>
      <c r="AT242" s="594" t="s">
        <v>103</v>
      </c>
      <c r="AU242" s="594" t="s">
        <v>65</v>
      </c>
      <c r="AY242" s="509" t="s">
        <v>101</v>
      </c>
      <c r="BE242" s="595">
        <f>IF(N242="základní",J242,0)</f>
        <v>0</v>
      </c>
      <c r="BF242" s="595">
        <f>IF(N242="snížená",J242,0)</f>
        <v>0</v>
      </c>
      <c r="BG242" s="595">
        <f>IF(N242="zákl. přenesená",J242,0)</f>
        <v>0</v>
      </c>
      <c r="BH242" s="595">
        <f>IF(N242="sníž. přenesená",J242,0)</f>
        <v>0</v>
      </c>
      <c r="BI242" s="595">
        <f>IF(N242="nulová",J242,0)</f>
        <v>0</v>
      </c>
      <c r="BJ242" s="509" t="s">
        <v>63</v>
      </c>
      <c r="BK242" s="595">
        <f>ROUND(I242*H242,2)</f>
        <v>0</v>
      </c>
      <c r="BL242" s="509" t="s">
        <v>476</v>
      </c>
      <c r="BM242" s="594" t="s">
        <v>2103</v>
      </c>
    </row>
    <row r="243" spans="2:65" s="516" customFormat="1" ht="24.2" customHeight="1" x14ac:dyDescent="0.2">
      <c r="B243" s="582"/>
      <c r="C243" s="583" t="s">
        <v>376</v>
      </c>
      <c r="D243" s="583" t="s">
        <v>103</v>
      </c>
      <c r="E243" s="584" t="s">
        <v>2104</v>
      </c>
      <c r="F243" s="585" t="s">
        <v>2105</v>
      </c>
      <c r="G243" s="586" t="s">
        <v>231</v>
      </c>
      <c r="H243" s="587">
        <v>14.62</v>
      </c>
      <c r="I243" s="588"/>
      <c r="J243" s="589">
        <f>ROUND(I243*H243,2)</f>
        <v>0</v>
      </c>
      <c r="K243" s="585" t="s">
        <v>107</v>
      </c>
      <c r="L243" s="517"/>
      <c r="M243" s="590" t="s">
        <v>1</v>
      </c>
      <c r="N243" s="591" t="s">
        <v>39</v>
      </c>
      <c r="P243" s="592">
        <f>O243*H243</f>
        <v>0</v>
      </c>
      <c r="Q243" s="592">
        <v>0</v>
      </c>
      <c r="R243" s="592">
        <f>Q243*H243</f>
        <v>0</v>
      </c>
      <c r="S243" s="592">
        <v>0</v>
      </c>
      <c r="T243" s="593">
        <f>S243*H243</f>
        <v>0</v>
      </c>
      <c r="AR243" s="594" t="s">
        <v>476</v>
      </c>
      <c r="AT243" s="594" t="s">
        <v>103</v>
      </c>
      <c r="AU243" s="594" t="s">
        <v>65</v>
      </c>
      <c r="AY243" s="509" t="s">
        <v>101</v>
      </c>
      <c r="BE243" s="595">
        <f>IF(N243="základní",J243,0)</f>
        <v>0</v>
      </c>
      <c r="BF243" s="595">
        <f>IF(N243="snížená",J243,0)</f>
        <v>0</v>
      </c>
      <c r="BG243" s="595">
        <f>IF(N243="zákl. přenesená",J243,0)</f>
        <v>0</v>
      </c>
      <c r="BH243" s="595">
        <f>IF(N243="sníž. přenesená",J243,0)</f>
        <v>0</v>
      </c>
      <c r="BI243" s="595">
        <f>IF(N243="nulová",J243,0)</f>
        <v>0</v>
      </c>
      <c r="BJ243" s="509" t="s">
        <v>63</v>
      </c>
      <c r="BK243" s="595">
        <f>ROUND(I243*H243,2)</f>
        <v>0</v>
      </c>
      <c r="BL243" s="509" t="s">
        <v>476</v>
      </c>
      <c r="BM243" s="594" t="s">
        <v>2106</v>
      </c>
    </row>
    <row r="244" spans="2:65" s="516" customFormat="1" x14ac:dyDescent="0.2">
      <c r="B244" s="517"/>
      <c r="D244" s="596" t="s">
        <v>110</v>
      </c>
      <c r="F244" s="597" t="s">
        <v>2107</v>
      </c>
      <c r="I244" s="598"/>
      <c r="L244" s="517"/>
      <c r="M244" s="635"/>
      <c r="N244" s="636"/>
      <c r="O244" s="636"/>
      <c r="P244" s="636"/>
      <c r="Q244" s="636"/>
      <c r="R244" s="636"/>
      <c r="S244" s="636"/>
      <c r="T244" s="637"/>
      <c r="AT244" s="509" t="s">
        <v>110</v>
      </c>
      <c r="AU244" s="509" t="s">
        <v>65</v>
      </c>
    </row>
    <row r="245" spans="2:65" s="516" customFormat="1" ht="6.95" customHeight="1" x14ac:dyDescent="0.2">
      <c r="B245" s="538"/>
      <c r="C245" s="539"/>
      <c r="D245" s="539"/>
      <c r="E245" s="539"/>
      <c r="F245" s="539"/>
      <c r="G245" s="539"/>
      <c r="H245" s="539"/>
      <c r="I245" s="539"/>
      <c r="J245" s="539"/>
      <c r="K245" s="539"/>
      <c r="L245" s="517"/>
    </row>
  </sheetData>
  <autoFilter ref="C86:K244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E1DEF4D6-EB1C-4B4D-8046-7F468E6BCEE9}"/>
    <hyperlink ref="F106" r:id="rId2" xr:uid="{D852E239-B91B-4366-8BF0-3484D99E12F9}"/>
    <hyperlink ref="F121" r:id="rId3" xr:uid="{516E4790-C1D5-4A8F-81C3-602697829984}"/>
    <hyperlink ref="F136" r:id="rId4" xr:uid="{4F053893-7A53-4853-B3B2-60396DFBF652}"/>
    <hyperlink ref="F142" r:id="rId5" xr:uid="{E667B6DD-B224-485A-83B4-6DD7D8AACF7B}"/>
    <hyperlink ref="F144" r:id="rId6" xr:uid="{606B7C3A-A9ED-406B-84EF-24B0118B9BF7}"/>
    <hyperlink ref="F146" r:id="rId7" xr:uid="{3BDAB7AA-0105-4642-86DB-DF758FEF54B6}"/>
    <hyperlink ref="F149" r:id="rId8" xr:uid="{35B537B5-590D-4739-BEFD-3F9053D9C66A}"/>
    <hyperlink ref="F151" r:id="rId9" xr:uid="{A418009A-5899-474E-8BDC-5F4C61B503C3}"/>
    <hyperlink ref="F154" r:id="rId10" xr:uid="{38968548-348C-4AE6-8259-B3CF94F66314}"/>
    <hyperlink ref="F160" r:id="rId11" xr:uid="{AE49F93B-DE89-4CE0-986F-8E9AD727DDB2}"/>
    <hyperlink ref="F162" r:id="rId12" xr:uid="{75BD588F-C2A1-4B59-A200-CDDA56BE37E7}"/>
    <hyperlink ref="F165" r:id="rId13" xr:uid="{78EEE867-3A2F-4192-866E-59ADCE2E1358}"/>
    <hyperlink ref="F167" r:id="rId14" xr:uid="{C4886464-E506-44E6-A345-79101FB88ABF}"/>
    <hyperlink ref="F174" r:id="rId15" xr:uid="{E55608E0-F935-4DE6-8DD4-B593D48DFE84}"/>
    <hyperlink ref="F178" r:id="rId16" xr:uid="{B5AEC9D2-2937-44EC-B91E-4097CE1327D6}"/>
    <hyperlink ref="F182" r:id="rId17" xr:uid="{BA98164A-B13F-49DF-999F-612D1B2DA0F3}"/>
    <hyperlink ref="F188" r:id="rId18" xr:uid="{7498388B-1365-4187-A046-49E7B1A93A88}"/>
    <hyperlink ref="F191" r:id="rId19" xr:uid="{538B7F46-0D72-45B6-B95B-A90C7AA9D4BD}"/>
    <hyperlink ref="F197" r:id="rId20" xr:uid="{B4330569-2DB6-4D77-BDFA-701A8D4B7DF1}"/>
    <hyperlink ref="F204" r:id="rId21" xr:uid="{3C62BA3E-0EAF-4169-9A78-30D75BF2BF35}"/>
    <hyperlink ref="F207" r:id="rId22" xr:uid="{6D6BD8D9-D3A3-446D-BBB3-D515E283B054}"/>
    <hyperlink ref="F209" r:id="rId23" xr:uid="{326DB1B7-96F4-41FF-A6A2-179B59D0AE79}"/>
    <hyperlink ref="F213" r:id="rId24" xr:uid="{69D7945E-C223-41AC-8237-822ABCDB69C3}"/>
    <hyperlink ref="F217" r:id="rId25" xr:uid="{AC2B88C5-7930-46E2-94E4-D28E4F2107A4}"/>
    <hyperlink ref="F223" r:id="rId26" xr:uid="{33272B6F-C3B0-4A3B-AD74-FB9A1481753C}"/>
    <hyperlink ref="F226" r:id="rId27" xr:uid="{4FEACBF6-5745-407A-934A-71E1E6430890}"/>
    <hyperlink ref="F229" r:id="rId28" xr:uid="{CC090E6C-9F4E-417A-AE2C-7A833D796FBA}"/>
    <hyperlink ref="F232" r:id="rId29" xr:uid="{A18F0F1B-545E-4851-8530-2372E29CC3AC}"/>
    <hyperlink ref="F235" r:id="rId30" xr:uid="{3EF834B5-8CA5-460B-82FE-56073C079BE3}"/>
    <hyperlink ref="F238" r:id="rId31" xr:uid="{DFCF5013-0235-4511-8A2D-54C35CC78562}"/>
    <hyperlink ref="F241" r:id="rId32" xr:uid="{EF35EFE8-DE94-4DB4-A75D-E026297DF5D1}"/>
    <hyperlink ref="F244" r:id="rId33" xr:uid="{26D2C8A3-EEBC-4322-9802-1A560EB224BE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9300-B560-4AD2-98A4-D2BA758CF598}">
  <sheetPr>
    <pageSetUpPr fitToPage="1"/>
  </sheetPr>
  <dimension ref="A1:E16"/>
  <sheetViews>
    <sheetView workbookViewId="0">
      <selection activeCell="D26" sqref="D26"/>
    </sheetView>
  </sheetViews>
  <sheetFormatPr defaultRowHeight="15" x14ac:dyDescent="0.25"/>
  <cols>
    <col min="1" max="2" width="37.83203125" style="364" customWidth="1"/>
    <col min="3" max="5" width="22.6640625" style="364" customWidth="1"/>
    <col min="6" max="16384" width="9.33203125" style="364"/>
  </cols>
  <sheetData>
    <row r="1" spans="1:5" x14ac:dyDescent="0.25">
      <c r="A1" s="453" t="s">
        <v>1609</v>
      </c>
      <c r="B1" s="455" t="s">
        <v>1608</v>
      </c>
      <c r="C1" s="365"/>
      <c r="D1" s="365"/>
      <c r="E1" s="365"/>
    </row>
    <row r="2" spans="1:5" x14ac:dyDescent="0.25">
      <c r="A2" s="453"/>
      <c r="B2" s="666" t="s">
        <v>1607</v>
      </c>
      <c r="C2" s="365"/>
      <c r="D2" s="365"/>
      <c r="E2" s="365"/>
    </row>
    <row r="3" spans="1:5" x14ac:dyDescent="0.25">
      <c r="A3" s="365"/>
      <c r="B3" s="667"/>
      <c r="C3" s="365"/>
      <c r="D3" s="365"/>
      <c r="E3" s="365"/>
    </row>
    <row r="4" spans="1:5" x14ac:dyDescent="0.25">
      <c r="A4" s="365"/>
      <c r="B4" s="666" t="s">
        <v>1606</v>
      </c>
      <c r="C4" s="667"/>
      <c r="D4" s="667"/>
      <c r="E4" s="667"/>
    </row>
    <row r="5" spans="1:5" x14ac:dyDescent="0.25">
      <c r="A5" s="365"/>
      <c r="B5" s="365"/>
      <c r="C5" s="365"/>
      <c r="D5" s="365"/>
      <c r="E5" s="365"/>
    </row>
    <row r="6" spans="1:5" x14ac:dyDescent="0.25">
      <c r="A6" s="365"/>
      <c r="B6" s="456" t="s">
        <v>1605</v>
      </c>
      <c r="C6" s="457">
        <f>SUM(C10:C16)</f>
        <v>0</v>
      </c>
      <c r="D6" s="365"/>
      <c r="E6" s="365"/>
    </row>
    <row r="7" spans="1:5" x14ac:dyDescent="0.25">
      <c r="A7" s="365"/>
      <c r="B7" s="456" t="s">
        <v>1604</v>
      </c>
      <c r="C7" s="457">
        <f>SUM(E10:E16)</f>
        <v>0</v>
      </c>
      <c r="D7" s="365"/>
      <c r="E7" s="365"/>
    </row>
    <row r="8" spans="1:5" x14ac:dyDescent="0.25">
      <c r="A8" s="365"/>
      <c r="B8" s="365"/>
      <c r="C8" s="365"/>
      <c r="D8" s="365"/>
      <c r="E8" s="365"/>
    </row>
    <row r="9" spans="1:5" x14ac:dyDescent="0.25">
      <c r="A9" s="447" t="s">
        <v>1371</v>
      </c>
      <c r="B9" s="447" t="s">
        <v>49</v>
      </c>
      <c r="C9" s="447" t="s">
        <v>34</v>
      </c>
      <c r="D9" s="447" t="s">
        <v>38</v>
      </c>
      <c r="E9" s="447" t="s">
        <v>44</v>
      </c>
    </row>
    <row r="10" spans="1:5" x14ac:dyDescent="0.25">
      <c r="A10" s="458" t="s">
        <v>1603</v>
      </c>
      <c r="B10" s="458" t="s">
        <v>1602</v>
      </c>
      <c r="C10" s="459">
        <f>'101001N'!I3</f>
        <v>0</v>
      </c>
      <c r="D10" s="459">
        <f t="shared" ref="D10:D15" si="0">C10*0.21</f>
        <v>0</v>
      </c>
      <c r="E10" s="459">
        <f t="shared" ref="E10:E16" si="1">C10+D10</f>
        <v>0</v>
      </c>
    </row>
    <row r="11" spans="1:5" x14ac:dyDescent="0.25">
      <c r="A11" s="458" t="s">
        <v>1601</v>
      </c>
      <c r="B11" s="458" t="s">
        <v>1600</v>
      </c>
      <c r="C11" s="459">
        <f>'101001U'!I3</f>
        <v>0</v>
      </c>
      <c r="D11" s="459">
        <f t="shared" si="0"/>
        <v>0</v>
      </c>
      <c r="E11" s="459">
        <f t="shared" si="1"/>
        <v>0</v>
      </c>
    </row>
    <row r="12" spans="1:5" ht="25.5" x14ac:dyDescent="0.25">
      <c r="A12" s="458" t="s">
        <v>1599</v>
      </c>
      <c r="B12" s="458" t="s">
        <v>1598</v>
      </c>
      <c r="C12" s="459">
        <f>'101101.1'!I3</f>
        <v>0</v>
      </c>
      <c r="D12" s="459">
        <f t="shared" si="0"/>
        <v>0</v>
      </c>
      <c r="E12" s="459">
        <f t="shared" si="1"/>
        <v>0</v>
      </c>
    </row>
    <row r="13" spans="1:5" x14ac:dyDescent="0.25">
      <c r="A13" s="458" t="s">
        <v>1597</v>
      </c>
      <c r="B13" s="458" t="s">
        <v>1596</v>
      </c>
      <c r="C13" s="459">
        <f>'101101.2'!I3</f>
        <v>0</v>
      </c>
      <c r="D13" s="459">
        <f t="shared" si="0"/>
        <v>0</v>
      </c>
      <c r="E13" s="459">
        <f t="shared" si="1"/>
        <v>0</v>
      </c>
    </row>
    <row r="14" spans="1:5" x14ac:dyDescent="0.25">
      <c r="A14" s="458" t="s">
        <v>1595</v>
      </c>
      <c r="B14" s="458" t="s">
        <v>1594</v>
      </c>
      <c r="C14" s="459">
        <f>'101101.3'!I3</f>
        <v>0</v>
      </c>
      <c r="D14" s="459">
        <f t="shared" si="0"/>
        <v>0</v>
      </c>
      <c r="E14" s="459">
        <f t="shared" si="1"/>
        <v>0</v>
      </c>
    </row>
    <row r="15" spans="1:5" x14ac:dyDescent="0.25">
      <c r="A15" s="458" t="s">
        <v>1593</v>
      </c>
      <c r="B15" s="458" t="str">
        <f>'[1]101101.4'!E5</f>
        <v>Komunikace km 0,000 - 0,098</v>
      </c>
      <c r="C15" s="459">
        <f>'101101.4'!I3</f>
        <v>0</v>
      </c>
      <c r="D15" s="459">
        <f t="shared" si="0"/>
        <v>0</v>
      </c>
      <c r="E15" s="459">
        <f t="shared" si="1"/>
        <v>0</v>
      </c>
    </row>
    <row r="16" spans="1:5" x14ac:dyDescent="0.25">
      <c r="A16" s="458" t="s">
        <v>1895</v>
      </c>
      <c r="B16" s="458" t="str">
        <f>'101101.5'!E5</f>
        <v>Komunikace km 0,098 - KÚ</v>
      </c>
      <c r="C16" s="459">
        <f>'101101.5'!I3</f>
        <v>0</v>
      </c>
      <c r="D16" s="459">
        <f>C16*0.21</f>
        <v>0</v>
      </c>
      <c r="E16" s="459">
        <f t="shared" si="1"/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E827-22B5-4630-824C-6AEC25DFCFB5}">
  <sheetPr>
    <pageSetUpPr fitToPage="1"/>
  </sheetPr>
  <dimension ref="A1:P21"/>
  <sheetViews>
    <sheetView topLeftCell="B1" workbookViewId="0">
      <selection activeCell="H20" sqref="H20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3" t="s">
        <v>1639</v>
      </c>
      <c r="D3" s="684"/>
      <c r="E3" s="450" t="s">
        <v>1638</v>
      </c>
      <c r="F3" s="365"/>
      <c r="G3" s="365"/>
      <c r="H3" s="382" t="s">
        <v>1603</v>
      </c>
      <c r="I3" s="381">
        <f>SUMIFS(I9:I21,A9:A21,"SD")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3" t="s">
        <v>1003</v>
      </c>
      <c r="D4" s="684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3" t="s">
        <v>1603</v>
      </c>
      <c r="D5" s="684"/>
      <c r="E5" s="450" t="s">
        <v>1602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5" t="s">
        <v>52</v>
      </c>
      <c r="B6" s="686" t="s">
        <v>1634</v>
      </c>
      <c r="C6" s="687" t="s">
        <v>1369</v>
      </c>
      <c r="D6" s="687" t="s">
        <v>1633</v>
      </c>
      <c r="E6" s="687" t="s">
        <v>1632</v>
      </c>
      <c r="F6" s="687" t="s">
        <v>88</v>
      </c>
      <c r="G6" s="687" t="s">
        <v>89</v>
      </c>
      <c r="H6" s="687" t="s">
        <v>1631</v>
      </c>
      <c r="I6" s="687"/>
      <c r="J6" s="688" t="s">
        <v>91</v>
      </c>
    </row>
    <row r="7" spans="1:16" x14ac:dyDescent="0.25">
      <c r="A7" s="685"/>
      <c r="B7" s="686"/>
      <c r="C7" s="687"/>
      <c r="D7" s="687"/>
      <c r="E7" s="687"/>
      <c r="F7" s="687"/>
      <c r="G7" s="687"/>
      <c r="H7" s="447" t="s">
        <v>1630</v>
      </c>
      <c r="I7" s="447" t="s">
        <v>1579</v>
      </c>
      <c r="J7" s="688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SUMIFS(I10:I21,A10:A21,"P")</f>
        <v>0</v>
      </c>
      <c r="J9" s="379"/>
    </row>
    <row r="10" spans="1:16" x14ac:dyDescent="0.25">
      <c r="A10" s="370" t="s">
        <v>1617</v>
      </c>
      <c r="B10" s="370">
        <v>1</v>
      </c>
      <c r="C10" s="378" t="s">
        <v>1627</v>
      </c>
      <c r="D10" s="370" t="s">
        <v>1</v>
      </c>
      <c r="E10" s="368" t="s">
        <v>1626</v>
      </c>
      <c r="F10" s="375" t="s">
        <v>1614</v>
      </c>
      <c r="G10" s="377">
        <v>1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ht="30" x14ac:dyDescent="0.25">
      <c r="A11" s="370" t="s">
        <v>1612</v>
      </c>
      <c r="B11" s="373"/>
      <c r="E11" s="368" t="s">
        <v>1625</v>
      </c>
      <c r="J11" s="371"/>
    </row>
    <row r="12" spans="1:16" ht="30" x14ac:dyDescent="0.25">
      <c r="A12" s="370" t="s">
        <v>1611</v>
      </c>
      <c r="B12" s="373"/>
      <c r="E12" s="368" t="s">
        <v>1618</v>
      </c>
      <c r="J12" s="371"/>
    </row>
    <row r="13" spans="1:16" x14ac:dyDescent="0.25">
      <c r="A13" s="370" t="s">
        <v>1617</v>
      </c>
      <c r="B13" s="370">
        <v>2</v>
      </c>
      <c r="C13" s="378" t="s">
        <v>1624</v>
      </c>
      <c r="D13" s="370" t="s">
        <v>1</v>
      </c>
      <c r="E13" s="368" t="s">
        <v>1623</v>
      </c>
      <c r="F13" s="375" t="s">
        <v>1622</v>
      </c>
      <c r="G13" s="377">
        <v>1</v>
      </c>
      <c r="H13" s="376">
        <v>0</v>
      </c>
      <c r="I13" s="376">
        <f>ROUND(G13*H13,P4)</f>
        <v>0</v>
      </c>
      <c r="J13" s="375" t="s">
        <v>1613</v>
      </c>
      <c r="O13" s="374">
        <f>I13*0.21</f>
        <v>0</v>
      </c>
      <c r="P13" s="364">
        <v>3</v>
      </c>
    </row>
    <row r="14" spans="1:16" ht="30" x14ac:dyDescent="0.25">
      <c r="A14" s="370" t="s">
        <v>1612</v>
      </c>
      <c r="B14" s="373"/>
      <c r="E14" s="368" t="s">
        <v>1621</v>
      </c>
      <c r="J14" s="371"/>
    </row>
    <row r="15" spans="1:16" ht="30" x14ac:dyDescent="0.25">
      <c r="A15" s="370" t="s">
        <v>1611</v>
      </c>
      <c r="B15" s="373"/>
      <c r="E15" s="368" t="s">
        <v>1618</v>
      </c>
      <c r="J15" s="371"/>
    </row>
    <row r="16" spans="1:16" ht="30" x14ac:dyDescent="0.25">
      <c r="A16" s="370" t="s">
        <v>1617</v>
      </c>
      <c r="B16" s="370">
        <v>3</v>
      </c>
      <c r="C16" s="378" t="s">
        <v>1620</v>
      </c>
      <c r="D16" s="370" t="s">
        <v>1</v>
      </c>
      <c r="E16" s="368" t="s">
        <v>1619</v>
      </c>
      <c r="F16" s="375" t="s">
        <v>1614</v>
      </c>
      <c r="G16" s="377">
        <v>1</v>
      </c>
      <c r="H16" s="376">
        <v>0</v>
      </c>
      <c r="I16" s="376">
        <f>ROUND(G16*H16,P4)</f>
        <v>0</v>
      </c>
      <c r="J16" s="375" t="s">
        <v>1613</v>
      </c>
      <c r="O16" s="374">
        <f>I16*0.21</f>
        <v>0</v>
      </c>
      <c r="P16" s="364">
        <v>3</v>
      </c>
    </row>
    <row r="17" spans="1:16" x14ac:dyDescent="0.25">
      <c r="A17" s="370" t="s">
        <v>1612</v>
      </c>
      <c r="B17" s="373"/>
      <c r="E17" s="372"/>
      <c r="J17" s="371"/>
    </row>
    <row r="18" spans="1:16" ht="30" x14ac:dyDescent="0.25">
      <c r="A18" s="370" t="s">
        <v>1611</v>
      </c>
      <c r="B18" s="373"/>
      <c r="E18" s="368" t="s">
        <v>1618</v>
      </c>
      <c r="J18" s="371"/>
    </row>
    <row r="19" spans="1:16" x14ac:dyDescent="0.25">
      <c r="A19" s="370" t="s">
        <v>1617</v>
      </c>
      <c r="B19" s="370">
        <v>4</v>
      </c>
      <c r="C19" s="378" t="s">
        <v>1616</v>
      </c>
      <c r="D19" s="370" t="s">
        <v>1</v>
      </c>
      <c r="E19" s="368" t="s">
        <v>1615</v>
      </c>
      <c r="F19" s="375" t="s">
        <v>1614</v>
      </c>
      <c r="G19" s="377">
        <v>1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ht="30" x14ac:dyDescent="0.25">
      <c r="A21" s="370" t="s">
        <v>1611</v>
      </c>
      <c r="B21" s="369"/>
      <c r="C21" s="367"/>
      <c r="D21" s="367"/>
      <c r="E21" s="368" t="s">
        <v>1610</v>
      </c>
      <c r="F21" s="367"/>
      <c r="G21" s="367"/>
      <c r="H21" s="367"/>
      <c r="I21" s="367"/>
      <c r="J21" s="366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E277-1E16-4DB7-9C89-43F726FCEC07}">
  <sheetPr>
    <pageSetUpPr fitToPage="1"/>
  </sheetPr>
  <dimension ref="A1:P15"/>
  <sheetViews>
    <sheetView topLeftCell="B1" workbookViewId="0">
      <selection activeCell="N33" sqref="N33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3" t="s">
        <v>1639</v>
      </c>
      <c r="D3" s="684"/>
      <c r="E3" s="450" t="s">
        <v>1638</v>
      </c>
      <c r="F3" s="365"/>
      <c r="G3" s="365"/>
      <c r="H3" s="382" t="s">
        <v>1601</v>
      </c>
      <c r="I3" s="381">
        <f>SUMIFS(I9:I15,A9:A15,"SD")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3" t="s">
        <v>1003</v>
      </c>
      <c r="D4" s="684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3" t="s">
        <v>1601</v>
      </c>
      <c r="D5" s="684"/>
      <c r="E5" s="450" t="s">
        <v>1600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5" t="s">
        <v>52</v>
      </c>
      <c r="B6" s="686" t="s">
        <v>1634</v>
      </c>
      <c r="C6" s="687" t="s">
        <v>1369</v>
      </c>
      <c r="D6" s="687" t="s">
        <v>1633</v>
      </c>
      <c r="E6" s="687" t="s">
        <v>1632</v>
      </c>
      <c r="F6" s="687" t="s">
        <v>88</v>
      </c>
      <c r="G6" s="687" t="s">
        <v>89</v>
      </c>
      <c r="H6" s="687" t="s">
        <v>1631</v>
      </c>
      <c r="I6" s="687"/>
      <c r="J6" s="688" t="s">
        <v>91</v>
      </c>
    </row>
    <row r="7" spans="1:16" x14ac:dyDescent="0.25">
      <c r="A7" s="685"/>
      <c r="B7" s="686"/>
      <c r="C7" s="687"/>
      <c r="D7" s="687"/>
      <c r="E7" s="687"/>
      <c r="F7" s="687"/>
      <c r="G7" s="687"/>
      <c r="H7" s="447" t="s">
        <v>1630</v>
      </c>
      <c r="I7" s="447" t="s">
        <v>1579</v>
      </c>
      <c r="J7" s="688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SUMIFS(I10:I15,A10:A15,"P")</f>
        <v>0</v>
      </c>
      <c r="J9" s="379"/>
    </row>
    <row r="10" spans="1:16" x14ac:dyDescent="0.25">
      <c r="A10" s="370" t="s">
        <v>1617</v>
      </c>
      <c r="B10" s="370">
        <v>1</v>
      </c>
      <c r="C10" s="378" t="s">
        <v>1624</v>
      </c>
      <c r="D10" s="370" t="s">
        <v>1</v>
      </c>
      <c r="E10" s="368" t="s">
        <v>1623</v>
      </c>
      <c r="F10" s="375" t="s">
        <v>1622</v>
      </c>
      <c r="G10" s="377">
        <v>1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ht="30" x14ac:dyDescent="0.25">
      <c r="A12" s="370" t="s">
        <v>1611</v>
      </c>
      <c r="B12" s="373"/>
      <c r="E12" s="368" t="s">
        <v>1618</v>
      </c>
      <c r="J12" s="371"/>
    </row>
    <row r="13" spans="1:16" x14ac:dyDescent="0.25">
      <c r="A13" s="370" t="s">
        <v>1617</v>
      </c>
      <c r="B13" s="370">
        <v>2</v>
      </c>
      <c r="C13" s="378" t="s">
        <v>1644</v>
      </c>
      <c r="D13" s="370" t="s">
        <v>1</v>
      </c>
      <c r="E13" s="368" t="s">
        <v>1643</v>
      </c>
      <c r="F13" s="375" t="s">
        <v>1614</v>
      </c>
      <c r="G13" s="377">
        <v>1</v>
      </c>
      <c r="H13" s="376">
        <v>0</v>
      </c>
      <c r="I13" s="376">
        <f>ROUND(G13*H13,P4)</f>
        <v>0</v>
      </c>
      <c r="J13" s="375" t="s">
        <v>1613</v>
      </c>
      <c r="O13" s="374">
        <f>I13*0.21</f>
        <v>0</v>
      </c>
      <c r="P13" s="364">
        <v>3</v>
      </c>
    </row>
    <row r="14" spans="1:16" ht="45" x14ac:dyDescent="0.25">
      <c r="A14" s="370" t="s">
        <v>1612</v>
      </c>
      <c r="B14" s="373"/>
      <c r="E14" s="368" t="s">
        <v>1642</v>
      </c>
      <c r="J14" s="371"/>
    </row>
    <row r="15" spans="1:16" ht="30" x14ac:dyDescent="0.25">
      <c r="A15" s="370" t="s">
        <v>1611</v>
      </c>
      <c r="B15" s="369"/>
      <c r="C15" s="367"/>
      <c r="D15" s="367"/>
      <c r="E15" s="368" t="s">
        <v>1610</v>
      </c>
      <c r="F15" s="367"/>
      <c r="G15" s="367"/>
      <c r="H15" s="367"/>
      <c r="I15" s="367"/>
      <c r="J15" s="366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649E-A95E-4E9E-A64F-41F409F3CB66}">
  <sheetPr>
    <pageSetUpPr fitToPage="1"/>
  </sheetPr>
  <dimension ref="A1:P81"/>
  <sheetViews>
    <sheetView topLeftCell="B1" workbookViewId="0">
      <selection activeCell="E57" sqref="E57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3" t="s">
        <v>1639</v>
      </c>
      <c r="D3" s="684"/>
      <c r="E3" s="450" t="s">
        <v>1638</v>
      </c>
      <c r="F3" s="365"/>
      <c r="G3" s="365"/>
      <c r="H3" s="382" t="s">
        <v>1599</v>
      </c>
      <c r="I3" s="381">
        <f>SUMIFS(I9:I81,A9:A81,"SD")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3" t="s">
        <v>1003</v>
      </c>
      <c r="D4" s="684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3" t="s">
        <v>1599</v>
      </c>
      <c r="D5" s="684"/>
      <c r="E5" s="450" t="s">
        <v>1598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5" t="s">
        <v>52</v>
      </c>
      <c r="B6" s="686" t="s">
        <v>1634</v>
      </c>
      <c r="C6" s="687" t="s">
        <v>1369</v>
      </c>
      <c r="D6" s="687" t="s">
        <v>1633</v>
      </c>
      <c r="E6" s="687" t="s">
        <v>1632</v>
      </c>
      <c r="F6" s="687" t="s">
        <v>88</v>
      </c>
      <c r="G6" s="687" t="s">
        <v>89</v>
      </c>
      <c r="H6" s="687" t="s">
        <v>1631</v>
      </c>
      <c r="I6" s="687"/>
      <c r="J6" s="688" t="s">
        <v>91</v>
      </c>
    </row>
    <row r="7" spans="1:16" x14ac:dyDescent="0.25">
      <c r="A7" s="685"/>
      <c r="B7" s="686"/>
      <c r="C7" s="687"/>
      <c r="D7" s="687"/>
      <c r="E7" s="687"/>
      <c r="F7" s="687"/>
      <c r="G7" s="687"/>
      <c r="H7" s="447" t="s">
        <v>1630</v>
      </c>
      <c r="I7" s="447" t="s">
        <v>1579</v>
      </c>
      <c r="J7" s="688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v>282.625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1712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SUMIFS(I15:I30,A15:A30,"P")</f>
        <v>0</v>
      </c>
      <c r="J14" s="379"/>
    </row>
    <row r="15" spans="1:16" x14ac:dyDescent="0.25">
      <c r="A15" s="370" t="s">
        <v>1617</v>
      </c>
      <c r="B15" s="370"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v>1337.2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1708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243.75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1704</v>
      </c>
      <c r="J21" s="371"/>
    </row>
    <row r="22" spans="1:16" ht="409.5" x14ac:dyDescent="0.25">
      <c r="A22" s="370" t="s">
        <v>1611</v>
      </c>
      <c r="B22" s="373"/>
      <c r="E22" s="368" t="s">
        <v>1703</v>
      </c>
      <c r="J22" s="371"/>
    </row>
    <row r="23" spans="1:16" x14ac:dyDescent="0.25">
      <c r="A23" s="370" t="s">
        <v>1617</v>
      </c>
      <c r="B23" s="370">
        <v>4</v>
      </c>
      <c r="C23" s="378" t="s">
        <v>1702</v>
      </c>
      <c r="D23" s="370" t="s">
        <v>1</v>
      </c>
      <c r="E23" s="368" t="s">
        <v>1701</v>
      </c>
      <c r="F23" s="375" t="s">
        <v>1651</v>
      </c>
      <c r="G23" s="377">
        <v>95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1700</v>
      </c>
      <c r="J25" s="371"/>
    </row>
    <row r="26" spans="1:16" ht="390" x14ac:dyDescent="0.25">
      <c r="A26" s="370" t="s">
        <v>1611</v>
      </c>
      <c r="B26" s="373"/>
      <c r="E26" s="368" t="s">
        <v>1699</v>
      </c>
      <c r="J26" s="371"/>
    </row>
    <row r="27" spans="1:16" x14ac:dyDescent="0.25">
      <c r="A27" s="370" t="s">
        <v>1617</v>
      </c>
      <c r="B27" s="370">
        <v>5</v>
      </c>
      <c r="C27" s="378" t="s">
        <v>1698</v>
      </c>
      <c r="D27" s="370" t="s">
        <v>1</v>
      </c>
      <c r="E27" s="368" t="s">
        <v>1697</v>
      </c>
      <c r="F27" s="375" t="s">
        <v>1665</v>
      </c>
      <c r="G27" s="377">
        <v>3343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ht="75" x14ac:dyDescent="0.25">
      <c r="A29" s="370" t="s">
        <v>112</v>
      </c>
      <c r="B29" s="373"/>
      <c r="E29" s="460" t="s">
        <v>1696</v>
      </c>
      <c r="J29" s="371"/>
    </row>
    <row r="30" spans="1:16" ht="30" x14ac:dyDescent="0.25">
      <c r="A30" s="370" t="s">
        <v>1611</v>
      </c>
      <c r="B30" s="373"/>
      <c r="E30" s="368" t="s">
        <v>1695</v>
      </c>
      <c r="J30" s="371"/>
    </row>
    <row r="31" spans="1:16" x14ac:dyDescent="0.25">
      <c r="A31" s="442" t="s">
        <v>1629</v>
      </c>
      <c r="B31" s="444"/>
      <c r="C31" s="443" t="s">
        <v>119</v>
      </c>
      <c r="D31" s="441"/>
      <c r="E31" s="442" t="s">
        <v>1694</v>
      </c>
      <c r="F31" s="441"/>
      <c r="G31" s="441"/>
      <c r="H31" s="441"/>
      <c r="I31" s="440">
        <f>SUMIFS(I32:I35,A32:A35,"P")</f>
        <v>0</v>
      </c>
      <c r="J31" s="379"/>
    </row>
    <row r="32" spans="1:16" x14ac:dyDescent="0.25">
      <c r="A32" s="370" t="s">
        <v>1617</v>
      </c>
      <c r="B32" s="370">
        <v>6</v>
      </c>
      <c r="C32" s="378" t="s">
        <v>1693</v>
      </c>
      <c r="D32" s="370" t="s">
        <v>1</v>
      </c>
      <c r="E32" s="368" t="s">
        <v>1692</v>
      </c>
      <c r="F32" s="375" t="s">
        <v>1691</v>
      </c>
      <c r="G32" s="377">
        <v>215.76</v>
      </c>
      <c r="H32" s="376">
        <v>0</v>
      </c>
      <c r="I32" s="376">
        <f>ROUND(G32*H32,P4)</f>
        <v>0</v>
      </c>
      <c r="J32" s="375" t="s">
        <v>1613</v>
      </c>
      <c r="O32" s="374">
        <f>I32*0.21</f>
        <v>0</v>
      </c>
      <c r="P32" s="364">
        <v>3</v>
      </c>
    </row>
    <row r="33" spans="1:16" x14ac:dyDescent="0.25">
      <c r="A33" s="370" t="s">
        <v>1612</v>
      </c>
      <c r="B33" s="373"/>
      <c r="E33" s="372"/>
      <c r="J33" s="371"/>
    </row>
    <row r="34" spans="1:16" x14ac:dyDescent="0.25">
      <c r="A34" s="370" t="s">
        <v>112</v>
      </c>
      <c r="B34" s="373"/>
      <c r="E34" s="460" t="s">
        <v>1690</v>
      </c>
      <c r="J34" s="371"/>
    </row>
    <row r="35" spans="1:16" ht="375" x14ac:dyDescent="0.25">
      <c r="A35" s="370" t="s">
        <v>1611</v>
      </c>
      <c r="B35" s="373"/>
      <c r="E35" s="368" t="s">
        <v>1689</v>
      </c>
      <c r="J35" s="371"/>
    </row>
    <row r="36" spans="1:16" x14ac:dyDescent="0.25">
      <c r="A36" s="442" t="s">
        <v>1629</v>
      </c>
      <c r="B36" s="444"/>
      <c r="C36" s="443" t="s">
        <v>141</v>
      </c>
      <c r="D36" s="441"/>
      <c r="E36" s="442" t="s">
        <v>1592</v>
      </c>
      <c r="F36" s="441"/>
      <c r="G36" s="441"/>
      <c r="H36" s="441"/>
      <c r="I36" s="440">
        <f>SUMIFS(I37:I64,A37:A64,"P")</f>
        <v>0</v>
      </c>
      <c r="J36" s="379"/>
    </row>
    <row r="37" spans="1:16" x14ac:dyDescent="0.25">
      <c r="A37" s="370" t="s">
        <v>1617</v>
      </c>
      <c r="B37" s="370">
        <v>7</v>
      </c>
      <c r="C37" s="378" t="s">
        <v>1688</v>
      </c>
      <c r="D37" s="370" t="s">
        <v>1</v>
      </c>
      <c r="E37" s="368" t="s">
        <v>1687</v>
      </c>
      <c r="F37" s="375" t="s">
        <v>1665</v>
      </c>
      <c r="G37" s="377">
        <v>3363</v>
      </c>
      <c r="H37" s="376">
        <v>0</v>
      </c>
      <c r="I37" s="376">
        <f>ROUND(G37*H37,P4)</f>
        <v>0</v>
      </c>
      <c r="J37" s="375" t="s">
        <v>1613</v>
      </c>
      <c r="O37" s="374">
        <f>I37*0.21</f>
        <v>0</v>
      </c>
      <c r="P37" s="364">
        <v>3</v>
      </c>
    </row>
    <row r="38" spans="1:16" x14ac:dyDescent="0.25">
      <c r="A38" s="370" t="s">
        <v>1612</v>
      </c>
      <c r="B38" s="373"/>
      <c r="E38" s="372"/>
      <c r="J38" s="371"/>
    </row>
    <row r="39" spans="1:16" ht="90" x14ac:dyDescent="0.25">
      <c r="A39" s="370" t="s">
        <v>112</v>
      </c>
      <c r="B39" s="373"/>
      <c r="E39" s="460" t="s">
        <v>1686</v>
      </c>
      <c r="J39" s="371"/>
    </row>
    <row r="40" spans="1:16" ht="60" x14ac:dyDescent="0.25">
      <c r="A40" s="370" t="s">
        <v>1611</v>
      </c>
      <c r="B40" s="373"/>
      <c r="E40" s="368" t="s">
        <v>1685</v>
      </c>
      <c r="J40" s="371"/>
    </row>
    <row r="41" spans="1:16" x14ac:dyDescent="0.25">
      <c r="A41" s="370" t="s">
        <v>1617</v>
      </c>
      <c r="B41" s="370">
        <v>8</v>
      </c>
      <c r="C41" s="378" t="s">
        <v>1684</v>
      </c>
      <c r="D41" s="370" t="s">
        <v>1</v>
      </c>
      <c r="E41" s="368" t="s">
        <v>1683</v>
      </c>
      <c r="F41" s="375" t="s">
        <v>1665</v>
      </c>
      <c r="G41" s="377">
        <v>1384</v>
      </c>
      <c r="H41" s="376">
        <v>0</v>
      </c>
      <c r="I41" s="376">
        <f>ROUND(G41*H41,P4)</f>
        <v>0</v>
      </c>
      <c r="J41" s="375" t="s">
        <v>1613</v>
      </c>
      <c r="O41" s="374">
        <f>I41*0.21</f>
        <v>0</v>
      </c>
      <c r="P41" s="364">
        <v>3</v>
      </c>
    </row>
    <row r="42" spans="1:16" x14ac:dyDescent="0.25">
      <c r="A42" s="370" t="s">
        <v>1612</v>
      </c>
      <c r="B42" s="373"/>
      <c r="E42" s="372"/>
      <c r="J42" s="371"/>
    </row>
    <row r="43" spans="1:16" x14ac:dyDescent="0.25">
      <c r="A43" s="370" t="s">
        <v>112</v>
      </c>
      <c r="B43" s="373"/>
      <c r="E43" s="460" t="s">
        <v>1682</v>
      </c>
      <c r="J43" s="371"/>
    </row>
    <row r="44" spans="1:16" ht="120" x14ac:dyDescent="0.25">
      <c r="A44" s="370" t="s">
        <v>1611</v>
      </c>
      <c r="B44" s="373"/>
      <c r="E44" s="368" t="s">
        <v>1681</v>
      </c>
      <c r="J44" s="371"/>
    </row>
    <row r="45" spans="1:16" x14ac:dyDescent="0.25">
      <c r="A45" s="370" t="s">
        <v>1617</v>
      </c>
      <c r="B45" s="370">
        <v>9</v>
      </c>
      <c r="C45" s="378" t="s">
        <v>1680</v>
      </c>
      <c r="D45" s="370" t="s">
        <v>1</v>
      </c>
      <c r="E45" s="368" t="s">
        <v>1679</v>
      </c>
      <c r="F45" s="375" t="s">
        <v>1665</v>
      </c>
      <c r="G45" s="377">
        <v>1384</v>
      </c>
      <c r="H45" s="376">
        <v>0</v>
      </c>
      <c r="I45" s="376">
        <f>ROUND(G45*H45,P4)</f>
        <v>0</v>
      </c>
      <c r="J45" s="375" t="s">
        <v>1613</v>
      </c>
      <c r="O45" s="374">
        <f>I45*0.21</f>
        <v>0</v>
      </c>
      <c r="P45" s="364">
        <v>3</v>
      </c>
    </row>
    <row r="46" spans="1:16" x14ac:dyDescent="0.25">
      <c r="A46" s="370" t="s">
        <v>1612</v>
      </c>
      <c r="B46" s="373"/>
      <c r="E46" s="372"/>
      <c r="J46" s="371"/>
    </row>
    <row r="47" spans="1:16" x14ac:dyDescent="0.25">
      <c r="A47" s="370" t="s">
        <v>112</v>
      </c>
      <c r="B47" s="373"/>
      <c r="E47" s="460" t="s">
        <v>1675</v>
      </c>
      <c r="J47" s="371"/>
    </row>
    <row r="48" spans="1:16" ht="75" x14ac:dyDescent="0.25">
      <c r="A48" s="370" t="s">
        <v>1611</v>
      </c>
      <c r="B48" s="373"/>
      <c r="E48" s="368" t="s">
        <v>1678</v>
      </c>
      <c r="J48" s="371"/>
    </row>
    <row r="49" spans="1:16" x14ac:dyDescent="0.25">
      <c r="A49" s="370" t="s">
        <v>1617</v>
      </c>
      <c r="B49" s="370">
        <v>10</v>
      </c>
      <c r="C49" s="378" t="s">
        <v>1677</v>
      </c>
      <c r="D49" s="370" t="s">
        <v>1</v>
      </c>
      <c r="E49" s="368" t="s">
        <v>1676</v>
      </c>
      <c r="F49" s="375" t="s">
        <v>1665</v>
      </c>
      <c r="G49" s="377">
        <v>1384</v>
      </c>
      <c r="H49" s="376">
        <v>0</v>
      </c>
      <c r="I49" s="376">
        <f>ROUND(G49*H49,P4)</f>
        <v>0</v>
      </c>
      <c r="J49" s="375" t="s">
        <v>1613</v>
      </c>
      <c r="O49" s="374">
        <f>I49*0.21</f>
        <v>0</v>
      </c>
      <c r="P49" s="364">
        <v>3</v>
      </c>
    </row>
    <row r="50" spans="1:16" x14ac:dyDescent="0.25">
      <c r="A50" s="370" t="s">
        <v>1612</v>
      </c>
      <c r="B50" s="373"/>
      <c r="E50" s="372"/>
      <c r="J50" s="371"/>
    </row>
    <row r="51" spans="1:16" x14ac:dyDescent="0.25">
      <c r="A51" s="370" t="s">
        <v>112</v>
      </c>
      <c r="B51" s="373"/>
      <c r="E51" s="460" t="s">
        <v>1675</v>
      </c>
      <c r="J51" s="371"/>
    </row>
    <row r="52" spans="1:16" ht="165" x14ac:dyDescent="0.25">
      <c r="A52" s="370" t="s">
        <v>1611</v>
      </c>
      <c r="B52" s="373"/>
      <c r="E52" s="368" t="s">
        <v>1674</v>
      </c>
      <c r="J52" s="371"/>
    </row>
    <row r="53" spans="1:16" x14ac:dyDescent="0.25">
      <c r="A53" s="370" t="s">
        <v>1617</v>
      </c>
      <c r="B53" s="370">
        <v>11</v>
      </c>
      <c r="C53" s="378" t="s">
        <v>1673</v>
      </c>
      <c r="D53" s="370" t="s">
        <v>1</v>
      </c>
      <c r="E53" s="368" t="s">
        <v>1672</v>
      </c>
      <c r="F53" s="375" t="s">
        <v>1665</v>
      </c>
      <c r="G53" s="377">
        <v>1612.3</v>
      </c>
      <c r="H53" s="376">
        <v>0</v>
      </c>
      <c r="I53" s="376">
        <f>ROUND(G53*H53,P4)</f>
        <v>0</v>
      </c>
      <c r="J53" s="375" t="s">
        <v>1613</v>
      </c>
      <c r="O53" s="374">
        <f>I53*0.21</f>
        <v>0</v>
      </c>
      <c r="P53" s="364">
        <v>3</v>
      </c>
    </row>
    <row r="54" spans="1:16" x14ac:dyDescent="0.25">
      <c r="A54" s="370" t="s">
        <v>1612</v>
      </c>
      <c r="B54" s="373"/>
      <c r="E54" s="372"/>
      <c r="J54" s="371"/>
    </row>
    <row r="55" spans="1:16" ht="75" x14ac:dyDescent="0.25">
      <c r="A55" s="370" t="s">
        <v>112</v>
      </c>
      <c r="B55" s="373"/>
      <c r="E55" s="460" t="s">
        <v>1671</v>
      </c>
      <c r="J55" s="371"/>
    </row>
    <row r="56" spans="1:16" ht="195" x14ac:dyDescent="0.25">
      <c r="A56" s="370" t="s">
        <v>1611</v>
      </c>
      <c r="B56" s="373"/>
      <c r="E56" s="368" t="s">
        <v>1663</v>
      </c>
      <c r="J56" s="371"/>
    </row>
    <row r="57" spans="1:16" x14ac:dyDescent="0.25">
      <c r="A57" s="370" t="s">
        <v>1617</v>
      </c>
      <c r="B57" s="370">
        <v>12</v>
      </c>
      <c r="C57" s="378" t="s">
        <v>1670</v>
      </c>
      <c r="D57" s="370" t="s">
        <v>1</v>
      </c>
      <c r="E57" s="368" t="s">
        <v>1669</v>
      </c>
      <c r="F57" s="375" t="s">
        <v>1665</v>
      </c>
      <c r="G57" s="377">
        <v>11</v>
      </c>
      <c r="H57" s="376">
        <v>0</v>
      </c>
      <c r="I57" s="376">
        <f>ROUND(G57*H57,P4)</f>
        <v>0</v>
      </c>
      <c r="J57" s="375" t="s">
        <v>1613</v>
      </c>
      <c r="O57" s="374">
        <f>I57*0.21</f>
        <v>0</v>
      </c>
      <c r="P57" s="364">
        <v>3</v>
      </c>
    </row>
    <row r="58" spans="1:16" x14ac:dyDescent="0.25">
      <c r="A58" s="370" t="s">
        <v>1612</v>
      </c>
      <c r="B58" s="373"/>
      <c r="E58" s="372"/>
      <c r="J58" s="371"/>
    </row>
    <row r="59" spans="1:16" x14ac:dyDescent="0.25">
      <c r="A59" s="370" t="s">
        <v>112</v>
      </c>
      <c r="B59" s="373"/>
      <c r="E59" s="460" t="s">
        <v>1668</v>
      </c>
      <c r="J59" s="371"/>
    </row>
    <row r="60" spans="1:16" ht="195" x14ac:dyDescent="0.25">
      <c r="A60" s="370" t="s">
        <v>1611</v>
      </c>
      <c r="B60" s="373"/>
      <c r="E60" s="368" t="s">
        <v>1663</v>
      </c>
      <c r="J60" s="371"/>
    </row>
    <row r="61" spans="1:16" ht="30" x14ac:dyDescent="0.25">
      <c r="A61" s="370" t="s">
        <v>1617</v>
      </c>
      <c r="B61" s="370">
        <v>13</v>
      </c>
      <c r="C61" s="378" t="s">
        <v>1667</v>
      </c>
      <c r="D61" s="370" t="s">
        <v>1</v>
      </c>
      <c r="E61" s="368" t="s">
        <v>1666</v>
      </c>
      <c r="F61" s="375" t="s">
        <v>1665</v>
      </c>
      <c r="G61" s="377">
        <v>360</v>
      </c>
      <c r="H61" s="376">
        <v>0</v>
      </c>
      <c r="I61" s="376">
        <f>ROUND(G61*H61,P4)</f>
        <v>0</v>
      </c>
      <c r="J61" s="375" t="s">
        <v>1613</v>
      </c>
      <c r="O61" s="374">
        <f>I61*0.21</f>
        <v>0</v>
      </c>
      <c r="P61" s="364">
        <v>3</v>
      </c>
    </row>
    <row r="62" spans="1:16" x14ac:dyDescent="0.25">
      <c r="A62" s="370" t="s">
        <v>1612</v>
      </c>
      <c r="B62" s="373"/>
      <c r="E62" s="372"/>
      <c r="J62" s="371"/>
    </row>
    <row r="63" spans="1:16" x14ac:dyDescent="0.25">
      <c r="A63" s="370" t="s">
        <v>112</v>
      </c>
      <c r="B63" s="373"/>
      <c r="E63" s="460" t="s">
        <v>1664</v>
      </c>
      <c r="J63" s="371"/>
    </row>
    <row r="64" spans="1:16" ht="195" x14ac:dyDescent="0.25">
      <c r="A64" s="370" t="s">
        <v>1611</v>
      </c>
      <c r="B64" s="373"/>
      <c r="E64" s="368" t="s">
        <v>1663</v>
      </c>
      <c r="J64" s="371"/>
    </row>
    <row r="65" spans="1:16" x14ac:dyDescent="0.25">
      <c r="A65" s="442" t="s">
        <v>1629</v>
      </c>
      <c r="B65" s="444"/>
      <c r="C65" s="443" t="s">
        <v>180</v>
      </c>
      <c r="D65" s="441"/>
      <c r="E65" s="442" t="s">
        <v>1662</v>
      </c>
      <c r="F65" s="441"/>
      <c r="G65" s="441"/>
      <c r="H65" s="441"/>
      <c r="I65" s="440">
        <f>SUMIFS(I66:I81,A66:A81,"P")</f>
        <v>0</v>
      </c>
      <c r="J65" s="379"/>
    </row>
    <row r="66" spans="1:16" ht="30" x14ac:dyDescent="0.25">
      <c r="A66" s="370" t="s">
        <v>1617</v>
      </c>
      <c r="B66" s="370">
        <v>14</v>
      </c>
      <c r="C66" s="378" t="s">
        <v>1661</v>
      </c>
      <c r="D66" s="370" t="s">
        <v>1</v>
      </c>
      <c r="E66" s="368" t="s">
        <v>1660</v>
      </c>
      <c r="F66" s="375" t="s">
        <v>1622</v>
      </c>
      <c r="G66" s="377">
        <v>12</v>
      </c>
      <c r="H66" s="376">
        <v>0</v>
      </c>
      <c r="I66" s="376">
        <f>ROUND(G66*H66,P4)</f>
        <v>0</v>
      </c>
      <c r="J66" s="375" t="s">
        <v>1613</v>
      </c>
      <c r="O66" s="374">
        <f>I66*0.21</f>
        <v>0</v>
      </c>
      <c r="P66" s="364">
        <v>3</v>
      </c>
    </row>
    <row r="67" spans="1:16" x14ac:dyDescent="0.25">
      <c r="A67" s="370" t="s">
        <v>1612</v>
      </c>
      <c r="B67" s="373"/>
      <c r="E67" s="372"/>
      <c r="J67" s="371"/>
    </row>
    <row r="68" spans="1:16" ht="75" x14ac:dyDescent="0.25">
      <c r="A68" s="370" t="s">
        <v>112</v>
      </c>
      <c r="B68" s="373"/>
      <c r="E68" s="460" t="s">
        <v>1659</v>
      </c>
      <c r="J68" s="371"/>
    </row>
    <row r="69" spans="1:16" ht="30" x14ac:dyDescent="0.25">
      <c r="A69" s="370" t="s">
        <v>1611</v>
      </c>
      <c r="B69" s="373"/>
      <c r="E69" s="368" t="s">
        <v>1658</v>
      </c>
      <c r="J69" s="371"/>
    </row>
    <row r="70" spans="1:16" ht="30" x14ac:dyDescent="0.25">
      <c r="A70" s="370" t="s">
        <v>1617</v>
      </c>
      <c r="B70" s="370">
        <v>15</v>
      </c>
      <c r="C70" s="378" t="s">
        <v>1657</v>
      </c>
      <c r="D70" s="370" t="s">
        <v>1</v>
      </c>
      <c r="E70" s="368" t="s">
        <v>1656</v>
      </c>
      <c r="F70" s="375" t="s">
        <v>1622</v>
      </c>
      <c r="G70" s="377">
        <v>12</v>
      </c>
      <c r="H70" s="376">
        <v>0</v>
      </c>
      <c r="I70" s="376">
        <f>ROUND(G70*H70,P4)</f>
        <v>0</v>
      </c>
      <c r="J70" s="375" t="s">
        <v>1613</v>
      </c>
      <c r="O70" s="374">
        <f>I70*0.21</f>
        <v>0</v>
      </c>
      <c r="P70" s="364">
        <v>3</v>
      </c>
    </row>
    <row r="71" spans="1:16" x14ac:dyDescent="0.25">
      <c r="A71" s="370" t="s">
        <v>1612</v>
      </c>
      <c r="B71" s="373"/>
      <c r="E71" s="372"/>
      <c r="J71" s="371"/>
    </row>
    <row r="72" spans="1:16" x14ac:dyDescent="0.25">
      <c r="A72" s="370" t="s">
        <v>112</v>
      </c>
      <c r="B72" s="373"/>
      <c r="E72" s="460" t="s">
        <v>1655</v>
      </c>
      <c r="J72" s="371"/>
    </row>
    <row r="73" spans="1:16" ht="45" x14ac:dyDescent="0.25">
      <c r="A73" s="370" t="s">
        <v>1611</v>
      </c>
      <c r="B73" s="373"/>
      <c r="E73" s="368" t="s">
        <v>1654</v>
      </c>
      <c r="J73" s="371"/>
    </row>
    <row r="74" spans="1:16" x14ac:dyDescent="0.25">
      <c r="A74" s="370" t="s">
        <v>1617</v>
      </c>
      <c r="B74" s="370">
        <v>16</v>
      </c>
      <c r="C74" s="378" t="s">
        <v>1653</v>
      </c>
      <c r="D74" s="370" t="s">
        <v>1</v>
      </c>
      <c r="E74" s="368" t="s">
        <v>1652</v>
      </c>
      <c r="F74" s="375" t="s">
        <v>1651</v>
      </c>
      <c r="G74" s="377">
        <v>4.125</v>
      </c>
      <c r="H74" s="376">
        <v>0</v>
      </c>
      <c r="I74" s="376">
        <f>ROUND(G74*H74,P4)</f>
        <v>0</v>
      </c>
      <c r="J74" s="375" t="s">
        <v>1613</v>
      </c>
      <c r="O74" s="374">
        <f>I74*0.21</f>
        <v>0</v>
      </c>
      <c r="P74" s="364">
        <v>3</v>
      </c>
    </row>
    <row r="75" spans="1:16" x14ac:dyDescent="0.25">
      <c r="A75" s="370" t="s">
        <v>1612</v>
      </c>
      <c r="B75" s="373"/>
      <c r="E75" s="372"/>
      <c r="J75" s="371"/>
    </row>
    <row r="76" spans="1:16" x14ac:dyDescent="0.25">
      <c r="A76" s="370" t="s">
        <v>112</v>
      </c>
      <c r="B76" s="373"/>
      <c r="E76" s="460" t="s">
        <v>1650</v>
      </c>
      <c r="J76" s="371"/>
    </row>
    <row r="77" spans="1:16" ht="60" x14ac:dyDescent="0.25">
      <c r="A77" s="370" t="s">
        <v>1611</v>
      </c>
      <c r="B77" s="373"/>
      <c r="E77" s="368" t="s">
        <v>1649</v>
      </c>
      <c r="J77" s="371"/>
    </row>
    <row r="78" spans="1:16" x14ac:dyDescent="0.25">
      <c r="A78" s="370" t="s">
        <v>1617</v>
      </c>
      <c r="B78" s="370">
        <v>17</v>
      </c>
      <c r="C78" s="378" t="s">
        <v>1648</v>
      </c>
      <c r="D78" s="370" t="s">
        <v>1</v>
      </c>
      <c r="E78" s="368" t="s">
        <v>1647</v>
      </c>
      <c r="F78" s="375" t="s">
        <v>252</v>
      </c>
      <c r="G78" s="377">
        <v>1875.8</v>
      </c>
      <c r="H78" s="376">
        <v>0</v>
      </c>
      <c r="I78" s="376">
        <f>ROUND(G78*H78,P4)</f>
        <v>0</v>
      </c>
      <c r="J78" s="375" t="s">
        <v>1613</v>
      </c>
      <c r="O78" s="374">
        <f>I78*0.21</f>
        <v>0</v>
      </c>
      <c r="P78" s="364">
        <v>3</v>
      </c>
    </row>
    <row r="79" spans="1:16" x14ac:dyDescent="0.25">
      <c r="A79" s="370" t="s">
        <v>1612</v>
      </c>
      <c r="B79" s="373"/>
      <c r="E79" s="372"/>
      <c r="J79" s="371"/>
    </row>
    <row r="80" spans="1:16" ht="30" x14ac:dyDescent="0.25">
      <c r="A80" s="370" t="s">
        <v>112</v>
      </c>
      <c r="B80" s="373"/>
      <c r="E80" s="460" t="s">
        <v>1646</v>
      </c>
      <c r="J80" s="371"/>
    </row>
    <row r="81" spans="1:10" ht="60" x14ac:dyDescent="0.25">
      <c r="A81" s="370" t="s">
        <v>1611</v>
      </c>
      <c r="B81" s="369"/>
      <c r="C81" s="367"/>
      <c r="D81" s="367"/>
      <c r="E81" s="368" t="s">
        <v>1645</v>
      </c>
      <c r="F81" s="367"/>
      <c r="G81" s="367"/>
      <c r="H81" s="367"/>
      <c r="I81" s="367"/>
      <c r="J81" s="366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3FDB-C478-4E2F-AD58-0996B217E31B}">
  <sheetPr>
    <pageSetUpPr fitToPage="1"/>
  </sheetPr>
  <dimension ref="A1:P51"/>
  <sheetViews>
    <sheetView topLeftCell="B28" workbookViewId="0">
      <selection activeCell="H54" sqref="H54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3" t="s">
        <v>1639</v>
      </c>
      <c r="D3" s="684"/>
      <c r="E3" s="450" t="s">
        <v>1638</v>
      </c>
      <c r="F3" s="365"/>
      <c r="G3" s="365"/>
      <c r="H3" s="382" t="s">
        <v>1597</v>
      </c>
      <c r="I3" s="381">
        <f>SUMIFS(I9:I51,A9:A51,"SD")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3" t="s">
        <v>1003</v>
      </c>
      <c r="D4" s="684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3" t="s">
        <v>1597</v>
      </c>
      <c r="D5" s="684"/>
      <c r="E5" s="450" t="s">
        <v>1596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5" t="s">
        <v>52</v>
      </c>
      <c r="B6" s="686" t="s">
        <v>1634</v>
      </c>
      <c r="C6" s="687" t="s">
        <v>1369</v>
      </c>
      <c r="D6" s="687" t="s">
        <v>1633</v>
      </c>
      <c r="E6" s="687" t="s">
        <v>1632</v>
      </c>
      <c r="F6" s="687" t="s">
        <v>88</v>
      </c>
      <c r="G6" s="687" t="s">
        <v>89</v>
      </c>
      <c r="H6" s="687" t="s">
        <v>1631</v>
      </c>
      <c r="I6" s="687"/>
      <c r="J6" s="688" t="s">
        <v>91</v>
      </c>
    </row>
    <row r="7" spans="1:16" x14ac:dyDescent="0.25">
      <c r="A7" s="685"/>
      <c r="B7" s="686"/>
      <c r="C7" s="687"/>
      <c r="D7" s="687"/>
      <c r="E7" s="687"/>
      <c r="F7" s="687"/>
      <c r="G7" s="687"/>
      <c r="H7" s="447" t="s">
        <v>1630</v>
      </c>
      <c r="I7" s="447" t="s">
        <v>1579</v>
      </c>
      <c r="J7" s="688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v>19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1725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SUMIFS(I15:I29,A15:A29,"P")</f>
        <v>0</v>
      </c>
      <c r="J14" s="379"/>
    </row>
    <row r="15" spans="1:16" x14ac:dyDescent="0.25">
      <c r="A15" s="370" t="s">
        <v>1617</v>
      </c>
      <c r="B15" s="370"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v>150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1724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15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ht="409.5" x14ac:dyDescent="0.25">
      <c r="A21" s="370" t="s">
        <v>1611</v>
      </c>
      <c r="B21" s="373"/>
      <c r="E21" s="368" t="s">
        <v>1703</v>
      </c>
      <c r="J21" s="371"/>
    </row>
    <row r="22" spans="1:16" x14ac:dyDescent="0.25">
      <c r="A22" s="370" t="s">
        <v>1617</v>
      </c>
      <c r="B22" s="370">
        <v>4</v>
      </c>
      <c r="C22" s="378" t="s">
        <v>1702</v>
      </c>
      <c r="D22" s="370" t="s">
        <v>1</v>
      </c>
      <c r="E22" s="368" t="s">
        <v>1701</v>
      </c>
      <c r="F22" s="375" t="s">
        <v>1651</v>
      </c>
      <c r="G22" s="377">
        <v>141.1</v>
      </c>
      <c r="H22" s="376">
        <v>0</v>
      </c>
      <c r="I22" s="376">
        <f>ROUND(G22*H22,P4)</f>
        <v>0</v>
      </c>
      <c r="J22" s="375" t="s">
        <v>1613</v>
      </c>
      <c r="O22" s="374">
        <f>I22*0.21</f>
        <v>0</v>
      </c>
      <c r="P22" s="364">
        <v>3</v>
      </c>
    </row>
    <row r="23" spans="1:16" x14ac:dyDescent="0.25">
      <c r="A23" s="370" t="s">
        <v>1612</v>
      </c>
      <c r="B23" s="373"/>
      <c r="E23" s="372"/>
      <c r="J23" s="371"/>
    </row>
    <row r="24" spans="1:16" x14ac:dyDescent="0.25">
      <c r="A24" s="370" t="s">
        <v>112</v>
      </c>
      <c r="B24" s="373"/>
      <c r="E24" s="460" t="s">
        <v>1723</v>
      </c>
      <c r="J24" s="371"/>
    </row>
    <row r="25" spans="1:16" ht="390" x14ac:dyDescent="0.25">
      <c r="A25" s="370" t="s">
        <v>1611</v>
      </c>
      <c r="B25" s="373"/>
      <c r="E25" s="368" t="s">
        <v>1699</v>
      </c>
      <c r="J25" s="371"/>
    </row>
    <row r="26" spans="1:16" x14ac:dyDescent="0.25">
      <c r="A26" s="370" t="s">
        <v>1617</v>
      </c>
      <c r="B26" s="370">
        <v>5</v>
      </c>
      <c r="C26" s="378" t="s">
        <v>1698</v>
      </c>
      <c r="D26" s="370" t="s">
        <v>1</v>
      </c>
      <c r="E26" s="368" t="s">
        <v>1697</v>
      </c>
      <c r="F26" s="375" t="s">
        <v>1665</v>
      </c>
      <c r="G26" s="377">
        <v>375</v>
      </c>
      <c r="H26" s="376">
        <v>0</v>
      </c>
      <c r="I26" s="376">
        <f>ROUND(G26*H26,P4)</f>
        <v>0</v>
      </c>
      <c r="J26" s="375" t="s">
        <v>1613</v>
      </c>
      <c r="O26" s="374">
        <f>I26*0.21</f>
        <v>0</v>
      </c>
      <c r="P26" s="364">
        <v>3</v>
      </c>
    </row>
    <row r="27" spans="1:16" x14ac:dyDescent="0.25">
      <c r="A27" s="370" t="s">
        <v>1612</v>
      </c>
      <c r="B27" s="373"/>
      <c r="E27" s="372"/>
      <c r="J27" s="371"/>
    </row>
    <row r="28" spans="1:16" x14ac:dyDescent="0.25">
      <c r="A28" s="370" t="s">
        <v>112</v>
      </c>
      <c r="B28" s="373"/>
      <c r="E28" s="460" t="s">
        <v>1722</v>
      </c>
      <c r="J28" s="371"/>
    </row>
    <row r="29" spans="1:16" ht="30" x14ac:dyDescent="0.25">
      <c r="A29" s="370" t="s">
        <v>1611</v>
      </c>
      <c r="B29" s="373"/>
      <c r="E29" s="368" t="s">
        <v>1695</v>
      </c>
      <c r="J29" s="371"/>
    </row>
    <row r="30" spans="1:16" x14ac:dyDescent="0.25">
      <c r="A30" s="442" t="s">
        <v>1629</v>
      </c>
      <c r="B30" s="444"/>
      <c r="C30" s="443" t="s">
        <v>141</v>
      </c>
      <c r="D30" s="441"/>
      <c r="E30" s="442" t="s">
        <v>1592</v>
      </c>
      <c r="F30" s="441"/>
      <c r="G30" s="441"/>
      <c r="H30" s="441"/>
      <c r="I30" s="440">
        <f>SUMIFS(I31:I42,A31:A42,"P")</f>
        <v>0</v>
      </c>
      <c r="J30" s="379"/>
    </row>
    <row r="31" spans="1:16" x14ac:dyDescent="0.25">
      <c r="A31" s="370" t="s">
        <v>1617</v>
      </c>
      <c r="B31" s="370">
        <v>6</v>
      </c>
      <c r="C31" s="378" t="s">
        <v>1688</v>
      </c>
      <c r="D31" s="370" t="s">
        <v>1</v>
      </c>
      <c r="E31" s="368" t="s">
        <v>1687</v>
      </c>
      <c r="F31" s="375" t="s">
        <v>1665</v>
      </c>
      <c r="G31" s="377">
        <v>375</v>
      </c>
      <c r="H31" s="376">
        <v>0</v>
      </c>
      <c r="I31" s="376">
        <f>ROUND(G31*H31,P4)</f>
        <v>0</v>
      </c>
      <c r="J31" s="375" t="s">
        <v>1613</v>
      </c>
      <c r="O31" s="374">
        <f>I31*0.21</f>
        <v>0</v>
      </c>
      <c r="P31" s="364">
        <v>3</v>
      </c>
    </row>
    <row r="32" spans="1:16" x14ac:dyDescent="0.25">
      <c r="A32" s="370" t="s">
        <v>1612</v>
      </c>
      <c r="B32" s="373"/>
      <c r="E32" s="372"/>
      <c r="J32" s="371"/>
    </row>
    <row r="33" spans="1:16" x14ac:dyDescent="0.25">
      <c r="A33" s="370" t="s">
        <v>112</v>
      </c>
      <c r="B33" s="373"/>
      <c r="E33" s="460" t="s">
        <v>1722</v>
      </c>
      <c r="J33" s="371"/>
    </row>
    <row r="34" spans="1:16" ht="60" x14ac:dyDescent="0.25">
      <c r="A34" s="370" t="s">
        <v>1611</v>
      </c>
      <c r="B34" s="373"/>
      <c r="E34" s="368" t="s">
        <v>1685</v>
      </c>
      <c r="J34" s="371"/>
    </row>
    <row r="35" spans="1:16" x14ac:dyDescent="0.25">
      <c r="A35" s="370" t="s">
        <v>1617</v>
      </c>
      <c r="B35" s="370">
        <v>7</v>
      </c>
      <c r="C35" s="378" t="s">
        <v>1673</v>
      </c>
      <c r="D35" s="370" t="s">
        <v>1</v>
      </c>
      <c r="E35" s="368" t="s">
        <v>1672</v>
      </c>
      <c r="F35" s="375" t="s">
        <v>1665</v>
      </c>
      <c r="G35" s="377">
        <v>346</v>
      </c>
      <c r="H35" s="376">
        <v>0</v>
      </c>
      <c r="I35" s="376">
        <f>ROUND(G35*H35,P4)</f>
        <v>0</v>
      </c>
      <c r="J35" s="375" t="s">
        <v>1613</v>
      </c>
      <c r="O35" s="374">
        <f>I35*0.21</f>
        <v>0</v>
      </c>
      <c r="P35" s="364">
        <v>3</v>
      </c>
    </row>
    <row r="36" spans="1:16" x14ac:dyDescent="0.25">
      <c r="A36" s="370" t="s">
        <v>1612</v>
      </c>
      <c r="B36" s="373"/>
      <c r="E36" s="372"/>
      <c r="J36" s="371"/>
    </row>
    <row r="37" spans="1:16" x14ac:dyDescent="0.25">
      <c r="A37" s="370" t="s">
        <v>112</v>
      </c>
      <c r="B37" s="373"/>
      <c r="E37" s="460" t="s">
        <v>1721</v>
      </c>
      <c r="J37" s="371"/>
    </row>
    <row r="38" spans="1:16" ht="195" x14ac:dyDescent="0.25">
      <c r="A38" s="370" t="s">
        <v>1611</v>
      </c>
      <c r="B38" s="373"/>
      <c r="E38" s="368" t="s">
        <v>1663</v>
      </c>
      <c r="J38" s="371"/>
    </row>
    <row r="39" spans="1:16" ht="30" x14ac:dyDescent="0.25">
      <c r="A39" s="370" t="s">
        <v>1617</v>
      </c>
      <c r="B39" s="370">
        <v>8</v>
      </c>
      <c r="C39" s="378" t="s">
        <v>1667</v>
      </c>
      <c r="D39" s="370" t="s">
        <v>1</v>
      </c>
      <c r="E39" s="368" t="s">
        <v>1666</v>
      </c>
      <c r="F39" s="375" t="s">
        <v>1665</v>
      </c>
      <c r="G39" s="377">
        <v>29</v>
      </c>
      <c r="H39" s="376">
        <v>0</v>
      </c>
      <c r="I39" s="376">
        <f>ROUND(G39*H39,P4)</f>
        <v>0</v>
      </c>
      <c r="J39" s="375" t="s">
        <v>1613</v>
      </c>
      <c r="O39" s="374">
        <f>I39*0.21</f>
        <v>0</v>
      </c>
      <c r="P39" s="364">
        <v>3</v>
      </c>
    </row>
    <row r="40" spans="1:16" x14ac:dyDescent="0.25">
      <c r="A40" s="370" t="s">
        <v>1612</v>
      </c>
      <c r="B40" s="373"/>
      <c r="E40" s="372"/>
      <c r="J40" s="371"/>
    </row>
    <row r="41" spans="1:16" x14ac:dyDescent="0.25">
      <c r="A41" s="370" t="s">
        <v>112</v>
      </c>
      <c r="B41" s="373"/>
      <c r="E41" s="460" t="s">
        <v>1720</v>
      </c>
      <c r="J41" s="371"/>
    </row>
    <row r="42" spans="1:16" ht="195" x14ac:dyDescent="0.25">
      <c r="A42" s="370" t="s">
        <v>1611</v>
      </c>
      <c r="B42" s="373"/>
      <c r="E42" s="368" t="s">
        <v>1663</v>
      </c>
      <c r="J42" s="371"/>
    </row>
    <row r="43" spans="1:16" x14ac:dyDescent="0.25">
      <c r="A43" s="442" t="s">
        <v>1629</v>
      </c>
      <c r="B43" s="444"/>
      <c r="C43" s="443" t="s">
        <v>180</v>
      </c>
      <c r="D43" s="441"/>
      <c r="E43" s="442" t="s">
        <v>1662</v>
      </c>
      <c r="F43" s="441"/>
      <c r="G43" s="441"/>
      <c r="H43" s="441"/>
      <c r="I43" s="440">
        <f>SUMIFS(I44:I51,A44:A51,"P")</f>
        <v>0</v>
      </c>
      <c r="J43" s="379"/>
    </row>
    <row r="44" spans="1:16" x14ac:dyDescent="0.25">
      <c r="A44" s="370" t="s">
        <v>1617</v>
      </c>
      <c r="B44" s="370">
        <v>9</v>
      </c>
      <c r="C44" s="378" t="s">
        <v>1648</v>
      </c>
      <c r="D44" s="370" t="s">
        <v>1</v>
      </c>
      <c r="E44" s="368" t="s">
        <v>1647</v>
      </c>
      <c r="F44" s="375" t="s">
        <v>252</v>
      </c>
      <c r="G44" s="377">
        <v>161</v>
      </c>
      <c r="H44" s="376">
        <v>0</v>
      </c>
      <c r="I44" s="376">
        <f>ROUND(G44*H44,P4)</f>
        <v>0</v>
      </c>
      <c r="J44" s="375" t="s">
        <v>1613</v>
      </c>
      <c r="O44" s="374">
        <f>I44*0.21</f>
        <v>0</v>
      </c>
      <c r="P44" s="364">
        <v>3</v>
      </c>
    </row>
    <row r="45" spans="1:16" x14ac:dyDescent="0.25">
      <c r="A45" s="370" t="s">
        <v>1612</v>
      </c>
      <c r="B45" s="373"/>
      <c r="E45" s="372"/>
      <c r="J45" s="371"/>
    </row>
    <row r="46" spans="1:16" x14ac:dyDescent="0.25">
      <c r="A46" s="370" t="s">
        <v>112</v>
      </c>
      <c r="B46" s="373"/>
      <c r="E46" s="460" t="s">
        <v>1719</v>
      </c>
      <c r="J46" s="371"/>
    </row>
    <row r="47" spans="1:16" ht="60" x14ac:dyDescent="0.25">
      <c r="A47" s="370" t="s">
        <v>1611</v>
      </c>
      <c r="B47" s="373"/>
      <c r="E47" s="368" t="s">
        <v>1645</v>
      </c>
      <c r="J47" s="371"/>
    </row>
    <row r="48" spans="1:16" ht="30" x14ac:dyDescent="0.25">
      <c r="A48" s="370" t="s">
        <v>1617</v>
      </c>
      <c r="B48" s="370">
        <v>10</v>
      </c>
      <c r="C48" s="378" t="s">
        <v>1718</v>
      </c>
      <c r="D48" s="370" t="s">
        <v>1</v>
      </c>
      <c r="E48" s="368" t="s">
        <v>1717</v>
      </c>
      <c r="F48" s="375" t="s">
        <v>252</v>
      </c>
      <c r="G48" s="377">
        <v>162</v>
      </c>
      <c r="H48" s="376">
        <v>0</v>
      </c>
      <c r="I48" s="376">
        <f>ROUND(G48*H48,P4)</f>
        <v>0</v>
      </c>
      <c r="J48" s="375" t="s">
        <v>1613</v>
      </c>
      <c r="O48" s="374">
        <f>I48*0.21</f>
        <v>0</v>
      </c>
      <c r="P48" s="364">
        <v>3</v>
      </c>
    </row>
    <row r="49" spans="1:10" x14ac:dyDescent="0.25">
      <c r="A49" s="370" t="s">
        <v>1612</v>
      </c>
      <c r="B49" s="373"/>
      <c r="E49" s="372"/>
      <c r="J49" s="371"/>
    </row>
    <row r="50" spans="1:10" x14ac:dyDescent="0.25">
      <c r="A50" s="370" t="s">
        <v>112</v>
      </c>
      <c r="B50" s="373"/>
      <c r="E50" s="460" t="s">
        <v>1716</v>
      </c>
      <c r="J50" s="371"/>
    </row>
    <row r="51" spans="1:10" ht="60" x14ac:dyDescent="0.25">
      <c r="A51" s="370" t="s">
        <v>1611</v>
      </c>
      <c r="B51" s="369"/>
      <c r="C51" s="367"/>
      <c r="D51" s="367"/>
      <c r="E51" s="368" t="s">
        <v>1645</v>
      </c>
      <c r="F51" s="367"/>
      <c r="G51" s="367"/>
      <c r="H51" s="367"/>
      <c r="I51" s="367"/>
      <c r="J51" s="366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598D-DAE9-4B18-AB73-30B904A64D8D}">
  <sheetPr>
    <pageSetUpPr fitToPage="1"/>
  </sheetPr>
  <dimension ref="A1:P52"/>
  <sheetViews>
    <sheetView topLeftCell="B37" workbookViewId="0">
      <selection activeCell="E49" sqref="E49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3" t="s">
        <v>1639</v>
      </c>
      <c r="D3" s="684"/>
      <c r="E3" s="450" t="s">
        <v>1638</v>
      </c>
      <c r="F3" s="365"/>
      <c r="G3" s="365"/>
      <c r="H3" s="382" t="s">
        <v>1595</v>
      </c>
      <c r="I3" s="381">
        <f>SUMIFS(I9:I52,A9:A52,"SD")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3" t="s">
        <v>1003</v>
      </c>
      <c r="D4" s="684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3" t="s">
        <v>1595</v>
      </c>
      <c r="D5" s="684"/>
      <c r="E5" s="450" t="s">
        <v>1594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5" t="s">
        <v>52</v>
      </c>
      <c r="B6" s="686" t="s">
        <v>1634</v>
      </c>
      <c r="C6" s="687" t="s">
        <v>1369</v>
      </c>
      <c r="D6" s="687" t="s">
        <v>1633</v>
      </c>
      <c r="E6" s="687" t="s">
        <v>1632</v>
      </c>
      <c r="F6" s="687" t="s">
        <v>88</v>
      </c>
      <c r="G6" s="687" t="s">
        <v>89</v>
      </c>
      <c r="H6" s="687" t="s">
        <v>1631</v>
      </c>
      <c r="I6" s="687"/>
      <c r="J6" s="688" t="s">
        <v>91</v>
      </c>
    </row>
    <row r="7" spans="1:16" x14ac:dyDescent="0.25">
      <c r="A7" s="685"/>
      <c r="B7" s="686"/>
      <c r="C7" s="687"/>
      <c r="D7" s="687"/>
      <c r="E7" s="687"/>
      <c r="F7" s="687"/>
      <c r="G7" s="687"/>
      <c r="H7" s="447" t="s">
        <v>1630</v>
      </c>
      <c r="I7" s="447" t="s">
        <v>1579</v>
      </c>
      <c r="J7" s="688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v>115.52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1735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SUMIFS(I15:I30,A15:A30,"P")</f>
        <v>0</v>
      </c>
      <c r="J14" s="379"/>
    </row>
    <row r="15" spans="1:16" x14ac:dyDescent="0.25">
      <c r="A15" s="370" t="s">
        <v>1617</v>
      </c>
      <c r="B15" s="370"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v>91.2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1734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60.8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1733</v>
      </c>
      <c r="J21" s="371"/>
    </row>
    <row r="22" spans="1:16" ht="409.5" x14ac:dyDescent="0.25">
      <c r="A22" s="370" t="s">
        <v>1611</v>
      </c>
      <c r="B22" s="373"/>
      <c r="E22" s="368" t="s">
        <v>1703</v>
      </c>
      <c r="J22" s="371"/>
    </row>
    <row r="23" spans="1:16" x14ac:dyDescent="0.25">
      <c r="A23" s="370" t="s">
        <v>1617</v>
      </c>
      <c r="B23" s="370">
        <v>4</v>
      </c>
      <c r="C23" s="378" t="s">
        <v>1702</v>
      </c>
      <c r="D23" s="370" t="s">
        <v>1</v>
      </c>
      <c r="E23" s="368" t="s">
        <v>1701</v>
      </c>
      <c r="F23" s="375" t="s">
        <v>1651</v>
      </c>
      <c r="G23" s="377">
        <v>10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1732</v>
      </c>
      <c r="J25" s="371"/>
    </row>
    <row r="26" spans="1:16" ht="390" x14ac:dyDescent="0.25">
      <c r="A26" s="370" t="s">
        <v>1611</v>
      </c>
      <c r="B26" s="373"/>
      <c r="E26" s="368" t="s">
        <v>1699</v>
      </c>
      <c r="J26" s="371"/>
    </row>
    <row r="27" spans="1:16" x14ac:dyDescent="0.25">
      <c r="A27" s="370" t="s">
        <v>1617</v>
      </c>
      <c r="B27" s="370">
        <v>5</v>
      </c>
      <c r="C27" s="378" t="s">
        <v>1698</v>
      </c>
      <c r="D27" s="370" t="s">
        <v>1</v>
      </c>
      <c r="E27" s="368" t="s">
        <v>1697</v>
      </c>
      <c r="F27" s="375" t="s">
        <v>1665</v>
      </c>
      <c r="G27" s="377">
        <v>366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x14ac:dyDescent="0.25">
      <c r="A29" s="370" t="s">
        <v>112</v>
      </c>
      <c r="B29" s="373"/>
      <c r="E29" s="460" t="s">
        <v>1731</v>
      </c>
      <c r="J29" s="371"/>
    </row>
    <row r="30" spans="1:16" ht="30" x14ac:dyDescent="0.25">
      <c r="A30" s="370" t="s">
        <v>1611</v>
      </c>
      <c r="B30" s="373"/>
      <c r="E30" s="368" t="s">
        <v>1695</v>
      </c>
      <c r="J30" s="371"/>
    </row>
    <row r="31" spans="1:16" x14ac:dyDescent="0.25">
      <c r="A31" s="442" t="s">
        <v>1629</v>
      </c>
      <c r="B31" s="444"/>
      <c r="C31" s="443" t="s">
        <v>141</v>
      </c>
      <c r="D31" s="441"/>
      <c r="E31" s="442" t="s">
        <v>1592</v>
      </c>
      <c r="F31" s="441"/>
      <c r="G31" s="441"/>
      <c r="H31" s="441"/>
      <c r="I31" s="440">
        <f>SUMIFS(I32:I43,A32:A43,"P")</f>
        <v>0</v>
      </c>
      <c r="J31" s="379"/>
    </row>
    <row r="32" spans="1:16" x14ac:dyDescent="0.25">
      <c r="A32" s="370" t="s">
        <v>1617</v>
      </c>
      <c r="B32" s="370">
        <v>6</v>
      </c>
      <c r="C32" s="378" t="s">
        <v>1688</v>
      </c>
      <c r="D32" s="370" t="s">
        <v>1</v>
      </c>
      <c r="E32" s="368" t="s">
        <v>1687</v>
      </c>
      <c r="F32" s="375" t="s">
        <v>1665</v>
      </c>
      <c r="G32" s="377">
        <v>366</v>
      </c>
      <c r="H32" s="376">
        <v>0</v>
      </c>
      <c r="I32" s="376">
        <f>ROUND(G32*H32,P4)</f>
        <v>0</v>
      </c>
      <c r="J32" s="375" t="s">
        <v>1613</v>
      </c>
      <c r="O32" s="374">
        <f>I32*0.21</f>
        <v>0</v>
      </c>
      <c r="P32" s="364">
        <v>3</v>
      </c>
    </row>
    <row r="33" spans="1:16" x14ac:dyDescent="0.25">
      <c r="A33" s="370" t="s">
        <v>1612</v>
      </c>
      <c r="B33" s="373"/>
      <c r="E33" s="372"/>
      <c r="J33" s="371"/>
    </row>
    <row r="34" spans="1:16" ht="45" x14ac:dyDescent="0.25">
      <c r="A34" s="370" t="s">
        <v>112</v>
      </c>
      <c r="B34" s="373"/>
      <c r="E34" s="460" t="s">
        <v>1730</v>
      </c>
      <c r="J34" s="371"/>
    </row>
    <row r="35" spans="1:16" ht="60" x14ac:dyDescent="0.25">
      <c r="A35" s="370" t="s">
        <v>1611</v>
      </c>
      <c r="B35" s="373"/>
      <c r="E35" s="368" t="s">
        <v>1685</v>
      </c>
      <c r="J35" s="371"/>
    </row>
    <row r="36" spans="1:16" x14ac:dyDescent="0.25">
      <c r="A36" s="370" t="s">
        <v>1617</v>
      </c>
      <c r="B36" s="370">
        <v>7</v>
      </c>
      <c r="C36" s="378" t="s">
        <v>1673</v>
      </c>
      <c r="D36" s="370" t="s">
        <v>1</v>
      </c>
      <c r="E36" s="368" t="s">
        <v>1672</v>
      </c>
      <c r="F36" s="375" t="s">
        <v>1665</v>
      </c>
      <c r="G36" s="377">
        <v>349.3</v>
      </c>
      <c r="H36" s="376">
        <v>0</v>
      </c>
      <c r="I36" s="376">
        <f>ROUND(G36*H36,P4)</f>
        <v>0</v>
      </c>
      <c r="J36" s="375" t="s">
        <v>1613</v>
      </c>
      <c r="O36" s="374">
        <f>I36*0.21</f>
        <v>0</v>
      </c>
      <c r="P36" s="364">
        <v>3</v>
      </c>
    </row>
    <row r="37" spans="1:16" x14ac:dyDescent="0.25">
      <c r="A37" s="370" t="s">
        <v>1612</v>
      </c>
      <c r="B37" s="373"/>
      <c r="E37" s="372"/>
      <c r="J37" s="371"/>
    </row>
    <row r="38" spans="1:16" ht="45" x14ac:dyDescent="0.25">
      <c r="A38" s="370" t="s">
        <v>112</v>
      </c>
      <c r="B38" s="373"/>
      <c r="E38" s="460" t="s">
        <v>1729</v>
      </c>
      <c r="J38" s="371"/>
    </row>
    <row r="39" spans="1:16" ht="195" x14ac:dyDescent="0.25">
      <c r="A39" s="370" t="s">
        <v>1611</v>
      </c>
      <c r="B39" s="373"/>
      <c r="E39" s="368" t="s">
        <v>1663</v>
      </c>
      <c r="J39" s="371"/>
    </row>
    <row r="40" spans="1:16" ht="30" x14ac:dyDescent="0.25">
      <c r="A40" s="370" t="s">
        <v>1617</v>
      </c>
      <c r="B40" s="370">
        <v>8</v>
      </c>
      <c r="C40" s="378" t="s">
        <v>1667</v>
      </c>
      <c r="D40" s="370" t="s">
        <v>1</v>
      </c>
      <c r="E40" s="368" t="s">
        <v>1666</v>
      </c>
      <c r="F40" s="375" t="s">
        <v>1665</v>
      </c>
      <c r="G40" s="377">
        <v>16.7</v>
      </c>
      <c r="H40" s="376">
        <v>0</v>
      </c>
      <c r="I40" s="376">
        <f>ROUND(G40*H40,P4)</f>
        <v>0</v>
      </c>
      <c r="J40" s="375" t="s">
        <v>1613</v>
      </c>
      <c r="O40" s="374">
        <f>I40*0.21</f>
        <v>0</v>
      </c>
      <c r="P40" s="364">
        <v>3</v>
      </c>
    </row>
    <row r="41" spans="1:16" x14ac:dyDescent="0.25">
      <c r="A41" s="370" t="s">
        <v>1612</v>
      </c>
      <c r="B41" s="373"/>
      <c r="E41" s="372"/>
      <c r="J41" s="371"/>
    </row>
    <row r="42" spans="1:16" x14ac:dyDescent="0.25">
      <c r="A42" s="370" t="s">
        <v>112</v>
      </c>
      <c r="B42" s="373"/>
      <c r="E42" s="460" t="s">
        <v>1728</v>
      </c>
      <c r="J42" s="371"/>
    </row>
    <row r="43" spans="1:16" ht="195" x14ac:dyDescent="0.25">
      <c r="A43" s="370" t="s">
        <v>1611</v>
      </c>
      <c r="B43" s="373"/>
      <c r="E43" s="368" t="s">
        <v>1663</v>
      </c>
      <c r="J43" s="371"/>
    </row>
    <row r="44" spans="1:16" x14ac:dyDescent="0.25">
      <c r="A44" s="442" t="s">
        <v>1629</v>
      </c>
      <c r="B44" s="444"/>
      <c r="C44" s="443" t="s">
        <v>180</v>
      </c>
      <c r="D44" s="441"/>
      <c r="E44" s="442" t="s">
        <v>1662</v>
      </c>
      <c r="F44" s="441"/>
      <c r="G44" s="441"/>
      <c r="H44" s="441"/>
      <c r="I44" s="440">
        <f>SUMIFS(I45:I52,A45:A52,"P")</f>
        <v>0</v>
      </c>
      <c r="J44" s="379"/>
    </row>
    <row r="45" spans="1:16" x14ac:dyDescent="0.25">
      <c r="A45" s="370" t="s">
        <v>1617</v>
      </c>
      <c r="B45" s="370">
        <v>9</v>
      </c>
      <c r="C45" s="378" t="s">
        <v>1648</v>
      </c>
      <c r="D45" s="370" t="s">
        <v>1</v>
      </c>
      <c r="E45" s="368" t="s">
        <v>1647</v>
      </c>
      <c r="F45" s="375" t="s">
        <v>252</v>
      </c>
      <c r="G45" s="377">
        <v>44.2</v>
      </c>
      <c r="H45" s="376">
        <v>0</v>
      </c>
      <c r="I45" s="376">
        <f>ROUND(G45*H45,P4)</f>
        <v>0</v>
      </c>
      <c r="J45" s="375" t="s">
        <v>1613</v>
      </c>
      <c r="O45" s="374">
        <f>I45*0.21</f>
        <v>0</v>
      </c>
      <c r="P45" s="364">
        <v>3</v>
      </c>
    </row>
    <row r="46" spans="1:16" x14ac:dyDescent="0.25">
      <c r="A46" s="370" t="s">
        <v>1612</v>
      </c>
      <c r="B46" s="373"/>
      <c r="E46" s="372"/>
      <c r="J46" s="371"/>
    </row>
    <row r="47" spans="1:16" x14ac:dyDescent="0.25">
      <c r="A47" s="370" t="s">
        <v>112</v>
      </c>
      <c r="B47" s="373"/>
      <c r="E47" s="460" t="s">
        <v>1727</v>
      </c>
      <c r="J47" s="371"/>
    </row>
    <row r="48" spans="1:16" ht="60" x14ac:dyDescent="0.25">
      <c r="A48" s="370" t="s">
        <v>1611</v>
      </c>
      <c r="B48" s="373"/>
      <c r="E48" s="368" t="s">
        <v>1645</v>
      </c>
      <c r="J48" s="371"/>
    </row>
    <row r="49" spans="1:16" ht="30" x14ac:dyDescent="0.25">
      <c r="A49" s="370" t="s">
        <v>1617</v>
      </c>
      <c r="B49" s="370">
        <v>10</v>
      </c>
      <c r="C49" s="378" t="s">
        <v>1718</v>
      </c>
      <c r="D49" s="370" t="s">
        <v>1</v>
      </c>
      <c r="E49" s="368" t="s">
        <v>1717</v>
      </c>
      <c r="F49" s="375" t="s">
        <v>252</v>
      </c>
      <c r="G49" s="377">
        <v>90</v>
      </c>
      <c r="H49" s="376">
        <v>0</v>
      </c>
      <c r="I49" s="376">
        <f>ROUND(G49*H49,P4)</f>
        <v>0</v>
      </c>
      <c r="J49" s="375" t="s">
        <v>1613</v>
      </c>
      <c r="O49" s="374">
        <f>I49*0.21</f>
        <v>0</v>
      </c>
      <c r="P49" s="364">
        <v>3</v>
      </c>
    </row>
    <row r="50" spans="1:16" x14ac:dyDescent="0.25">
      <c r="A50" s="370" t="s">
        <v>1612</v>
      </c>
      <c r="B50" s="373"/>
      <c r="E50" s="372"/>
      <c r="J50" s="371"/>
    </row>
    <row r="51" spans="1:16" x14ac:dyDescent="0.25">
      <c r="A51" s="370" t="s">
        <v>112</v>
      </c>
      <c r="B51" s="373"/>
      <c r="E51" s="460" t="s">
        <v>1726</v>
      </c>
      <c r="J51" s="371"/>
    </row>
    <row r="52" spans="1:16" ht="60" x14ac:dyDescent="0.25">
      <c r="A52" s="370" t="s">
        <v>1611</v>
      </c>
      <c r="B52" s="369"/>
      <c r="C52" s="367"/>
      <c r="D52" s="367"/>
      <c r="E52" s="368" t="s">
        <v>1645</v>
      </c>
      <c r="F52" s="367"/>
      <c r="G52" s="367"/>
      <c r="H52" s="367"/>
      <c r="I52" s="367"/>
      <c r="J52" s="366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6127-AE74-4373-9C4F-0570B63C9DDD}">
  <sheetPr>
    <pageSetUpPr fitToPage="1"/>
  </sheetPr>
  <dimension ref="A1:P137"/>
  <sheetViews>
    <sheetView topLeftCell="B46" workbookViewId="0">
      <selection activeCell="H143" sqref="H143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3" t="s">
        <v>1639</v>
      </c>
      <c r="D3" s="684"/>
      <c r="E3" s="450" t="s">
        <v>1638</v>
      </c>
      <c r="F3" s="365"/>
      <c r="G3" s="365"/>
      <c r="H3" s="382" t="s">
        <v>1593</v>
      </c>
      <c r="I3" s="381">
        <f>SUMIFS(I9:I137,A9:A137,"SD")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3" t="s">
        <v>1003</v>
      </c>
      <c r="D4" s="684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3" t="s">
        <v>1593</v>
      </c>
      <c r="D5" s="684"/>
      <c r="E5" s="450" t="s">
        <v>1896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5" t="s">
        <v>52</v>
      </c>
      <c r="B6" s="686" t="s">
        <v>1634</v>
      </c>
      <c r="C6" s="687" t="s">
        <v>1369</v>
      </c>
      <c r="D6" s="687" t="s">
        <v>1633</v>
      </c>
      <c r="E6" s="687" t="s">
        <v>1632</v>
      </c>
      <c r="F6" s="687" t="s">
        <v>88</v>
      </c>
      <c r="G6" s="687" t="s">
        <v>89</v>
      </c>
      <c r="H6" s="687" t="s">
        <v>1631</v>
      </c>
      <c r="I6" s="687"/>
      <c r="J6" s="688" t="s">
        <v>91</v>
      </c>
    </row>
    <row r="7" spans="1:16" x14ac:dyDescent="0.25">
      <c r="A7" s="685"/>
      <c r="B7" s="686"/>
      <c r="C7" s="687"/>
      <c r="D7" s="687"/>
      <c r="E7" s="687"/>
      <c r="F7" s="687"/>
      <c r="G7" s="687"/>
      <c r="H7" s="447" t="s">
        <v>1630</v>
      </c>
      <c r="I7" s="447" t="s">
        <v>1579</v>
      </c>
      <c r="J7" s="688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SUMIFS(I10:I17,A10:A17,"P")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f>430*1.9</f>
        <v>817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1897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ht="30" x14ac:dyDescent="0.25">
      <c r="A14" s="370" t="s">
        <v>1617</v>
      </c>
      <c r="B14" s="370">
        <v>2</v>
      </c>
      <c r="C14" s="378" t="s">
        <v>1817</v>
      </c>
      <c r="D14" s="370" t="s">
        <v>1</v>
      </c>
      <c r="E14" s="368" t="s">
        <v>1816</v>
      </c>
      <c r="F14" s="375" t="s">
        <v>1713</v>
      </c>
      <c r="G14" s="377">
        <v>34.734000000000002</v>
      </c>
      <c r="H14" s="376">
        <v>0</v>
      </c>
      <c r="I14" s="376">
        <f>ROUND(G14*H14,P4)</f>
        <v>0</v>
      </c>
      <c r="J14" s="375" t="s">
        <v>1613</v>
      </c>
      <c r="O14" s="374">
        <f>I14*0.21</f>
        <v>0</v>
      </c>
      <c r="P14" s="364">
        <v>3</v>
      </c>
    </row>
    <row r="15" spans="1:16" x14ac:dyDescent="0.25">
      <c r="A15" s="370" t="s">
        <v>1612</v>
      </c>
      <c r="B15" s="373"/>
      <c r="E15" s="372"/>
      <c r="J15" s="371"/>
    </row>
    <row r="16" spans="1:16" ht="60" x14ac:dyDescent="0.25">
      <c r="A16" s="370" t="s">
        <v>112</v>
      </c>
      <c r="B16" s="373"/>
      <c r="E16" s="460" t="s">
        <v>1815</v>
      </c>
      <c r="J16" s="371"/>
    </row>
    <row r="17" spans="1:16" ht="165" x14ac:dyDescent="0.25">
      <c r="A17" s="370" t="s">
        <v>1611</v>
      </c>
      <c r="B17" s="373"/>
      <c r="E17" s="368" t="s">
        <v>1711</v>
      </c>
      <c r="J17" s="371"/>
    </row>
    <row r="18" spans="1:16" x14ac:dyDescent="0.25">
      <c r="A18" s="442" t="s">
        <v>1629</v>
      </c>
      <c r="B18" s="444"/>
      <c r="C18" s="443" t="s">
        <v>63</v>
      </c>
      <c r="D18" s="441"/>
      <c r="E18" s="442" t="s">
        <v>102</v>
      </c>
      <c r="F18" s="441"/>
      <c r="G18" s="441"/>
      <c r="H18" s="441"/>
      <c r="I18" s="440">
        <f>SUMIFS(I19:I50,A19:A50,"P")</f>
        <v>0</v>
      </c>
      <c r="J18" s="379"/>
    </row>
    <row r="19" spans="1:16" ht="30" x14ac:dyDescent="0.25">
      <c r="A19" s="370" t="s">
        <v>1617</v>
      </c>
      <c r="B19" s="370">
        <v>3</v>
      </c>
      <c r="C19" s="378" t="s">
        <v>1814</v>
      </c>
      <c r="D19" s="370" t="s">
        <v>1</v>
      </c>
      <c r="E19" s="368" t="s">
        <v>1813</v>
      </c>
      <c r="F19" s="375" t="s">
        <v>1622</v>
      </c>
      <c r="G19" s="377">
        <v>2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1761</v>
      </c>
      <c r="J21" s="371"/>
    </row>
    <row r="22" spans="1:16" ht="195" x14ac:dyDescent="0.25">
      <c r="A22" s="370" t="s">
        <v>1611</v>
      </c>
      <c r="B22" s="373"/>
      <c r="E22" s="368" t="s">
        <v>1812</v>
      </c>
      <c r="J22" s="371"/>
    </row>
    <row r="23" spans="1:16" ht="30" x14ac:dyDescent="0.25">
      <c r="A23" s="370" t="s">
        <v>1617</v>
      </c>
      <c r="B23" s="370">
        <v>4</v>
      </c>
      <c r="C23" s="378" t="s">
        <v>1811</v>
      </c>
      <c r="D23" s="370" t="s">
        <v>1</v>
      </c>
      <c r="E23" s="368" t="s">
        <v>1810</v>
      </c>
      <c r="F23" s="375" t="s">
        <v>252</v>
      </c>
      <c r="G23" s="377">
        <v>73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1809</v>
      </c>
      <c r="J25" s="371"/>
    </row>
    <row r="26" spans="1:16" ht="90" x14ac:dyDescent="0.25">
      <c r="A26" s="370" t="s">
        <v>1611</v>
      </c>
      <c r="B26" s="373"/>
      <c r="E26" s="368" t="s">
        <v>1808</v>
      </c>
      <c r="J26" s="371"/>
    </row>
    <row r="27" spans="1:16" x14ac:dyDescent="0.25">
      <c r="A27" s="370" t="s">
        <v>1617</v>
      </c>
      <c r="B27" s="370">
        <v>5</v>
      </c>
      <c r="C27" s="378" t="s">
        <v>1710</v>
      </c>
      <c r="D27" s="370" t="s">
        <v>1</v>
      </c>
      <c r="E27" s="368" t="s">
        <v>1709</v>
      </c>
      <c r="F27" s="375" t="s">
        <v>1651</v>
      </c>
      <c r="G27" s="377">
        <f>1464*0.2</f>
        <v>292.8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x14ac:dyDescent="0.25">
      <c r="A29" s="370" t="s">
        <v>112</v>
      </c>
      <c r="B29" s="373"/>
      <c r="E29" s="460" t="s">
        <v>1898</v>
      </c>
      <c r="J29" s="371"/>
    </row>
    <row r="30" spans="1:16" ht="45" x14ac:dyDescent="0.25">
      <c r="A30" s="370" t="s">
        <v>1611</v>
      </c>
      <c r="B30" s="373"/>
      <c r="E30" s="368" t="s">
        <v>1707</v>
      </c>
      <c r="J30" s="371"/>
    </row>
    <row r="31" spans="1:16" x14ac:dyDescent="0.25">
      <c r="A31" s="370" t="s">
        <v>1617</v>
      </c>
      <c r="B31" s="370">
        <v>6</v>
      </c>
      <c r="C31" s="378" t="s">
        <v>1706</v>
      </c>
      <c r="D31" s="370" t="s">
        <v>1</v>
      </c>
      <c r="E31" s="368" t="s">
        <v>1705</v>
      </c>
      <c r="F31" s="375" t="s">
        <v>1651</v>
      </c>
      <c r="G31" s="377">
        <v>430</v>
      </c>
      <c r="H31" s="376">
        <v>0</v>
      </c>
      <c r="I31" s="376">
        <f>ROUND(G31*H31,P4)</f>
        <v>0</v>
      </c>
      <c r="J31" s="375" t="s">
        <v>1613</v>
      </c>
      <c r="O31" s="374">
        <f>I31*0.21</f>
        <v>0</v>
      </c>
      <c r="P31" s="364">
        <v>3</v>
      </c>
    </row>
    <row r="32" spans="1:16" x14ac:dyDescent="0.25">
      <c r="A32" s="370" t="s">
        <v>1612</v>
      </c>
      <c r="B32" s="373"/>
      <c r="E32" s="372"/>
      <c r="J32" s="371"/>
    </row>
    <row r="33" spans="1:16" x14ac:dyDescent="0.25">
      <c r="A33" s="370" t="s">
        <v>112</v>
      </c>
      <c r="B33" s="373"/>
      <c r="E33" s="460" t="s">
        <v>1899</v>
      </c>
      <c r="J33" s="371"/>
    </row>
    <row r="34" spans="1:16" ht="409.5" x14ac:dyDescent="0.25">
      <c r="A34" s="370" t="s">
        <v>1611</v>
      </c>
      <c r="B34" s="373"/>
      <c r="E34" s="368" t="s">
        <v>1703</v>
      </c>
      <c r="J34" s="371"/>
    </row>
    <row r="35" spans="1:16" x14ac:dyDescent="0.25">
      <c r="A35" s="370" t="s">
        <v>1617</v>
      </c>
      <c r="B35" s="370">
        <v>7</v>
      </c>
      <c r="C35" s="378" t="s">
        <v>1698</v>
      </c>
      <c r="D35" s="370" t="s">
        <v>1</v>
      </c>
      <c r="E35" s="368" t="s">
        <v>1697</v>
      </c>
      <c r="F35" s="375" t="s">
        <v>1665</v>
      </c>
      <c r="G35" s="377">
        <f>659+232</f>
        <v>891</v>
      </c>
      <c r="H35" s="376">
        <v>0</v>
      </c>
      <c r="I35" s="376">
        <f>ROUND(G35*H35,P4)</f>
        <v>0</v>
      </c>
      <c r="J35" s="375" t="s">
        <v>1613</v>
      </c>
      <c r="O35" s="374">
        <f>I35*0.21</f>
        <v>0</v>
      </c>
      <c r="P35" s="364">
        <v>3</v>
      </c>
    </row>
    <row r="36" spans="1:16" x14ac:dyDescent="0.25">
      <c r="A36" s="370" t="s">
        <v>1612</v>
      </c>
      <c r="B36" s="373"/>
      <c r="E36" s="372"/>
      <c r="J36" s="371"/>
    </row>
    <row r="37" spans="1:16" x14ac:dyDescent="0.25">
      <c r="A37" s="370" t="s">
        <v>112</v>
      </c>
      <c r="B37" s="373"/>
      <c r="E37" s="460" t="s">
        <v>1900</v>
      </c>
      <c r="J37" s="371"/>
    </row>
    <row r="38" spans="1:16" ht="30" x14ac:dyDescent="0.25">
      <c r="A38" s="370" t="s">
        <v>1611</v>
      </c>
      <c r="B38" s="373"/>
      <c r="E38" s="368" t="s">
        <v>1695</v>
      </c>
      <c r="J38" s="371"/>
    </row>
    <row r="39" spans="1:16" x14ac:dyDescent="0.25">
      <c r="A39" s="370" t="s">
        <v>1617</v>
      </c>
      <c r="B39" s="370">
        <v>8</v>
      </c>
      <c r="C39" s="378" t="s">
        <v>1806</v>
      </c>
      <c r="D39" s="370" t="s">
        <v>1</v>
      </c>
      <c r="E39" s="368" t="s">
        <v>1805</v>
      </c>
      <c r="F39" s="375" t="s">
        <v>1665</v>
      </c>
      <c r="G39" s="377">
        <f>72+144+201</f>
        <v>417</v>
      </c>
      <c r="H39" s="376">
        <v>0</v>
      </c>
      <c r="I39" s="376">
        <f>ROUND(G39*H39,P4)</f>
        <v>0</v>
      </c>
      <c r="J39" s="375" t="s">
        <v>1613</v>
      </c>
      <c r="O39" s="374">
        <f>I39*0.21</f>
        <v>0</v>
      </c>
      <c r="P39" s="364">
        <v>3</v>
      </c>
    </row>
    <row r="40" spans="1:16" x14ac:dyDescent="0.25">
      <c r="A40" s="370" t="s">
        <v>1612</v>
      </c>
      <c r="B40" s="373"/>
      <c r="E40" s="372"/>
      <c r="J40" s="371"/>
    </row>
    <row r="41" spans="1:16" x14ac:dyDescent="0.25">
      <c r="A41" s="370" t="s">
        <v>112</v>
      </c>
      <c r="B41" s="373"/>
      <c r="E41" s="460" t="s">
        <v>1901</v>
      </c>
      <c r="J41" s="371"/>
    </row>
    <row r="42" spans="1:16" x14ac:dyDescent="0.25">
      <c r="A42" s="370" t="s">
        <v>1611</v>
      </c>
      <c r="B42" s="373"/>
      <c r="E42" s="368" t="s">
        <v>1804</v>
      </c>
      <c r="J42" s="371"/>
    </row>
    <row r="43" spans="1:16" x14ac:dyDescent="0.25">
      <c r="A43" s="370" t="s">
        <v>1617</v>
      </c>
      <c r="B43" s="370">
        <v>9</v>
      </c>
      <c r="C43" s="378" t="s">
        <v>1803</v>
      </c>
      <c r="D43" s="370" t="s">
        <v>1</v>
      </c>
      <c r="E43" s="368" t="s">
        <v>1802</v>
      </c>
      <c r="F43" s="375" t="s">
        <v>1665</v>
      </c>
      <c r="G43" s="377">
        <v>417</v>
      </c>
      <c r="H43" s="376">
        <v>0</v>
      </c>
      <c r="I43" s="376">
        <f>ROUND(G43*H43,P4)</f>
        <v>0</v>
      </c>
      <c r="J43" s="375" t="s">
        <v>1613</v>
      </c>
      <c r="O43" s="374">
        <f>I43*0.21</f>
        <v>0</v>
      </c>
      <c r="P43" s="364">
        <v>3</v>
      </c>
    </row>
    <row r="44" spans="1:16" x14ac:dyDescent="0.25">
      <c r="A44" s="370" t="s">
        <v>1612</v>
      </c>
      <c r="B44" s="373"/>
      <c r="E44" s="372"/>
      <c r="J44" s="371"/>
    </row>
    <row r="45" spans="1:16" x14ac:dyDescent="0.25">
      <c r="A45" s="370" t="s">
        <v>112</v>
      </c>
      <c r="B45" s="373"/>
      <c r="E45" s="460" t="s">
        <v>1902</v>
      </c>
      <c r="J45" s="371"/>
    </row>
    <row r="46" spans="1:16" ht="45" x14ac:dyDescent="0.25">
      <c r="A46" s="370" t="s">
        <v>1611</v>
      </c>
      <c r="B46" s="373"/>
      <c r="E46" s="368" t="s">
        <v>1801</v>
      </c>
      <c r="J46" s="371"/>
    </row>
    <row r="47" spans="1:16" x14ac:dyDescent="0.25">
      <c r="A47" s="370" t="s">
        <v>1617</v>
      </c>
      <c r="B47" s="370">
        <v>10</v>
      </c>
      <c r="C47" s="378" t="s">
        <v>1800</v>
      </c>
      <c r="D47" s="370" t="s">
        <v>1</v>
      </c>
      <c r="E47" s="368" t="s">
        <v>1799</v>
      </c>
      <c r="F47" s="375" t="s">
        <v>1665</v>
      </c>
      <c r="G47" s="377">
        <v>417</v>
      </c>
      <c r="H47" s="376">
        <v>0</v>
      </c>
      <c r="I47" s="376">
        <f>ROUND(G47*H47,P4)</f>
        <v>0</v>
      </c>
      <c r="J47" s="375" t="s">
        <v>1613</v>
      </c>
      <c r="O47" s="374">
        <f>I47*0.21</f>
        <v>0</v>
      </c>
      <c r="P47" s="364">
        <v>3</v>
      </c>
    </row>
    <row r="48" spans="1:16" x14ac:dyDescent="0.25">
      <c r="A48" s="370" t="s">
        <v>1612</v>
      </c>
      <c r="B48" s="373"/>
      <c r="E48" s="372"/>
      <c r="J48" s="371"/>
    </row>
    <row r="49" spans="1:16" x14ac:dyDescent="0.25">
      <c r="A49" s="370" t="s">
        <v>112</v>
      </c>
      <c r="B49" s="373"/>
      <c r="E49" s="460" t="s">
        <v>1903</v>
      </c>
      <c r="J49" s="371"/>
    </row>
    <row r="50" spans="1:16" ht="30" x14ac:dyDescent="0.25">
      <c r="A50" s="370" t="s">
        <v>1611</v>
      </c>
      <c r="B50" s="373"/>
      <c r="E50" s="368" t="s">
        <v>1798</v>
      </c>
      <c r="J50" s="371"/>
    </row>
    <row r="51" spans="1:16" x14ac:dyDescent="0.25">
      <c r="A51" s="442" t="s">
        <v>1629</v>
      </c>
      <c r="B51" s="444"/>
      <c r="C51" s="443" t="s">
        <v>65</v>
      </c>
      <c r="D51" s="441"/>
      <c r="E51" s="442" t="s">
        <v>1797</v>
      </c>
      <c r="F51" s="441"/>
      <c r="G51" s="441"/>
      <c r="H51" s="441"/>
      <c r="I51" s="440">
        <f>SUMIFS(I52:I59,A52:A59,"P")</f>
        <v>0</v>
      </c>
      <c r="J51" s="379"/>
    </row>
    <row r="52" spans="1:16" x14ac:dyDescent="0.25">
      <c r="A52" s="370" t="s">
        <v>1617</v>
      </c>
      <c r="B52" s="370">
        <v>11</v>
      </c>
      <c r="C52" s="378" t="s">
        <v>1796</v>
      </c>
      <c r="D52" s="370" t="s">
        <v>1</v>
      </c>
      <c r="E52" s="368" t="s">
        <v>1795</v>
      </c>
      <c r="F52" s="375" t="s">
        <v>252</v>
      </c>
      <c r="G52" s="377">
        <f>2*60</f>
        <v>120</v>
      </c>
      <c r="H52" s="376">
        <v>0</v>
      </c>
      <c r="I52" s="376">
        <f>ROUND(G52*H52,P4)</f>
        <v>0</v>
      </c>
      <c r="J52" s="375" t="s">
        <v>1613</v>
      </c>
      <c r="O52" s="374">
        <f>I52*0.21</f>
        <v>0</v>
      </c>
      <c r="P52" s="364">
        <v>3</v>
      </c>
    </row>
    <row r="53" spans="1:16" x14ac:dyDescent="0.25">
      <c r="A53" s="370" t="s">
        <v>1612</v>
      </c>
      <c r="B53" s="373"/>
      <c r="E53" s="372"/>
      <c r="J53" s="371"/>
    </row>
    <row r="54" spans="1:16" x14ac:dyDescent="0.25">
      <c r="A54" s="370" t="s">
        <v>112</v>
      </c>
      <c r="B54" s="373"/>
      <c r="E54" s="460" t="s">
        <v>1904</v>
      </c>
      <c r="J54" s="371"/>
    </row>
    <row r="55" spans="1:16" ht="195" x14ac:dyDescent="0.25">
      <c r="A55" s="370" t="s">
        <v>1611</v>
      </c>
      <c r="B55" s="373"/>
      <c r="E55" s="368" t="s">
        <v>1794</v>
      </c>
      <c r="J55" s="371"/>
    </row>
    <row r="56" spans="1:16" x14ac:dyDescent="0.25">
      <c r="A56" s="370" t="s">
        <v>1617</v>
      </c>
      <c r="B56" s="370">
        <v>12</v>
      </c>
      <c r="C56" s="378" t="s">
        <v>1793</v>
      </c>
      <c r="D56" s="370" t="s">
        <v>1</v>
      </c>
      <c r="E56" s="368" t="s">
        <v>1792</v>
      </c>
      <c r="F56" s="375" t="s">
        <v>1665</v>
      </c>
      <c r="G56" s="377">
        <v>659</v>
      </c>
      <c r="H56" s="376">
        <v>0</v>
      </c>
      <c r="I56" s="376">
        <f>ROUND(G56*H56,P4)</f>
        <v>0</v>
      </c>
      <c r="J56" s="375" t="s">
        <v>1613</v>
      </c>
      <c r="O56" s="374">
        <f>I56*0.21</f>
        <v>0</v>
      </c>
      <c r="P56" s="364">
        <v>3</v>
      </c>
    </row>
    <row r="57" spans="1:16" x14ac:dyDescent="0.25">
      <c r="A57" s="370" t="s">
        <v>1612</v>
      </c>
      <c r="B57" s="373"/>
      <c r="E57" s="372"/>
      <c r="J57" s="371"/>
    </row>
    <row r="58" spans="1:16" x14ac:dyDescent="0.25">
      <c r="A58" s="370" t="s">
        <v>112</v>
      </c>
      <c r="B58" s="373"/>
      <c r="E58" s="460" t="s">
        <v>1905</v>
      </c>
      <c r="J58" s="371"/>
    </row>
    <row r="59" spans="1:16" ht="45" x14ac:dyDescent="0.25">
      <c r="A59" s="370" t="s">
        <v>1611</v>
      </c>
      <c r="B59" s="373"/>
      <c r="E59" s="368" t="s">
        <v>1791</v>
      </c>
      <c r="J59" s="371"/>
    </row>
    <row r="60" spans="1:16" x14ac:dyDescent="0.25">
      <c r="A60" s="442" t="s">
        <v>1629</v>
      </c>
      <c r="B60" s="444"/>
      <c r="C60" s="443" t="s">
        <v>141</v>
      </c>
      <c r="D60" s="441"/>
      <c r="E60" s="442" t="s">
        <v>1592</v>
      </c>
      <c r="F60" s="441"/>
      <c r="G60" s="441"/>
      <c r="H60" s="441"/>
      <c r="I60" s="440">
        <f>SUMIFS(I61:I104,A61:A104,"P")</f>
        <v>0</v>
      </c>
      <c r="J60" s="379"/>
    </row>
    <row r="61" spans="1:16" ht="30" x14ac:dyDescent="0.25">
      <c r="A61" s="370" t="s">
        <v>1617</v>
      </c>
      <c r="B61" s="370">
        <v>13</v>
      </c>
      <c r="C61" s="378" t="s">
        <v>1790</v>
      </c>
      <c r="D61" s="370" t="s">
        <v>1</v>
      </c>
      <c r="E61" s="368" t="s">
        <v>1789</v>
      </c>
      <c r="F61" s="375" t="s">
        <v>1665</v>
      </c>
      <c r="G61" s="377">
        <v>659</v>
      </c>
      <c r="H61" s="376">
        <v>0</v>
      </c>
      <c r="I61" s="376">
        <f>ROUND(G61*H61,P4)</f>
        <v>0</v>
      </c>
      <c r="J61" s="375" t="s">
        <v>1613</v>
      </c>
      <c r="O61" s="374">
        <f>I61*0.21</f>
        <v>0</v>
      </c>
      <c r="P61" s="364">
        <v>3</v>
      </c>
    </row>
    <row r="62" spans="1:16" x14ac:dyDescent="0.25">
      <c r="A62" s="370" t="s">
        <v>1612</v>
      </c>
      <c r="B62" s="373"/>
      <c r="E62" s="372"/>
      <c r="J62" s="371"/>
    </row>
    <row r="63" spans="1:16" ht="30" x14ac:dyDescent="0.25">
      <c r="A63" s="370" t="s">
        <v>112</v>
      </c>
      <c r="B63" s="373"/>
      <c r="E63" s="460" t="s">
        <v>1906</v>
      </c>
      <c r="J63" s="371"/>
    </row>
    <row r="64" spans="1:16" ht="60" x14ac:dyDescent="0.25">
      <c r="A64" s="370" t="s">
        <v>1611</v>
      </c>
      <c r="B64" s="373"/>
      <c r="E64" s="368" t="s">
        <v>1685</v>
      </c>
      <c r="J64" s="371"/>
    </row>
    <row r="65" spans="1:16" x14ac:dyDescent="0.25">
      <c r="A65" s="370" t="s">
        <v>1617</v>
      </c>
      <c r="B65" s="370">
        <f>MAX(B10:B64)+1</f>
        <v>14</v>
      </c>
      <c r="C65" s="378" t="s">
        <v>1688</v>
      </c>
      <c r="D65" s="370" t="s">
        <v>1</v>
      </c>
      <c r="E65" s="368" t="s">
        <v>1687</v>
      </c>
      <c r="F65" s="375" t="s">
        <v>1665</v>
      </c>
      <c r="G65" s="377">
        <v>34</v>
      </c>
      <c r="H65" s="376">
        <v>0</v>
      </c>
      <c r="I65" s="376">
        <f>ROUND(G65*H65,P4)</f>
        <v>0</v>
      </c>
      <c r="J65" s="375" t="s">
        <v>1613</v>
      </c>
      <c r="O65" s="374">
        <f>I65*0.21</f>
        <v>0</v>
      </c>
      <c r="P65" s="364">
        <v>3</v>
      </c>
    </row>
    <row r="66" spans="1:16" x14ac:dyDescent="0.25">
      <c r="A66" s="370" t="s">
        <v>1612</v>
      </c>
      <c r="B66" s="373"/>
      <c r="E66" s="368" t="s">
        <v>1788</v>
      </c>
      <c r="J66" s="371"/>
    </row>
    <row r="67" spans="1:16" x14ac:dyDescent="0.25">
      <c r="A67" s="370" t="s">
        <v>112</v>
      </c>
      <c r="B67" s="373"/>
      <c r="E67" s="460" t="s">
        <v>1907</v>
      </c>
      <c r="J67" s="371"/>
    </row>
    <row r="68" spans="1:16" ht="60" x14ac:dyDescent="0.25">
      <c r="A68" s="370" t="s">
        <v>1611</v>
      </c>
      <c r="B68" s="373"/>
      <c r="E68" s="368" t="s">
        <v>1685</v>
      </c>
      <c r="J68" s="371"/>
    </row>
    <row r="69" spans="1:16" x14ac:dyDescent="0.25">
      <c r="A69" s="370" t="s">
        <v>1617</v>
      </c>
      <c r="B69" s="370">
        <f>MAX(B14:B68)+1</f>
        <v>15</v>
      </c>
      <c r="C69" s="378" t="s">
        <v>1787</v>
      </c>
      <c r="D69" s="370" t="s">
        <v>1</v>
      </c>
      <c r="E69" s="368" t="s">
        <v>1786</v>
      </c>
      <c r="F69" s="375" t="s">
        <v>1665</v>
      </c>
      <c r="G69" s="377">
        <v>659</v>
      </c>
      <c r="H69" s="376">
        <v>0</v>
      </c>
      <c r="I69" s="376">
        <f>ROUND(G69*H69,P4)</f>
        <v>0</v>
      </c>
      <c r="J69" s="375" t="s">
        <v>1613</v>
      </c>
      <c r="O69" s="374">
        <f>I69*0.21</f>
        <v>0</v>
      </c>
      <c r="P69" s="364">
        <v>3</v>
      </c>
    </row>
    <row r="70" spans="1:16" x14ac:dyDescent="0.25">
      <c r="A70" s="370" t="s">
        <v>1612</v>
      </c>
      <c r="B70" s="373"/>
      <c r="E70" s="372"/>
      <c r="J70" s="371"/>
    </row>
    <row r="71" spans="1:16" ht="30" x14ac:dyDescent="0.25">
      <c r="A71" s="370" t="s">
        <v>112</v>
      </c>
      <c r="B71" s="373"/>
      <c r="E71" s="460" t="s">
        <v>1908</v>
      </c>
      <c r="J71" s="371"/>
    </row>
    <row r="72" spans="1:16" ht="60" x14ac:dyDescent="0.25">
      <c r="A72" s="370" t="s">
        <v>1611</v>
      </c>
      <c r="B72" s="373"/>
      <c r="E72" s="368" t="s">
        <v>1685</v>
      </c>
      <c r="J72" s="371"/>
    </row>
    <row r="73" spans="1:16" x14ac:dyDescent="0.25">
      <c r="A73" s="370" t="s">
        <v>1617</v>
      </c>
      <c r="B73" s="370">
        <f>MAX(B18:B72)+1</f>
        <v>16</v>
      </c>
      <c r="C73" s="378" t="s">
        <v>1785</v>
      </c>
      <c r="D73" s="370" t="s">
        <v>1</v>
      </c>
      <c r="E73" s="368" t="s">
        <v>1784</v>
      </c>
      <c r="F73" s="375" t="s">
        <v>1665</v>
      </c>
      <c r="G73" s="377">
        <v>198</v>
      </c>
      <c r="H73" s="376">
        <v>0</v>
      </c>
      <c r="I73" s="376">
        <f>ROUND(G73*H73,P4)</f>
        <v>0</v>
      </c>
      <c r="J73" s="375" t="s">
        <v>1613</v>
      </c>
      <c r="O73" s="374">
        <f>I73*0.21</f>
        <v>0</v>
      </c>
      <c r="P73" s="364">
        <v>3</v>
      </c>
    </row>
    <row r="74" spans="1:16" x14ac:dyDescent="0.25">
      <c r="A74" s="370" t="s">
        <v>1612</v>
      </c>
      <c r="B74" s="373"/>
      <c r="E74" s="372"/>
      <c r="J74" s="371"/>
    </row>
    <row r="75" spans="1:16" ht="30" x14ac:dyDescent="0.25">
      <c r="A75" s="370" t="s">
        <v>112</v>
      </c>
      <c r="B75" s="373"/>
      <c r="E75" s="460" t="s">
        <v>1909</v>
      </c>
      <c r="J75" s="371"/>
    </row>
    <row r="76" spans="1:16" ht="60" x14ac:dyDescent="0.25">
      <c r="A76" s="370" t="s">
        <v>1611</v>
      </c>
      <c r="B76" s="373"/>
      <c r="E76" s="368" t="s">
        <v>1685</v>
      </c>
      <c r="J76" s="371"/>
    </row>
    <row r="77" spans="1:16" x14ac:dyDescent="0.25">
      <c r="A77" s="370" t="s">
        <v>1617</v>
      </c>
      <c r="B77" s="370">
        <f>MAX(B22:B76)+1</f>
        <v>17</v>
      </c>
      <c r="C77" s="378" t="s">
        <v>1783</v>
      </c>
      <c r="D77" s="370" t="s">
        <v>1</v>
      </c>
      <c r="E77" s="368" t="s">
        <v>1782</v>
      </c>
      <c r="F77" s="375" t="s">
        <v>1665</v>
      </c>
      <c r="G77" s="377">
        <v>659</v>
      </c>
      <c r="H77" s="376">
        <v>0</v>
      </c>
      <c r="I77" s="376">
        <f>ROUND(G77*H77,P4)</f>
        <v>0</v>
      </c>
      <c r="J77" s="375" t="s">
        <v>1613</v>
      </c>
      <c r="O77" s="374">
        <f>I77*0.21</f>
        <v>0</v>
      </c>
      <c r="P77" s="364">
        <v>3</v>
      </c>
    </row>
    <row r="78" spans="1:16" x14ac:dyDescent="0.25">
      <c r="A78" s="370" t="s">
        <v>1612</v>
      </c>
      <c r="B78" s="373"/>
      <c r="E78" s="372"/>
      <c r="J78" s="371"/>
    </row>
    <row r="79" spans="1:16" x14ac:dyDescent="0.25">
      <c r="A79" s="370" t="s">
        <v>112</v>
      </c>
      <c r="B79" s="373"/>
      <c r="E79" s="460" t="s">
        <v>1905</v>
      </c>
      <c r="J79" s="371"/>
    </row>
    <row r="80" spans="1:16" ht="75" x14ac:dyDescent="0.25">
      <c r="A80" s="370" t="s">
        <v>1611</v>
      </c>
      <c r="B80" s="373"/>
      <c r="E80" s="368" t="s">
        <v>1678</v>
      </c>
      <c r="J80" s="371"/>
    </row>
    <row r="81" spans="1:16" x14ac:dyDescent="0.25">
      <c r="A81" s="370" t="s">
        <v>1617</v>
      </c>
      <c r="B81" s="370">
        <f>MAX(B26:B80)+1</f>
        <v>18</v>
      </c>
      <c r="C81" s="378" t="s">
        <v>1781</v>
      </c>
      <c r="D81" s="370" t="s">
        <v>1</v>
      </c>
      <c r="E81" s="368" t="s">
        <v>1780</v>
      </c>
      <c r="F81" s="375" t="s">
        <v>1665</v>
      </c>
      <c r="G81" s="377">
        <f>2*659</f>
        <v>1318</v>
      </c>
      <c r="H81" s="376">
        <v>0</v>
      </c>
      <c r="I81" s="376">
        <f>ROUND(G81*H81,P4)</f>
        <v>0</v>
      </c>
      <c r="J81" s="375" t="s">
        <v>1613</v>
      </c>
      <c r="O81" s="374">
        <f>I81*0.21</f>
        <v>0</v>
      </c>
      <c r="P81" s="364">
        <v>3</v>
      </c>
    </row>
    <row r="82" spans="1:16" x14ac:dyDescent="0.25">
      <c r="A82" s="370" t="s">
        <v>1612</v>
      </c>
      <c r="B82" s="373"/>
      <c r="E82" s="372"/>
      <c r="J82" s="371"/>
    </row>
    <row r="83" spans="1:16" x14ac:dyDescent="0.25">
      <c r="A83" s="370" t="s">
        <v>112</v>
      </c>
      <c r="B83" s="373"/>
      <c r="E83" s="460" t="s">
        <v>1910</v>
      </c>
      <c r="J83" s="371"/>
    </row>
    <row r="84" spans="1:16" ht="75" x14ac:dyDescent="0.25">
      <c r="A84" s="370" t="s">
        <v>1611</v>
      </c>
      <c r="B84" s="373"/>
      <c r="E84" s="368" t="s">
        <v>1678</v>
      </c>
      <c r="J84" s="371"/>
    </row>
    <row r="85" spans="1:16" x14ac:dyDescent="0.25">
      <c r="A85" s="370" t="s">
        <v>1617</v>
      </c>
      <c r="B85" s="370">
        <f>MAX(B30:B84)+1</f>
        <v>19</v>
      </c>
      <c r="C85" s="378" t="s">
        <v>1779</v>
      </c>
      <c r="D85" s="370" t="s">
        <v>1</v>
      </c>
      <c r="E85" s="368" t="s">
        <v>1778</v>
      </c>
      <c r="F85" s="375" t="s">
        <v>1665</v>
      </c>
      <c r="G85" s="377">
        <v>659</v>
      </c>
      <c r="H85" s="376">
        <v>0</v>
      </c>
      <c r="I85" s="376">
        <f>ROUND(G85*H85,P4)</f>
        <v>0</v>
      </c>
      <c r="J85" s="375" t="s">
        <v>1613</v>
      </c>
      <c r="O85" s="374">
        <f>I85*0.21</f>
        <v>0</v>
      </c>
      <c r="P85" s="364">
        <v>3</v>
      </c>
    </row>
    <row r="86" spans="1:16" x14ac:dyDescent="0.25">
      <c r="A86" s="370" t="s">
        <v>1612</v>
      </c>
      <c r="B86" s="373"/>
      <c r="E86" s="372"/>
      <c r="J86" s="371"/>
    </row>
    <row r="87" spans="1:16" x14ac:dyDescent="0.25">
      <c r="A87" s="370" t="s">
        <v>112</v>
      </c>
      <c r="B87" s="373"/>
      <c r="E87" s="460" t="s">
        <v>1905</v>
      </c>
      <c r="J87" s="371"/>
    </row>
    <row r="88" spans="1:16" ht="165" x14ac:dyDescent="0.25">
      <c r="A88" s="370" t="s">
        <v>1611</v>
      </c>
      <c r="B88" s="373"/>
      <c r="E88" s="368" t="s">
        <v>1674</v>
      </c>
      <c r="J88" s="371"/>
    </row>
    <row r="89" spans="1:16" x14ac:dyDescent="0.25">
      <c r="A89" s="370" t="s">
        <v>1617</v>
      </c>
      <c r="B89" s="370">
        <f>MAX(B34:B88)+1</f>
        <v>20</v>
      </c>
      <c r="C89" s="378" t="s">
        <v>1777</v>
      </c>
      <c r="D89" s="370" t="s">
        <v>1</v>
      </c>
      <c r="E89" s="368" t="s">
        <v>1776</v>
      </c>
      <c r="F89" s="375" t="s">
        <v>1665</v>
      </c>
      <c r="G89" s="377">
        <v>659</v>
      </c>
      <c r="H89" s="376">
        <v>0</v>
      </c>
      <c r="I89" s="376">
        <f>ROUND(G89*H89,P4)</f>
        <v>0</v>
      </c>
      <c r="J89" s="375" t="s">
        <v>1613</v>
      </c>
      <c r="O89" s="374">
        <f>I89*0.21</f>
        <v>0</v>
      </c>
      <c r="P89" s="364">
        <v>3</v>
      </c>
    </row>
    <row r="90" spans="1:16" x14ac:dyDescent="0.25">
      <c r="A90" s="370" t="s">
        <v>1612</v>
      </c>
      <c r="B90" s="373"/>
      <c r="E90" s="372"/>
      <c r="J90" s="371"/>
    </row>
    <row r="91" spans="1:16" x14ac:dyDescent="0.25">
      <c r="A91" s="370" t="s">
        <v>112</v>
      </c>
      <c r="B91" s="373"/>
      <c r="E91" s="460" t="s">
        <v>1911</v>
      </c>
      <c r="J91" s="371"/>
    </row>
    <row r="92" spans="1:16" ht="165" x14ac:dyDescent="0.25">
      <c r="A92" s="370" t="s">
        <v>1611</v>
      </c>
      <c r="B92" s="373"/>
      <c r="E92" s="368" t="s">
        <v>1674</v>
      </c>
      <c r="J92" s="371"/>
    </row>
    <row r="93" spans="1:16" x14ac:dyDescent="0.25">
      <c r="A93" s="370" t="s">
        <v>1617</v>
      </c>
      <c r="B93" s="370">
        <f>MAX(B38:B92)+1</f>
        <v>21</v>
      </c>
      <c r="C93" s="378" t="s">
        <v>1775</v>
      </c>
      <c r="D93" s="370" t="s">
        <v>1</v>
      </c>
      <c r="E93" s="368" t="s">
        <v>1774</v>
      </c>
      <c r="F93" s="375" t="s">
        <v>1665</v>
      </c>
      <c r="G93" s="377">
        <v>659</v>
      </c>
      <c r="H93" s="376">
        <v>0</v>
      </c>
      <c r="I93" s="376">
        <f>ROUND(G93*H93,P4)</f>
        <v>0</v>
      </c>
      <c r="J93" s="375" t="s">
        <v>1613</v>
      </c>
      <c r="O93" s="374">
        <f>I93*0.21</f>
        <v>0</v>
      </c>
      <c r="P93" s="364">
        <v>3</v>
      </c>
    </row>
    <row r="94" spans="1:16" x14ac:dyDescent="0.25">
      <c r="A94" s="370" t="s">
        <v>1612</v>
      </c>
      <c r="B94" s="373"/>
      <c r="E94" s="372"/>
      <c r="J94" s="371"/>
    </row>
    <row r="95" spans="1:16" x14ac:dyDescent="0.25">
      <c r="A95" s="370" t="s">
        <v>112</v>
      </c>
      <c r="B95" s="373"/>
      <c r="E95" s="460" t="s">
        <v>1905</v>
      </c>
      <c r="J95" s="371"/>
    </row>
    <row r="96" spans="1:16" ht="165" x14ac:dyDescent="0.25">
      <c r="A96" s="370" t="s">
        <v>1611</v>
      </c>
      <c r="B96" s="373"/>
      <c r="E96" s="368" t="s">
        <v>1674</v>
      </c>
      <c r="J96" s="371"/>
    </row>
    <row r="97" spans="1:16" x14ac:dyDescent="0.25">
      <c r="A97" s="370" t="s">
        <v>1617</v>
      </c>
      <c r="B97" s="370">
        <f>MAX(B42:B96)+1</f>
        <v>22</v>
      </c>
      <c r="C97" s="378" t="s">
        <v>1773</v>
      </c>
      <c r="D97" s="370" t="s">
        <v>1</v>
      </c>
      <c r="E97" s="368" t="s">
        <v>1772</v>
      </c>
      <c r="F97" s="375" t="s">
        <v>1665</v>
      </c>
      <c r="G97" s="377">
        <v>232</v>
      </c>
      <c r="H97" s="376">
        <v>0</v>
      </c>
      <c r="I97" s="376">
        <f>ROUND(G97*H97,P4)</f>
        <v>0</v>
      </c>
      <c r="J97" s="375" t="s">
        <v>1613</v>
      </c>
      <c r="O97" s="374">
        <f>I97*0.21</f>
        <v>0</v>
      </c>
      <c r="P97" s="364">
        <v>3</v>
      </c>
    </row>
    <row r="98" spans="1:16" x14ac:dyDescent="0.25">
      <c r="A98" s="370" t="s">
        <v>1612</v>
      </c>
      <c r="B98" s="373"/>
      <c r="E98" s="372"/>
      <c r="J98" s="371"/>
    </row>
    <row r="99" spans="1:16" ht="45" x14ac:dyDescent="0.25">
      <c r="A99" s="370" t="s">
        <v>112</v>
      </c>
      <c r="B99" s="373"/>
      <c r="E99" s="460" t="s">
        <v>1771</v>
      </c>
      <c r="J99" s="371"/>
    </row>
    <row r="100" spans="1:16" ht="195" x14ac:dyDescent="0.25">
      <c r="A100" s="370" t="s">
        <v>1611</v>
      </c>
      <c r="B100" s="373"/>
      <c r="E100" s="368" t="s">
        <v>1663</v>
      </c>
      <c r="J100" s="371"/>
    </row>
    <row r="101" spans="1:16" x14ac:dyDescent="0.25">
      <c r="A101" s="370" t="s">
        <v>1617</v>
      </c>
      <c r="B101" s="370">
        <f>MAX(B46:B100)+1</f>
        <v>23</v>
      </c>
      <c r="C101" s="378" t="s">
        <v>1767</v>
      </c>
      <c r="D101" s="370" t="s">
        <v>1</v>
      </c>
      <c r="E101" s="368" t="s">
        <v>1766</v>
      </c>
      <c r="F101" s="375" t="s">
        <v>252</v>
      </c>
      <c r="G101" s="377">
        <f>33</f>
        <v>33</v>
      </c>
      <c r="H101" s="376">
        <v>0</v>
      </c>
      <c r="I101" s="376">
        <f>ROUND(G101*H101,P4)</f>
        <v>0</v>
      </c>
      <c r="J101" s="375" t="s">
        <v>1613</v>
      </c>
      <c r="O101" s="374">
        <f>I101*0.21</f>
        <v>0</v>
      </c>
      <c r="P101" s="364">
        <v>3</v>
      </c>
    </row>
    <row r="102" spans="1:16" x14ac:dyDescent="0.25">
      <c r="A102" s="370" t="s">
        <v>1612</v>
      </c>
      <c r="B102" s="373"/>
      <c r="E102" s="372"/>
      <c r="J102" s="371"/>
    </row>
    <row r="103" spans="1:16" x14ac:dyDescent="0.25">
      <c r="A103" s="370" t="s">
        <v>112</v>
      </c>
      <c r="B103" s="373"/>
      <c r="E103" s="460" t="s">
        <v>1912</v>
      </c>
      <c r="J103" s="371"/>
    </row>
    <row r="104" spans="1:16" ht="45" x14ac:dyDescent="0.25">
      <c r="A104" s="370" t="s">
        <v>1611</v>
      </c>
      <c r="B104" s="373"/>
      <c r="E104" s="368" t="s">
        <v>1765</v>
      </c>
      <c r="J104" s="371"/>
    </row>
    <row r="105" spans="1:16" x14ac:dyDescent="0.25">
      <c r="A105" s="442" t="s">
        <v>1629</v>
      </c>
      <c r="B105" s="444"/>
      <c r="C105" s="443" t="s">
        <v>180</v>
      </c>
      <c r="D105" s="441"/>
      <c r="E105" s="442" t="s">
        <v>1662</v>
      </c>
      <c r="F105" s="441"/>
      <c r="G105" s="441"/>
      <c r="H105" s="441"/>
      <c r="I105" s="440">
        <f>SUMIFS(I106:I137,A106:A137,"P")</f>
        <v>0</v>
      </c>
      <c r="J105" s="379"/>
    </row>
    <row r="106" spans="1:16" ht="30" x14ac:dyDescent="0.25">
      <c r="A106" s="370" t="s">
        <v>1617</v>
      </c>
      <c r="B106" s="370">
        <f>MAX(B51:B105)+1</f>
        <v>24</v>
      </c>
      <c r="C106" s="378" t="s">
        <v>1759</v>
      </c>
      <c r="D106" s="370" t="s">
        <v>1</v>
      </c>
      <c r="E106" s="368" t="s">
        <v>1758</v>
      </c>
      <c r="F106" s="375" t="s">
        <v>1622</v>
      </c>
      <c r="G106" s="377">
        <v>6</v>
      </c>
      <c r="H106" s="376">
        <v>0</v>
      </c>
      <c r="I106" s="376">
        <f>ROUND(G106*H106,P4)</f>
        <v>0</v>
      </c>
      <c r="J106" s="375" t="s">
        <v>1613</v>
      </c>
      <c r="O106" s="374">
        <f>I106*0.21</f>
        <v>0</v>
      </c>
      <c r="P106" s="364">
        <v>3</v>
      </c>
    </row>
    <row r="107" spans="1:16" x14ac:dyDescent="0.25">
      <c r="A107" s="370" t="s">
        <v>1612</v>
      </c>
      <c r="B107" s="373"/>
      <c r="E107" s="372"/>
      <c r="J107" s="371"/>
    </row>
    <row r="108" spans="1:16" ht="90" x14ac:dyDescent="0.25">
      <c r="A108" s="370" t="s">
        <v>112</v>
      </c>
      <c r="B108" s="373"/>
      <c r="E108" s="460" t="s">
        <v>1913</v>
      </c>
      <c r="J108" s="371"/>
    </row>
    <row r="109" spans="1:16" ht="30" x14ac:dyDescent="0.25">
      <c r="A109" s="370" t="s">
        <v>1611</v>
      </c>
      <c r="B109" s="373"/>
      <c r="E109" s="368" t="s">
        <v>1658</v>
      </c>
      <c r="J109" s="371"/>
    </row>
    <row r="110" spans="1:16" ht="30" x14ac:dyDescent="0.25">
      <c r="A110" s="370" t="s">
        <v>1617</v>
      </c>
      <c r="B110" s="370">
        <f>MAX(B55:B109)+1</f>
        <v>25</v>
      </c>
      <c r="C110" s="378" t="s">
        <v>1657</v>
      </c>
      <c r="D110" s="370" t="s">
        <v>1</v>
      </c>
      <c r="E110" s="368" t="s">
        <v>1656</v>
      </c>
      <c r="F110" s="375" t="s">
        <v>1622</v>
      </c>
      <c r="G110" s="377">
        <v>6</v>
      </c>
      <c r="H110" s="376">
        <v>0</v>
      </c>
      <c r="I110" s="376">
        <f>ROUND(G110*H110,P4)</f>
        <v>0</v>
      </c>
      <c r="J110" s="375" t="s">
        <v>1613</v>
      </c>
      <c r="O110" s="374">
        <f>I110*0.21</f>
        <v>0</v>
      </c>
      <c r="P110" s="364">
        <v>3</v>
      </c>
    </row>
    <row r="111" spans="1:16" x14ac:dyDescent="0.25">
      <c r="A111" s="370" t="s">
        <v>1612</v>
      </c>
      <c r="B111" s="373"/>
      <c r="E111" s="372"/>
      <c r="J111" s="371"/>
    </row>
    <row r="112" spans="1:16" x14ac:dyDescent="0.25">
      <c r="A112" s="370" t="s">
        <v>112</v>
      </c>
      <c r="B112" s="373"/>
      <c r="E112" s="460" t="s">
        <v>1757</v>
      </c>
      <c r="J112" s="371"/>
    </row>
    <row r="113" spans="1:16" ht="45" x14ac:dyDescent="0.25">
      <c r="A113" s="370" t="s">
        <v>1611</v>
      </c>
      <c r="B113" s="373"/>
      <c r="E113" s="368" t="s">
        <v>1654</v>
      </c>
      <c r="J113" s="371"/>
    </row>
    <row r="114" spans="1:16" ht="30" x14ac:dyDescent="0.25">
      <c r="A114" s="370" t="s">
        <v>1617</v>
      </c>
      <c r="B114" s="370">
        <f>MAX(B59:B113)+1</f>
        <v>26</v>
      </c>
      <c r="C114" s="378" t="s">
        <v>1756</v>
      </c>
      <c r="D114" s="370" t="s">
        <v>1</v>
      </c>
      <c r="E114" s="368" t="s">
        <v>1755</v>
      </c>
      <c r="F114" s="375" t="s">
        <v>1665</v>
      </c>
      <c r="G114" s="377">
        <v>74.875</v>
      </c>
      <c r="H114" s="376">
        <v>0</v>
      </c>
      <c r="I114" s="376">
        <f>ROUND(G114*H114,P4)</f>
        <v>0</v>
      </c>
      <c r="J114" s="375" t="s">
        <v>1613</v>
      </c>
      <c r="O114" s="374">
        <f>I114*0.21</f>
        <v>0</v>
      </c>
      <c r="P114" s="364">
        <v>3</v>
      </c>
    </row>
    <row r="115" spans="1:16" x14ac:dyDescent="0.25">
      <c r="A115" s="370" t="s">
        <v>1612</v>
      </c>
      <c r="B115" s="373"/>
      <c r="E115" s="372"/>
      <c r="J115" s="371"/>
    </row>
    <row r="116" spans="1:16" ht="60" x14ac:dyDescent="0.25">
      <c r="A116" s="370" t="s">
        <v>112</v>
      </c>
      <c r="B116" s="373"/>
      <c r="E116" s="460" t="s">
        <v>1914</v>
      </c>
      <c r="J116" s="371"/>
    </row>
    <row r="117" spans="1:16" ht="60" x14ac:dyDescent="0.25">
      <c r="A117" s="370" t="s">
        <v>1611</v>
      </c>
      <c r="B117" s="373"/>
      <c r="E117" s="368" t="s">
        <v>1754</v>
      </c>
      <c r="J117" s="371"/>
    </row>
    <row r="118" spans="1:16" x14ac:dyDescent="0.25">
      <c r="A118" s="370" t="s">
        <v>1617</v>
      </c>
      <c r="B118" s="370">
        <f>MAX(B63:B117)+1</f>
        <v>27</v>
      </c>
      <c r="C118" s="378" t="s">
        <v>1753</v>
      </c>
      <c r="D118" s="370" t="s">
        <v>1</v>
      </c>
      <c r="E118" s="368" t="s">
        <v>1752</v>
      </c>
      <c r="F118" s="375" t="s">
        <v>1622</v>
      </c>
      <c r="G118" s="377">
        <v>9</v>
      </c>
      <c r="H118" s="376">
        <v>0</v>
      </c>
      <c r="I118" s="376">
        <f>ROUND(G118*H118,P4)</f>
        <v>0</v>
      </c>
      <c r="J118" s="375" t="s">
        <v>1613</v>
      </c>
      <c r="O118" s="374">
        <f>I118*0.21</f>
        <v>0</v>
      </c>
      <c r="P118" s="364">
        <v>3</v>
      </c>
    </row>
    <row r="119" spans="1:16" x14ac:dyDescent="0.25">
      <c r="A119" s="370" t="s">
        <v>1612</v>
      </c>
      <c r="B119" s="373"/>
      <c r="E119" s="372"/>
      <c r="J119" s="371"/>
    </row>
    <row r="120" spans="1:16" ht="45" x14ac:dyDescent="0.25">
      <c r="A120" s="370" t="s">
        <v>112</v>
      </c>
      <c r="B120" s="373"/>
      <c r="E120" s="460" t="s">
        <v>1915</v>
      </c>
      <c r="J120" s="371"/>
    </row>
    <row r="121" spans="1:16" ht="45" x14ac:dyDescent="0.25">
      <c r="A121" s="370" t="s">
        <v>1611</v>
      </c>
      <c r="B121" s="373"/>
      <c r="E121" s="368" t="s">
        <v>1751</v>
      </c>
      <c r="J121" s="371"/>
    </row>
    <row r="122" spans="1:16" ht="30" x14ac:dyDescent="0.25">
      <c r="A122" s="370" t="s">
        <v>1617</v>
      </c>
      <c r="B122" s="370">
        <f>MAX(B67:B121)+1</f>
        <v>28</v>
      </c>
      <c r="C122" s="378" t="s">
        <v>1746</v>
      </c>
      <c r="D122" s="370" t="s">
        <v>1</v>
      </c>
      <c r="E122" s="368" t="s">
        <v>1745</v>
      </c>
      <c r="F122" s="375" t="s">
        <v>252</v>
      </c>
      <c r="G122" s="377">
        <f>2*42+12+2*6.7</f>
        <v>109.4</v>
      </c>
      <c r="H122" s="376">
        <v>0</v>
      </c>
      <c r="I122" s="376">
        <f>ROUND(G122*H122,P4)</f>
        <v>0</v>
      </c>
      <c r="J122" s="375" t="s">
        <v>1613</v>
      </c>
      <c r="O122" s="374">
        <f>I122*0.21</f>
        <v>0</v>
      </c>
      <c r="P122" s="364">
        <v>3</v>
      </c>
    </row>
    <row r="123" spans="1:16" x14ac:dyDescent="0.25">
      <c r="A123" s="370" t="s">
        <v>1612</v>
      </c>
      <c r="B123" s="373"/>
      <c r="E123" s="372"/>
      <c r="J123" s="371"/>
    </row>
    <row r="124" spans="1:16" x14ac:dyDescent="0.25">
      <c r="A124" s="370" t="s">
        <v>112</v>
      </c>
      <c r="B124" s="373"/>
      <c r="E124" s="460" t="s">
        <v>1916</v>
      </c>
      <c r="J124" s="371"/>
    </row>
    <row r="125" spans="1:16" ht="60" x14ac:dyDescent="0.25">
      <c r="A125" s="370" t="s">
        <v>1611</v>
      </c>
      <c r="B125" s="373"/>
      <c r="E125" s="368" t="s">
        <v>1645</v>
      </c>
      <c r="J125" s="371"/>
    </row>
    <row r="126" spans="1:16" ht="30" x14ac:dyDescent="0.25">
      <c r="A126" s="370" t="s">
        <v>1617</v>
      </c>
      <c r="B126" s="370">
        <f>MAX(B71:B125)+1</f>
        <v>29</v>
      </c>
      <c r="C126" s="378" t="s">
        <v>1718</v>
      </c>
      <c r="D126" s="370" t="s">
        <v>1</v>
      </c>
      <c r="E126" s="368" t="s">
        <v>1717</v>
      </c>
      <c r="F126" s="375" t="s">
        <v>252</v>
      </c>
      <c r="G126" s="377">
        <f>79+70</f>
        <v>149</v>
      </c>
      <c r="H126" s="376">
        <v>0</v>
      </c>
      <c r="I126" s="376">
        <f>ROUND(G126*H126,P4)</f>
        <v>0</v>
      </c>
      <c r="J126" s="375" t="s">
        <v>1613</v>
      </c>
      <c r="O126" s="374">
        <f>I126*0.21</f>
        <v>0</v>
      </c>
      <c r="P126" s="364">
        <v>3</v>
      </c>
    </row>
    <row r="127" spans="1:16" x14ac:dyDescent="0.25">
      <c r="A127" s="370" t="s">
        <v>1612</v>
      </c>
      <c r="B127" s="373"/>
      <c r="E127" s="372"/>
      <c r="J127" s="371"/>
    </row>
    <row r="128" spans="1:16" x14ac:dyDescent="0.25">
      <c r="A128" s="370" t="s">
        <v>112</v>
      </c>
      <c r="B128" s="373"/>
      <c r="E128" s="460" t="s">
        <v>1917</v>
      </c>
      <c r="J128" s="371"/>
    </row>
    <row r="129" spans="1:16" ht="60" x14ac:dyDescent="0.25">
      <c r="A129" s="370" t="s">
        <v>1611</v>
      </c>
      <c r="B129" s="373"/>
      <c r="E129" s="368" t="s">
        <v>1645</v>
      </c>
      <c r="J129" s="371"/>
    </row>
    <row r="130" spans="1:16" x14ac:dyDescent="0.25">
      <c r="A130" s="370" t="s">
        <v>1617</v>
      </c>
      <c r="B130" s="370">
        <f>MAX(B75:B129)+1</f>
        <v>30</v>
      </c>
      <c r="C130" s="378" t="s">
        <v>1741</v>
      </c>
      <c r="D130" s="370" t="s">
        <v>1</v>
      </c>
      <c r="E130" s="368" t="s">
        <v>1740</v>
      </c>
      <c r="F130" s="375" t="s">
        <v>252</v>
      </c>
      <c r="G130" s="377">
        <f>26+39</f>
        <v>65</v>
      </c>
      <c r="H130" s="376">
        <v>0</v>
      </c>
      <c r="I130" s="376">
        <f>ROUND(G130*H130,P4)</f>
        <v>0</v>
      </c>
      <c r="J130" s="375" t="s">
        <v>1613</v>
      </c>
      <c r="O130" s="374">
        <f>I130*0.21</f>
        <v>0</v>
      </c>
      <c r="P130" s="364">
        <v>3</v>
      </c>
    </row>
    <row r="131" spans="1:16" x14ac:dyDescent="0.25">
      <c r="A131" s="370" t="s">
        <v>1612</v>
      </c>
      <c r="B131" s="373"/>
      <c r="E131" s="372"/>
      <c r="J131" s="371"/>
    </row>
    <row r="132" spans="1:16" x14ac:dyDescent="0.25">
      <c r="A132" s="370" t="s">
        <v>112</v>
      </c>
      <c r="B132" s="373"/>
      <c r="E132" s="460" t="s">
        <v>1918</v>
      </c>
      <c r="J132" s="371"/>
    </row>
    <row r="133" spans="1:16" ht="60" x14ac:dyDescent="0.25">
      <c r="A133" s="370" t="s">
        <v>1611</v>
      </c>
      <c r="B133" s="373"/>
      <c r="E133" s="368" t="s">
        <v>1739</v>
      </c>
      <c r="J133" s="371"/>
    </row>
    <row r="134" spans="1:16" x14ac:dyDescent="0.25">
      <c r="A134" s="370" t="s">
        <v>1617</v>
      </c>
      <c r="B134" s="370">
        <f>MAX(B79:B133)+1</f>
        <v>31</v>
      </c>
      <c r="C134" s="378" t="s">
        <v>1738</v>
      </c>
      <c r="D134" s="370" t="s">
        <v>1</v>
      </c>
      <c r="E134" s="368" t="s">
        <v>1737</v>
      </c>
      <c r="F134" s="375" t="s">
        <v>252</v>
      </c>
      <c r="G134" s="377">
        <v>33</v>
      </c>
      <c r="H134" s="376">
        <v>0</v>
      </c>
      <c r="I134" s="376">
        <f>ROUND(G134*H134,P4)</f>
        <v>0</v>
      </c>
      <c r="J134" s="375" t="s">
        <v>1613</v>
      </c>
      <c r="O134" s="374">
        <f>I134*0.21</f>
        <v>0</v>
      </c>
      <c r="P134" s="364">
        <v>3</v>
      </c>
    </row>
    <row r="135" spans="1:16" x14ac:dyDescent="0.25">
      <c r="A135" s="370" t="s">
        <v>1612</v>
      </c>
      <c r="B135" s="373"/>
      <c r="E135" s="372"/>
      <c r="J135" s="371"/>
    </row>
    <row r="136" spans="1:16" x14ac:dyDescent="0.25">
      <c r="A136" s="370" t="s">
        <v>112</v>
      </c>
      <c r="B136" s="373"/>
      <c r="E136" s="460" t="s">
        <v>1912</v>
      </c>
      <c r="J136" s="371"/>
    </row>
    <row r="137" spans="1:16" ht="30" x14ac:dyDescent="0.25">
      <c r="A137" s="370" t="s">
        <v>1611</v>
      </c>
      <c r="B137" s="369"/>
      <c r="C137" s="367"/>
      <c r="D137" s="367"/>
      <c r="E137" s="368" t="s">
        <v>1736</v>
      </c>
      <c r="F137" s="367"/>
      <c r="G137" s="367"/>
      <c r="H137" s="367"/>
      <c r="I137" s="367"/>
      <c r="J137" s="366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B772-24A1-498B-B1A8-2AE030823669}">
  <sheetPr>
    <pageSetUpPr fitToPage="1"/>
  </sheetPr>
  <dimension ref="A1:P142"/>
  <sheetViews>
    <sheetView topLeftCell="B1" workbookViewId="0">
      <selection activeCell="H145" sqref="H145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3" t="s">
        <v>1639</v>
      </c>
      <c r="D3" s="684"/>
      <c r="E3" s="450" t="s">
        <v>1638</v>
      </c>
      <c r="F3" s="365"/>
      <c r="G3" s="365"/>
      <c r="H3" s="382" t="s">
        <v>1593</v>
      </c>
      <c r="I3" s="381">
        <f>SUMIFS(I9:I142,A9:A142,"SD")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3" t="s">
        <v>1003</v>
      </c>
      <c r="D4" s="684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3" t="s">
        <v>1895</v>
      </c>
      <c r="D5" s="684"/>
      <c r="E5" s="450" t="s">
        <v>1940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5" t="s">
        <v>52</v>
      </c>
      <c r="B6" s="686" t="s">
        <v>1634</v>
      </c>
      <c r="C6" s="687" t="s">
        <v>1369</v>
      </c>
      <c r="D6" s="687" t="s">
        <v>1633</v>
      </c>
      <c r="E6" s="687" t="s">
        <v>1632</v>
      </c>
      <c r="F6" s="687" t="s">
        <v>88</v>
      </c>
      <c r="G6" s="687" t="s">
        <v>89</v>
      </c>
      <c r="H6" s="687" t="s">
        <v>1631</v>
      </c>
      <c r="I6" s="687"/>
      <c r="J6" s="688" t="s">
        <v>91</v>
      </c>
    </row>
    <row r="7" spans="1:16" x14ac:dyDescent="0.25">
      <c r="A7" s="685"/>
      <c r="B7" s="686"/>
      <c r="C7" s="687"/>
      <c r="D7" s="687"/>
      <c r="E7" s="687"/>
      <c r="F7" s="687"/>
      <c r="G7" s="687"/>
      <c r="H7" s="447" t="s">
        <v>1630</v>
      </c>
      <c r="I7" s="447" t="s">
        <v>1579</v>
      </c>
      <c r="J7" s="688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f>(2870-1600)*1.9</f>
        <v>2413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1939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SUMIFS(I15:I42,A15:A42,"P")</f>
        <v>0</v>
      </c>
      <c r="J14" s="379"/>
    </row>
    <row r="15" spans="1:16" x14ac:dyDescent="0.25">
      <c r="A15" s="370" t="s">
        <v>1617</v>
      </c>
      <c r="B15" s="370">
        <f>MAX(B2:B14)+1</f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f>(9705-1464)*0.2</f>
        <v>1648.2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1938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f>MAX(B6:B18)+1</f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2870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1937</v>
      </c>
      <c r="J21" s="371"/>
    </row>
    <row r="22" spans="1:16" ht="409.5" x14ac:dyDescent="0.25">
      <c r="A22" s="370" t="s">
        <v>1611</v>
      </c>
      <c r="B22" s="373"/>
      <c r="E22" s="368" t="s">
        <v>1703</v>
      </c>
      <c r="J22" s="371"/>
    </row>
    <row r="23" spans="1:16" x14ac:dyDescent="0.25">
      <c r="A23" s="370" t="s">
        <v>1617</v>
      </c>
      <c r="B23" s="370">
        <f>MAX(B10:B22)+1</f>
        <v>4</v>
      </c>
      <c r="C23" s="378" t="s">
        <v>1702</v>
      </c>
      <c r="D23" s="370" t="s">
        <v>1</v>
      </c>
      <c r="E23" s="368" t="s">
        <v>1701</v>
      </c>
      <c r="F23" s="375" t="s">
        <v>1651</v>
      </c>
      <c r="G23" s="377">
        <v>1600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1807</v>
      </c>
      <c r="J25" s="371"/>
    </row>
    <row r="26" spans="1:16" ht="390" x14ac:dyDescent="0.25">
      <c r="A26" s="370" t="s">
        <v>1611</v>
      </c>
      <c r="B26" s="373"/>
      <c r="E26" s="368" t="s">
        <v>1699</v>
      </c>
      <c r="J26" s="371"/>
    </row>
    <row r="27" spans="1:16" x14ac:dyDescent="0.25">
      <c r="A27" s="370" t="s">
        <v>1617</v>
      </c>
      <c r="B27" s="370">
        <f>MAX(B14:B26)+1</f>
        <v>5</v>
      </c>
      <c r="C27" s="378" t="s">
        <v>1698</v>
      </c>
      <c r="D27" s="370" t="s">
        <v>1</v>
      </c>
      <c r="E27" s="368" t="s">
        <v>1697</v>
      </c>
      <c r="F27" s="375" t="s">
        <v>1665</v>
      </c>
      <c r="G27" s="377">
        <f>4452-891</f>
        <v>3561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x14ac:dyDescent="0.25">
      <c r="A29" s="370" t="s">
        <v>112</v>
      </c>
      <c r="B29" s="373"/>
      <c r="E29" s="460" t="s">
        <v>1936</v>
      </c>
      <c r="J29" s="371"/>
    </row>
    <row r="30" spans="1:16" ht="30" x14ac:dyDescent="0.25">
      <c r="A30" s="370" t="s">
        <v>1611</v>
      </c>
      <c r="B30" s="373"/>
      <c r="E30" s="368" t="s">
        <v>1695</v>
      </c>
      <c r="J30" s="371"/>
    </row>
    <row r="31" spans="1:16" x14ac:dyDescent="0.25">
      <c r="A31" s="370" t="s">
        <v>1617</v>
      </c>
      <c r="B31" s="370">
        <f>MAX(B18:B30)+1</f>
        <v>6</v>
      </c>
      <c r="C31" s="378" t="s">
        <v>1806</v>
      </c>
      <c r="D31" s="370" t="s">
        <v>1</v>
      </c>
      <c r="E31" s="368" t="s">
        <v>1805</v>
      </c>
      <c r="F31" s="375" t="s">
        <v>1665</v>
      </c>
      <c r="G31" s="377">
        <f>3085-417</f>
        <v>2668</v>
      </c>
      <c r="H31" s="376">
        <v>0</v>
      </c>
      <c r="I31" s="376">
        <f>ROUND(G31*H31,P4)</f>
        <v>0</v>
      </c>
      <c r="J31" s="375" t="s">
        <v>1613</v>
      </c>
      <c r="O31" s="374">
        <f>I31*0.21</f>
        <v>0</v>
      </c>
      <c r="P31" s="364">
        <v>3</v>
      </c>
    </row>
    <row r="32" spans="1:16" x14ac:dyDescent="0.25">
      <c r="A32" s="370" t="s">
        <v>1612</v>
      </c>
      <c r="B32" s="373"/>
      <c r="E32" s="372"/>
      <c r="J32" s="371"/>
    </row>
    <row r="33" spans="1:16" x14ac:dyDescent="0.25">
      <c r="A33" s="370" t="s">
        <v>112</v>
      </c>
      <c r="B33" s="373"/>
      <c r="E33" s="460" t="s">
        <v>1935</v>
      </c>
      <c r="J33" s="371"/>
    </row>
    <row r="34" spans="1:16" x14ac:dyDescent="0.25">
      <c r="A34" s="370" t="s">
        <v>1611</v>
      </c>
      <c r="B34" s="373"/>
      <c r="E34" s="368" t="s">
        <v>1804</v>
      </c>
      <c r="J34" s="371"/>
    </row>
    <row r="35" spans="1:16" x14ac:dyDescent="0.25">
      <c r="A35" s="370" t="s">
        <v>1617</v>
      </c>
      <c r="B35" s="370">
        <f>MAX(B22:B34)+1</f>
        <v>7</v>
      </c>
      <c r="C35" s="378" t="s">
        <v>1803</v>
      </c>
      <c r="D35" s="370" t="s">
        <v>1</v>
      </c>
      <c r="E35" s="368" t="s">
        <v>1802</v>
      </c>
      <c r="F35" s="375" t="s">
        <v>1665</v>
      </c>
      <c r="G35" s="377">
        <f>3085-417</f>
        <v>2668</v>
      </c>
      <c r="H35" s="376">
        <v>0</v>
      </c>
      <c r="I35" s="376">
        <f>ROUND(G35*H35,P4)</f>
        <v>0</v>
      </c>
      <c r="J35" s="375" t="s">
        <v>1613</v>
      </c>
      <c r="O35" s="374">
        <f>I35*0.21</f>
        <v>0</v>
      </c>
      <c r="P35" s="364">
        <v>3</v>
      </c>
    </row>
    <row r="36" spans="1:16" x14ac:dyDescent="0.25">
      <c r="A36" s="370" t="s">
        <v>1612</v>
      </c>
      <c r="B36" s="373"/>
      <c r="E36" s="372"/>
      <c r="J36" s="371"/>
    </row>
    <row r="37" spans="1:16" x14ac:dyDescent="0.25">
      <c r="A37" s="370" t="s">
        <v>112</v>
      </c>
      <c r="B37" s="373"/>
      <c r="E37" s="460" t="s">
        <v>1935</v>
      </c>
      <c r="J37" s="371"/>
    </row>
    <row r="38" spans="1:16" ht="45" x14ac:dyDescent="0.25">
      <c r="A38" s="370" t="s">
        <v>1611</v>
      </c>
      <c r="B38" s="373"/>
      <c r="E38" s="368" t="s">
        <v>1801</v>
      </c>
      <c r="J38" s="371"/>
    </row>
    <row r="39" spans="1:16" x14ac:dyDescent="0.25">
      <c r="A39" s="370" t="s">
        <v>1617</v>
      </c>
      <c r="B39" s="370">
        <f>MAX(B26:B38)+1</f>
        <v>8</v>
      </c>
      <c r="C39" s="378" t="s">
        <v>1800</v>
      </c>
      <c r="D39" s="370" t="s">
        <v>1</v>
      </c>
      <c r="E39" s="368" t="s">
        <v>1799</v>
      </c>
      <c r="F39" s="375" t="s">
        <v>1665</v>
      </c>
      <c r="G39" s="377">
        <f>3085-417</f>
        <v>2668</v>
      </c>
      <c r="H39" s="376">
        <v>0</v>
      </c>
      <c r="I39" s="376">
        <f>ROUND(G39*H39,P4)</f>
        <v>0</v>
      </c>
      <c r="J39" s="375" t="s">
        <v>1613</v>
      </c>
      <c r="O39" s="374">
        <f>I39*0.21</f>
        <v>0</v>
      </c>
      <c r="P39" s="364">
        <v>3</v>
      </c>
    </row>
    <row r="40" spans="1:16" x14ac:dyDescent="0.25">
      <c r="A40" s="370" t="s">
        <v>1612</v>
      </c>
      <c r="B40" s="373"/>
      <c r="E40" s="372"/>
      <c r="J40" s="371"/>
    </row>
    <row r="41" spans="1:16" x14ac:dyDescent="0.25">
      <c r="A41" s="370" t="s">
        <v>112</v>
      </c>
      <c r="B41" s="373"/>
      <c r="E41" s="460" t="s">
        <v>1935</v>
      </c>
      <c r="J41" s="371"/>
    </row>
    <row r="42" spans="1:16" ht="30" x14ac:dyDescent="0.25">
      <c r="A42" s="370" t="s">
        <v>1611</v>
      </c>
      <c r="B42" s="373"/>
      <c r="E42" s="368" t="s">
        <v>1798</v>
      </c>
      <c r="J42" s="371"/>
    </row>
    <row r="43" spans="1:16" x14ac:dyDescent="0.25">
      <c r="A43" s="442" t="s">
        <v>1629</v>
      </c>
      <c r="B43" s="444"/>
      <c r="C43" s="443" t="s">
        <v>65</v>
      </c>
      <c r="D43" s="441"/>
      <c r="E43" s="442" t="s">
        <v>1797</v>
      </c>
      <c r="F43" s="441"/>
      <c r="G43" s="441"/>
      <c r="H43" s="441"/>
      <c r="I43" s="440">
        <f>SUMIFS(I44:I51,A44:A51,"P")</f>
        <v>0</v>
      </c>
      <c r="J43" s="379"/>
    </row>
    <row r="44" spans="1:16" x14ac:dyDescent="0.25">
      <c r="A44" s="370" t="s">
        <v>1617</v>
      </c>
      <c r="B44" s="370">
        <f>MAX(B31:B43)+1</f>
        <v>9</v>
      </c>
      <c r="C44" s="378" t="s">
        <v>1796</v>
      </c>
      <c r="D44" s="370" t="s">
        <v>1</v>
      </c>
      <c r="E44" s="368" t="s">
        <v>1795</v>
      </c>
      <c r="F44" s="375" t="s">
        <v>252</v>
      </c>
      <c r="G44" s="377">
        <f>2*52</f>
        <v>104</v>
      </c>
      <c r="H44" s="376">
        <v>0</v>
      </c>
      <c r="I44" s="376">
        <f>ROUND(G44*H44,P4)</f>
        <v>0</v>
      </c>
      <c r="J44" s="375" t="s">
        <v>1613</v>
      </c>
      <c r="O44" s="374">
        <f>I44*0.21</f>
        <v>0</v>
      </c>
      <c r="P44" s="364">
        <v>3</v>
      </c>
    </row>
    <row r="45" spans="1:16" x14ac:dyDescent="0.25">
      <c r="A45" s="370" t="s">
        <v>1612</v>
      </c>
      <c r="B45" s="373"/>
      <c r="E45" s="372"/>
      <c r="J45" s="371"/>
    </row>
    <row r="46" spans="1:16" x14ac:dyDescent="0.25">
      <c r="A46" s="370" t="s">
        <v>112</v>
      </c>
      <c r="B46" s="373"/>
      <c r="E46" s="460" t="s">
        <v>1934</v>
      </c>
      <c r="J46" s="371"/>
    </row>
    <row r="47" spans="1:16" ht="195" x14ac:dyDescent="0.25">
      <c r="A47" s="370" t="s">
        <v>1611</v>
      </c>
      <c r="B47" s="373"/>
      <c r="E47" s="368" t="s">
        <v>1794</v>
      </c>
      <c r="J47" s="371"/>
    </row>
    <row r="48" spans="1:16" x14ac:dyDescent="0.25">
      <c r="A48" s="370" t="s">
        <v>1617</v>
      </c>
      <c r="B48" s="370">
        <f>MAX(B35:B47)+1</f>
        <v>10</v>
      </c>
      <c r="C48" s="378" t="s">
        <v>1793</v>
      </c>
      <c r="D48" s="370" t="s">
        <v>1</v>
      </c>
      <c r="E48" s="368" t="s">
        <v>1792</v>
      </c>
      <c r="F48" s="375" t="s">
        <v>1665</v>
      </c>
      <c r="G48" s="377">
        <f>4452-659</f>
        <v>3793</v>
      </c>
      <c r="H48" s="376">
        <v>0</v>
      </c>
      <c r="I48" s="376">
        <f>ROUND(G48*H48,P4)</f>
        <v>0</v>
      </c>
      <c r="J48" s="375" t="s">
        <v>1613</v>
      </c>
      <c r="O48" s="374">
        <f>I48*0.21</f>
        <v>0</v>
      </c>
      <c r="P48" s="364">
        <v>3</v>
      </c>
    </row>
    <row r="49" spans="1:16" x14ac:dyDescent="0.25">
      <c r="A49" s="370" t="s">
        <v>1612</v>
      </c>
      <c r="B49" s="373"/>
      <c r="E49" s="372"/>
      <c r="G49" s="364">
        <v>5645</v>
      </c>
      <c r="J49" s="371"/>
    </row>
    <row r="50" spans="1:16" x14ac:dyDescent="0.25">
      <c r="A50" s="370" t="s">
        <v>112</v>
      </c>
      <c r="B50" s="373"/>
      <c r="E50" s="460" t="s">
        <v>1933</v>
      </c>
      <c r="J50" s="371"/>
    </row>
    <row r="51" spans="1:16" ht="45" x14ac:dyDescent="0.25">
      <c r="A51" s="370" t="s">
        <v>1611</v>
      </c>
      <c r="B51" s="373"/>
      <c r="E51" s="368" t="s">
        <v>1791</v>
      </c>
      <c r="J51" s="371"/>
    </row>
    <row r="52" spans="1:16" x14ac:dyDescent="0.25">
      <c r="A52" s="442" t="s">
        <v>1629</v>
      </c>
      <c r="B52" s="444"/>
      <c r="C52" s="443" t="s">
        <v>141</v>
      </c>
      <c r="D52" s="441"/>
      <c r="E52" s="442" t="s">
        <v>1592</v>
      </c>
      <c r="F52" s="441"/>
      <c r="G52" s="441"/>
      <c r="H52" s="441"/>
      <c r="I52" s="440">
        <f>SUMIFS(I53:I96,A53:A96,"P")</f>
        <v>0</v>
      </c>
      <c r="J52" s="379"/>
    </row>
    <row r="53" spans="1:16" ht="30" x14ac:dyDescent="0.25">
      <c r="A53" s="370" t="s">
        <v>1617</v>
      </c>
      <c r="B53" s="370">
        <f>MAX(B40:B52)+1</f>
        <v>11</v>
      </c>
      <c r="C53" s="378" t="s">
        <v>1790</v>
      </c>
      <c r="D53" s="370" t="s">
        <v>1</v>
      </c>
      <c r="E53" s="368" t="s">
        <v>1789</v>
      </c>
      <c r="F53" s="375" t="s">
        <v>1665</v>
      </c>
      <c r="G53" s="377">
        <f>4254-659</f>
        <v>3595</v>
      </c>
      <c r="H53" s="376">
        <v>0</v>
      </c>
      <c r="I53" s="376">
        <f>ROUND(G53*H53,P4)</f>
        <v>0</v>
      </c>
      <c r="J53" s="375" t="s">
        <v>1613</v>
      </c>
      <c r="O53" s="374">
        <f>I53*0.21</f>
        <v>0</v>
      </c>
      <c r="P53" s="364">
        <v>3</v>
      </c>
    </row>
    <row r="54" spans="1:16" x14ac:dyDescent="0.25">
      <c r="A54" s="370" t="s">
        <v>1612</v>
      </c>
      <c r="B54" s="373"/>
      <c r="E54" s="372"/>
      <c r="J54" s="371"/>
    </row>
    <row r="55" spans="1:16" ht="45" x14ac:dyDescent="0.25">
      <c r="A55" s="370" t="s">
        <v>112</v>
      </c>
      <c r="B55" s="373"/>
      <c r="E55" s="460" t="s">
        <v>1932</v>
      </c>
      <c r="J55" s="371"/>
    </row>
    <row r="56" spans="1:16" ht="60" x14ac:dyDescent="0.25">
      <c r="A56" s="370" t="s">
        <v>1611</v>
      </c>
      <c r="B56" s="373"/>
      <c r="E56" s="368" t="s">
        <v>1685</v>
      </c>
      <c r="J56" s="371"/>
    </row>
    <row r="57" spans="1:16" x14ac:dyDescent="0.25">
      <c r="A57" s="370" t="s">
        <v>1617</v>
      </c>
      <c r="B57" s="370">
        <f>MAX(B44:B56)+1</f>
        <v>12</v>
      </c>
      <c r="C57" s="378" t="s">
        <v>1688</v>
      </c>
      <c r="D57" s="370" t="s">
        <v>1</v>
      </c>
      <c r="E57" s="368" t="s">
        <v>1687</v>
      </c>
      <c r="F57" s="375" t="s">
        <v>1665</v>
      </c>
      <c r="G57" s="377">
        <v>34</v>
      </c>
      <c r="H57" s="376">
        <v>0</v>
      </c>
      <c r="I57" s="376">
        <f>ROUND(G57*H57,P4)</f>
        <v>0</v>
      </c>
      <c r="J57" s="375" t="s">
        <v>1613</v>
      </c>
      <c r="O57" s="374">
        <f>I57*0.21</f>
        <v>0</v>
      </c>
      <c r="P57" s="364">
        <v>3</v>
      </c>
    </row>
    <row r="58" spans="1:16" x14ac:dyDescent="0.25">
      <c r="A58" s="370" t="s">
        <v>1612</v>
      </c>
      <c r="B58" s="373"/>
      <c r="E58" s="368" t="s">
        <v>1788</v>
      </c>
      <c r="J58" s="371"/>
    </row>
    <row r="59" spans="1:16" x14ac:dyDescent="0.25">
      <c r="A59" s="370" t="s">
        <v>112</v>
      </c>
      <c r="B59" s="373"/>
      <c r="E59" s="460" t="s">
        <v>1931</v>
      </c>
      <c r="J59" s="371"/>
    </row>
    <row r="60" spans="1:16" ht="60" x14ac:dyDescent="0.25">
      <c r="A60" s="370" t="s">
        <v>1611</v>
      </c>
      <c r="B60" s="373"/>
      <c r="E60" s="368" t="s">
        <v>1685</v>
      </c>
      <c r="J60" s="371"/>
    </row>
    <row r="61" spans="1:16" x14ac:dyDescent="0.25">
      <c r="A61" s="370" t="s">
        <v>1617</v>
      </c>
      <c r="B61" s="370">
        <f>MAX(B48:B60)+1</f>
        <v>13</v>
      </c>
      <c r="C61" s="378" t="s">
        <v>1787</v>
      </c>
      <c r="D61" s="370" t="s">
        <v>1</v>
      </c>
      <c r="E61" s="368" t="s">
        <v>1786</v>
      </c>
      <c r="F61" s="375" t="s">
        <v>1665</v>
      </c>
      <c r="G61" s="377">
        <f>3886-659</f>
        <v>3227</v>
      </c>
      <c r="H61" s="376">
        <v>0</v>
      </c>
      <c r="I61" s="376">
        <f>ROUND(G61*H61,P4)</f>
        <v>0</v>
      </c>
      <c r="J61" s="375" t="s">
        <v>1613</v>
      </c>
      <c r="O61" s="374">
        <f>I61*0.21</f>
        <v>0</v>
      </c>
      <c r="P61" s="364">
        <v>3</v>
      </c>
    </row>
    <row r="62" spans="1:16" x14ac:dyDescent="0.25">
      <c r="A62" s="370" t="s">
        <v>1612</v>
      </c>
      <c r="B62" s="373"/>
      <c r="E62" s="372"/>
      <c r="J62" s="371"/>
    </row>
    <row r="63" spans="1:16" ht="45" x14ac:dyDescent="0.25">
      <c r="A63" s="370" t="s">
        <v>112</v>
      </c>
      <c r="B63" s="373"/>
      <c r="E63" s="460" t="s">
        <v>1930</v>
      </c>
      <c r="J63" s="371"/>
    </row>
    <row r="64" spans="1:16" ht="60" x14ac:dyDescent="0.25">
      <c r="A64" s="370" t="s">
        <v>1611</v>
      </c>
      <c r="B64" s="373"/>
      <c r="E64" s="368" t="s">
        <v>1685</v>
      </c>
      <c r="J64" s="371"/>
    </row>
    <row r="65" spans="1:16" x14ac:dyDescent="0.25">
      <c r="A65" s="370" t="s">
        <v>1617</v>
      </c>
      <c r="B65" s="370">
        <f>MAX(B52:B64)+1</f>
        <v>14</v>
      </c>
      <c r="C65" s="378" t="s">
        <v>1785</v>
      </c>
      <c r="D65" s="370" t="s">
        <v>1</v>
      </c>
      <c r="E65" s="368" t="s">
        <v>1784</v>
      </c>
      <c r="F65" s="375" t="s">
        <v>1665</v>
      </c>
      <c r="G65" s="377">
        <v>368</v>
      </c>
      <c r="H65" s="376">
        <v>0</v>
      </c>
      <c r="I65" s="376">
        <f>ROUND(G65*H65,P4)</f>
        <v>0</v>
      </c>
      <c r="J65" s="375" t="s">
        <v>1613</v>
      </c>
      <c r="O65" s="374">
        <f>I65*0.21</f>
        <v>0</v>
      </c>
      <c r="P65" s="364">
        <v>3</v>
      </c>
    </row>
    <row r="66" spans="1:16" x14ac:dyDescent="0.25">
      <c r="A66" s="370" t="s">
        <v>1612</v>
      </c>
      <c r="B66" s="373"/>
      <c r="E66" s="372"/>
      <c r="J66" s="371"/>
    </row>
    <row r="67" spans="1:16" ht="30" x14ac:dyDescent="0.25">
      <c r="A67" s="370" t="s">
        <v>112</v>
      </c>
      <c r="B67" s="373"/>
      <c r="E67" s="460" t="s">
        <v>1929</v>
      </c>
      <c r="J67" s="371"/>
    </row>
    <row r="68" spans="1:16" ht="60" x14ac:dyDescent="0.25">
      <c r="A68" s="370" t="s">
        <v>1611</v>
      </c>
      <c r="B68" s="373"/>
      <c r="E68" s="368" t="s">
        <v>1685</v>
      </c>
      <c r="J68" s="371"/>
    </row>
    <row r="69" spans="1:16" x14ac:dyDescent="0.25">
      <c r="A69" s="370" t="s">
        <v>1617</v>
      </c>
      <c r="B69" s="370">
        <f>MAX(B56:B68)+1</f>
        <v>15</v>
      </c>
      <c r="C69" s="378" t="s">
        <v>1783</v>
      </c>
      <c r="D69" s="370" t="s">
        <v>1</v>
      </c>
      <c r="E69" s="368" t="s">
        <v>1782</v>
      </c>
      <c r="F69" s="375" t="s">
        <v>1665</v>
      </c>
      <c r="G69" s="377">
        <f>3886-659</f>
        <v>3227</v>
      </c>
      <c r="H69" s="376">
        <v>0</v>
      </c>
      <c r="I69" s="376">
        <f>ROUND(G69*H69,P4)</f>
        <v>0</v>
      </c>
      <c r="J69" s="375" t="s">
        <v>1613</v>
      </c>
      <c r="O69" s="374">
        <f>I69*0.21</f>
        <v>0</v>
      </c>
      <c r="P69" s="364">
        <v>3</v>
      </c>
    </row>
    <row r="70" spans="1:16" x14ac:dyDescent="0.25">
      <c r="A70" s="370" t="s">
        <v>1612</v>
      </c>
      <c r="B70" s="373"/>
      <c r="E70" s="372"/>
      <c r="J70" s="371"/>
    </row>
    <row r="71" spans="1:16" x14ac:dyDescent="0.25">
      <c r="A71" s="370" t="s">
        <v>112</v>
      </c>
      <c r="B71" s="373"/>
      <c r="E71" s="460" t="s">
        <v>1927</v>
      </c>
      <c r="J71" s="371"/>
    </row>
    <row r="72" spans="1:16" ht="75" x14ac:dyDescent="0.25">
      <c r="A72" s="370" t="s">
        <v>1611</v>
      </c>
      <c r="B72" s="373"/>
      <c r="E72" s="368" t="s">
        <v>1678</v>
      </c>
      <c r="J72" s="371"/>
    </row>
    <row r="73" spans="1:16" x14ac:dyDescent="0.25">
      <c r="A73" s="370" t="s">
        <v>1617</v>
      </c>
      <c r="B73" s="370">
        <f>MAX(B60:B72)+1</f>
        <v>16</v>
      </c>
      <c r="C73" s="378" t="s">
        <v>1781</v>
      </c>
      <c r="D73" s="370" t="s">
        <v>1</v>
      </c>
      <c r="E73" s="368" t="s">
        <v>1780</v>
      </c>
      <c r="F73" s="375" t="s">
        <v>1665</v>
      </c>
      <c r="G73" s="377">
        <f>2*(3886-659)</f>
        <v>6454</v>
      </c>
      <c r="H73" s="376">
        <v>0</v>
      </c>
      <c r="I73" s="376">
        <f>ROUND(G73*H73,P4)</f>
        <v>0</v>
      </c>
      <c r="J73" s="375" t="s">
        <v>1613</v>
      </c>
      <c r="O73" s="374">
        <f>I73*0.21</f>
        <v>0</v>
      </c>
      <c r="P73" s="364">
        <v>3</v>
      </c>
    </row>
    <row r="74" spans="1:16" x14ac:dyDescent="0.25">
      <c r="A74" s="370" t="s">
        <v>1612</v>
      </c>
      <c r="B74" s="373"/>
      <c r="E74" s="372"/>
      <c r="J74" s="371"/>
    </row>
    <row r="75" spans="1:16" x14ac:dyDescent="0.25">
      <c r="A75" s="370" t="s">
        <v>112</v>
      </c>
      <c r="B75" s="373"/>
      <c r="E75" s="460" t="s">
        <v>1928</v>
      </c>
      <c r="J75" s="371"/>
    </row>
    <row r="76" spans="1:16" ht="75" x14ac:dyDescent="0.25">
      <c r="A76" s="370" t="s">
        <v>1611</v>
      </c>
      <c r="B76" s="373"/>
      <c r="E76" s="368" t="s">
        <v>1678</v>
      </c>
      <c r="J76" s="371"/>
    </row>
    <row r="77" spans="1:16" x14ac:dyDescent="0.25">
      <c r="A77" s="370" t="s">
        <v>1617</v>
      </c>
      <c r="B77" s="370">
        <f>MAX(B64:B76)+1</f>
        <v>17</v>
      </c>
      <c r="C77" s="378" t="s">
        <v>1779</v>
      </c>
      <c r="D77" s="370" t="s">
        <v>1</v>
      </c>
      <c r="E77" s="368" t="s">
        <v>1778</v>
      </c>
      <c r="F77" s="375" t="s">
        <v>1665</v>
      </c>
      <c r="G77" s="377">
        <f>3886-659</f>
        <v>3227</v>
      </c>
      <c r="H77" s="376">
        <v>0</v>
      </c>
      <c r="I77" s="376">
        <f>ROUND(G77*H77,P4)</f>
        <v>0</v>
      </c>
      <c r="J77" s="375" t="s">
        <v>1613</v>
      </c>
      <c r="O77" s="374">
        <f>I77*0.21</f>
        <v>0</v>
      </c>
      <c r="P77" s="364">
        <v>3</v>
      </c>
    </row>
    <row r="78" spans="1:16" x14ac:dyDescent="0.25">
      <c r="A78" s="370" t="s">
        <v>1612</v>
      </c>
      <c r="B78" s="373"/>
      <c r="E78" s="372"/>
      <c r="J78" s="371"/>
    </row>
    <row r="79" spans="1:16" x14ac:dyDescent="0.25">
      <c r="A79" s="370" t="s">
        <v>112</v>
      </c>
      <c r="B79" s="373"/>
      <c r="E79" s="460" t="s">
        <v>1927</v>
      </c>
      <c r="J79" s="371"/>
    </row>
    <row r="80" spans="1:16" ht="165" x14ac:dyDescent="0.25">
      <c r="A80" s="370" t="s">
        <v>1611</v>
      </c>
      <c r="B80" s="373"/>
      <c r="E80" s="368" t="s">
        <v>1674</v>
      </c>
      <c r="J80" s="371"/>
    </row>
    <row r="81" spans="1:16" x14ac:dyDescent="0.25">
      <c r="A81" s="370" t="s">
        <v>1617</v>
      </c>
      <c r="B81" s="370">
        <f>MAX(B68:B80)+1</f>
        <v>18</v>
      </c>
      <c r="C81" s="378" t="s">
        <v>1777</v>
      </c>
      <c r="D81" s="370" t="s">
        <v>1</v>
      </c>
      <c r="E81" s="368" t="s">
        <v>1776</v>
      </c>
      <c r="F81" s="375" t="s">
        <v>1665</v>
      </c>
      <c r="G81" s="377">
        <f>3886-659</f>
        <v>3227</v>
      </c>
      <c r="H81" s="376">
        <v>0</v>
      </c>
      <c r="I81" s="376">
        <f>ROUND(G81*H81,P4)</f>
        <v>0</v>
      </c>
      <c r="J81" s="375" t="s">
        <v>1613</v>
      </c>
      <c r="O81" s="374">
        <f>I81*0.21</f>
        <v>0</v>
      </c>
      <c r="P81" s="364">
        <v>3</v>
      </c>
    </row>
    <row r="82" spans="1:16" x14ac:dyDescent="0.25">
      <c r="A82" s="370" t="s">
        <v>1612</v>
      </c>
      <c r="B82" s="373"/>
      <c r="E82" s="372"/>
      <c r="J82" s="371"/>
    </row>
    <row r="83" spans="1:16" x14ac:dyDescent="0.25">
      <c r="A83" s="370" t="s">
        <v>112</v>
      </c>
      <c r="B83" s="373"/>
      <c r="E83" s="460" t="s">
        <v>1927</v>
      </c>
      <c r="J83" s="371"/>
    </row>
    <row r="84" spans="1:16" ht="165" x14ac:dyDescent="0.25">
      <c r="A84" s="370" t="s">
        <v>1611</v>
      </c>
      <c r="B84" s="373"/>
      <c r="E84" s="368" t="s">
        <v>1674</v>
      </c>
      <c r="J84" s="371"/>
    </row>
    <row r="85" spans="1:16" x14ac:dyDescent="0.25">
      <c r="A85" s="370" t="s">
        <v>1617</v>
      </c>
      <c r="B85" s="370">
        <f>MAX(B72:B84)+1</f>
        <v>19</v>
      </c>
      <c r="C85" s="378" t="s">
        <v>1775</v>
      </c>
      <c r="D85" s="370" t="s">
        <v>1</v>
      </c>
      <c r="E85" s="368" t="s">
        <v>1774</v>
      </c>
      <c r="F85" s="375" t="s">
        <v>1665</v>
      </c>
      <c r="G85" s="377">
        <f>3886-659</f>
        <v>3227</v>
      </c>
      <c r="H85" s="376">
        <v>0</v>
      </c>
      <c r="I85" s="376">
        <f>ROUND(G85*H85,P4)</f>
        <v>0</v>
      </c>
      <c r="J85" s="375" t="s">
        <v>1613</v>
      </c>
      <c r="O85" s="374">
        <f>I85*0.21</f>
        <v>0</v>
      </c>
      <c r="P85" s="364">
        <v>3</v>
      </c>
    </row>
    <row r="86" spans="1:16" x14ac:dyDescent="0.25">
      <c r="A86" s="370" t="s">
        <v>1612</v>
      </c>
      <c r="B86" s="373"/>
      <c r="E86" s="372"/>
      <c r="J86" s="371"/>
    </row>
    <row r="87" spans="1:16" x14ac:dyDescent="0.25">
      <c r="A87" s="370" t="s">
        <v>112</v>
      </c>
      <c r="B87" s="373"/>
      <c r="E87" s="460" t="s">
        <v>1927</v>
      </c>
      <c r="J87" s="371"/>
    </row>
    <row r="88" spans="1:16" ht="165" x14ac:dyDescent="0.25">
      <c r="A88" s="370" t="s">
        <v>1611</v>
      </c>
      <c r="B88" s="373"/>
      <c r="E88" s="368" t="s">
        <v>1674</v>
      </c>
      <c r="J88" s="371"/>
    </row>
    <row r="89" spans="1:16" ht="30" x14ac:dyDescent="0.25">
      <c r="A89" s="370" t="s">
        <v>1617</v>
      </c>
      <c r="B89" s="370">
        <f>MAX(B80:B88)+1</f>
        <v>20</v>
      </c>
      <c r="C89" s="378" t="s">
        <v>1770</v>
      </c>
      <c r="D89" s="370" t="s">
        <v>1</v>
      </c>
      <c r="E89" s="368" t="s">
        <v>1769</v>
      </c>
      <c r="F89" s="375" t="s">
        <v>1665</v>
      </c>
      <c r="G89" s="377">
        <v>368</v>
      </c>
      <c r="H89" s="376">
        <v>0</v>
      </c>
      <c r="I89" s="376">
        <f>ROUND(G89*H89,P4)</f>
        <v>0</v>
      </c>
      <c r="J89" s="375" t="s">
        <v>1613</v>
      </c>
      <c r="O89" s="374">
        <f>I89*0.21</f>
        <v>0</v>
      </c>
      <c r="P89" s="364">
        <v>3</v>
      </c>
    </row>
    <row r="90" spans="1:16" x14ac:dyDescent="0.25">
      <c r="A90" s="370" t="s">
        <v>1612</v>
      </c>
      <c r="B90" s="373"/>
      <c r="E90" s="372"/>
      <c r="J90" s="371"/>
    </row>
    <row r="91" spans="1:16" x14ac:dyDescent="0.25">
      <c r="A91" s="370" t="s">
        <v>112</v>
      </c>
      <c r="B91" s="373"/>
      <c r="E91" s="460" t="s">
        <v>1768</v>
      </c>
      <c r="J91" s="371"/>
    </row>
    <row r="92" spans="1:16" ht="195" x14ac:dyDescent="0.25">
      <c r="A92" s="370" t="s">
        <v>1611</v>
      </c>
      <c r="B92" s="373"/>
      <c r="E92" s="368" t="s">
        <v>1663</v>
      </c>
      <c r="J92" s="371"/>
    </row>
    <row r="93" spans="1:16" x14ac:dyDescent="0.25">
      <c r="A93" s="370" t="s">
        <v>1617</v>
      </c>
      <c r="B93" s="370">
        <f>MAX(B84:B92)+1</f>
        <v>21</v>
      </c>
      <c r="C93" s="378" t="s">
        <v>1767</v>
      </c>
      <c r="D93" s="370" t="s">
        <v>1</v>
      </c>
      <c r="E93" s="368" t="s">
        <v>1766</v>
      </c>
      <c r="F93" s="375" t="s">
        <v>252</v>
      </c>
      <c r="G93" s="377">
        <f>2*6.05</f>
        <v>12.1</v>
      </c>
      <c r="H93" s="376">
        <v>0</v>
      </c>
      <c r="I93" s="376">
        <f>ROUND(G93*H93,P4)</f>
        <v>0</v>
      </c>
      <c r="J93" s="375" t="s">
        <v>1613</v>
      </c>
      <c r="O93" s="374">
        <f>I93*0.21</f>
        <v>0</v>
      </c>
      <c r="P93" s="364">
        <v>3</v>
      </c>
    </row>
    <row r="94" spans="1:16" x14ac:dyDescent="0.25">
      <c r="A94" s="370" t="s">
        <v>1612</v>
      </c>
      <c r="B94" s="373"/>
      <c r="E94" s="372"/>
      <c r="J94" s="371"/>
    </row>
    <row r="95" spans="1:16" x14ac:dyDescent="0.25">
      <c r="A95" s="370" t="s">
        <v>112</v>
      </c>
      <c r="B95" s="373"/>
      <c r="E95" s="460" t="s">
        <v>1919</v>
      </c>
      <c r="J95" s="371"/>
    </row>
    <row r="96" spans="1:16" ht="45" x14ac:dyDescent="0.25">
      <c r="A96" s="370" t="s">
        <v>1611</v>
      </c>
      <c r="B96" s="373"/>
      <c r="E96" s="368" t="s">
        <v>1765</v>
      </c>
      <c r="J96" s="371"/>
    </row>
    <row r="97" spans="1:16" x14ac:dyDescent="0.25">
      <c r="A97" s="442" t="s">
        <v>1629</v>
      </c>
      <c r="B97" s="444"/>
      <c r="C97" s="443" t="s">
        <v>171</v>
      </c>
      <c r="D97" s="441"/>
      <c r="E97" s="442" t="s">
        <v>1764</v>
      </c>
      <c r="F97" s="441"/>
      <c r="G97" s="441"/>
      <c r="H97" s="441"/>
      <c r="I97" s="440">
        <f>SUMIFS(I98:I101,A98:A101,"P")</f>
        <v>0</v>
      </c>
      <c r="J97" s="379"/>
    </row>
    <row r="98" spans="1:16" x14ac:dyDescent="0.25">
      <c r="A98" s="370" t="s">
        <v>1617</v>
      </c>
      <c r="B98" s="370">
        <f>MAX(B89:B97)+1</f>
        <v>22</v>
      </c>
      <c r="C98" s="378" t="s">
        <v>1763</v>
      </c>
      <c r="D98" s="370" t="s">
        <v>1</v>
      </c>
      <c r="E98" s="368" t="s">
        <v>1762</v>
      </c>
      <c r="F98" s="375" t="s">
        <v>1622</v>
      </c>
      <c r="G98" s="377">
        <v>2</v>
      </c>
      <c r="H98" s="376">
        <v>0</v>
      </c>
      <c r="I98" s="376">
        <f>ROUND(G98*H98,P4)</f>
        <v>0</v>
      </c>
      <c r="J98" s="375" t="s">
        <v>1613</v>
      </c>
      <c r="O98" s="374">
        <f>I98*0.21</f>
        <v>0</v>
      </c>
      <c r="P98" s="364">
        <v>3</v>
      </c>
    </row>
    <row r="99" spans="1:16" x14ac:dyDescent="0.25">
      <c r="A99" s="370" t="s">
        <v>1612</v>
      </c>
      <c r="B99" s="373"/>
      <c r="E99" s="372"/>
      <c r="J99" s="371"/>
    </row>
    <row r="100" spans="1:16" x14ac:dyDescent="0.25">
      <c r="A100" s="370" t="s">
        <v>112</v>
      </c>
      <c r="B100" s="373"/>
      <c r="E100" s="460" t="s">
        <v>1761</v>
      </c>
      <c r="J100" s="371"/>
    </row>
    <row r="101" spans="1:16" ht="90" x14ac:dyDescent="0.25">
      <c r="A101" s="370" t="s">
        <v>1611</v>
      </c>
      <c r="B101" s="373"/>
      <c r="E101" s="368" t="s">
        <v>1760</v>
      </c>
      <c r="J101" s="371"/>
    </row>
    <row r="102" spans="1:16" x14ac:dyDescent="0.25">
      <c r="A102" s="442" t="s">
        <v>1629</v>
      </c>
      <c r="B102" s="444"/>
      <c r="C102" s="443" t="s">
        <v>180</v>
      </c>
      <c r="D102" s="441"/>
      <c r="E102" s="442" t="s">
        <v>1662</v>
      </c>
      <c r="F102" s="441"/>
      <c r="G102" s="441"/>
      <c r="H102" s="441"/>
      <c r="I102" s="440">
        <f>SUMIFS(I103:I142,A103:A142,"P")</f>
        <v>0</v>
      </c>
      <c r="J102" s="379"/>
    </row>
    <row r="103" spans="1:16" ht="30" x14ac:dyDescent="0.25">
      <c r="A103" s="370" t="s">
        <v>1617</v>
      </c>
      <c r="B103" s="370">
        <f>MAX(B90:B102)+1</f>
        <v>23</v>
      </c>
      <c r="C103" s="378" t="s">
        <v>1759</v>
      </c>
      <c r="D103" s="370" t="s">
        <v>1</v>
      </c>
      <c r="E103" s="368" t="s">
        <v>1758</v>
      </c>
      <c r="F103" s="375" t="s">
        <v>1622</v>
      </c>
      <c r="G103" s="377">
        <v>25</v>
      </c>
      <c r="H103" s="376">
        <v>0</v>
      </c>
      <c r="I103" s="376">
        <f>ROUND(G103*H103,P4)</f>
        <v>0</v>
      </c>
      <c r="J103" s="375" t="s">
        <v>1613</v>
      </c>
      <c r="O103" s="374">
        <f>I103*0.21</f>
        <v>0</v>
      </c>
      <c r="P103" s="364">
        <v>3</v>
      </c>
    </row>
    <row r="104" spans="1:16" x14ac:dyDescent="0.25">
      <c r="A104" s="370" t="s">
        <v>1612</v>
      </c>
      <c r="B104" s="373"/>
      <c r="E104" s="372"/>
      <c r="J104" s="371"/>
    </row>
    <row r="105" spans="1:16" ht="210" x14ac:dyDescent="0.25">
      <c r="A105" s="370" t="s">
        <v>112</v>
      </c>
      <c r="B105" s="373"/>
      <c r="E105" s="460" t="s">
        <v>1926</v>
      </c>
      <c r="J105" s="371"/>
    </row>
    <row r="106" spans="1:16" ht="30" x14ac:dyDescent="0.25">
      <c r="A106" s="370" t="s">
        <v>1611</v>
      </c>
      <c r="B106" s="373"/>
      <c r="E106" s="368" t="s">
        <v>1658</v>
      </c>
      <c r="J106" s="371"/>
    </row>
    <row r="107" spans="1:16" ht="30" x14ac:dyDescent="0.25">
      <c r="A107" s="370" t="s">
        <v>1617</v>
      </c>
      <c r="B107" s="370">
        <f>MAX(B94:B106)+1</f>
        <v>24</v>
      </c>
      <c r="C107" s="378" t="s">
        <v>1657</v>
      </c>
      <c r="D107" s="370" t="s">
        <v>1</v>
      </c>
      <c r="E107" s="368" t="s">
        <v>1656</v>
      </c>
      <c r="F107" s="375" t="s">
        <v>1622</v>
      </c>
      <c r="G107" s="377">
        <v>21</v>
      </c>
      <c r="H107" s="376">
        <v>0</v>
      </c>
      <c r="I107" s="376">
        <f>ROUND(G107*H107,P4)</f>
        <v>0</v>
      </c>
      <c r="J107" s="375" t="s">
        <v>1613</v>
      </c>
      <c r="O107" s="374">
        <f>I107*0.21</f>
        <v>0</v>
      </c>
      <c r="P107" s="364">
        <v>3</v>
      </c>
    </row>
    <row r="108" spans="1:16" x14ac:dyDescent="0.25">
      <c r="A108" s="370" t="s">
        <v>1612</v>
      </c>
      <c r="B108" s="373"/>
      <c r="E108" s="372"/>
      <c r="J108" s="371"/>
    </row>
    <row r="109" spans="1:16" x14ac:dyDescent="0.25">
      <c r="A109" s="370" t="s">
        <v>112</v>
      </c>
      <c r="B109" s="373"/>
      <c r="E109" s="460" t="s">
        <v>1925</v>
      </c>
      <c r="J109" s="371"/>
    </row>
    <row r="110" spans="1:16" ht="45" x14ac:dyDescent="0.25">
      <c r="A110" s="370" t="s">
        <v>1611</v>
      </c>
      <c r="B110" s="373"/>
      <c r="E110" s="368" t="s">
        <v>1654</v>
      </c>
      <c r="J110" s="371"/>
    </row>
    <row r="111" spans="1:16" ht="30" x14ac:dyDescent="0.25">
      <c r="A111" s="370" t="s">
        <v>1617</v>
      </c>
      <c r="B111" s="370">
        <f>MAX(B98:B110)+1</f>
        <v>25</v>
      </c>
      <c r="C111" s="378" t="s">
        <v>1756</v>
      </c>
      <c r="D111" s="370" t="s">
        <v>1</v>
      </c>
      <c r="E111" s="368" t="s">
        <v>1755</v>
      </c>
      <c r="F111" s="375" t="s">
        <v>1665</v>
      </c>
      <c r="G111" s="377">
        <v>300</v>
      </c>
      <c r="H111" s="376">
        <v>0</v>
      </c>
      <c r="I111" s="376">
        <f>ROUND(G111*H111,P4)</f>
        <v>0</v>
      </c>
      <c r="J111" s="375" t="s">
        <v>1613</v>
      </c>
      <c r="O111" s="374">
        <f>I111*0.21</f>
        <v>0</v>
      </c>
      <c r="P111" s="364">
        <v>3</v>
      </c>
    </row>
    <row r="112" spans="1:16" x14ac:dyDescent="0.25">
      <c r="A112" s="370" t="s">
        <v>1612</v>
      </c>
      <c r="B112" s="373"/>
      <c r="E112" s="372"/>
      <c r="J112" s="371"/>
    </row>
    <row r="113" spans="1:16" ht="75" x14ac:dyDescent="0.25">
      <c r="A113" s="370" t="s">
        <v>112</v>
      </c>
      <c r="B113" s="373"/>
      <c r="E113" s="460" t="s">
        <v>1924</v>
      </c>
      <c r="J113" s="371"/>
    </row>
    <row r="114" spans="1:16" ht="60" x14ac:dyDescent="0.25">
      <c r="A114" s="370" t="s">
        <v>1611</v>
      </c>
      <c r="B114" s="373"/>
      <c r="E114" s="368" t="s">
        <v>1754</v>
      </c>
      <c r="J114" s="371"/>
    </row>
    <row r="115" spans="1:16" x14ac:dyDescent="0.25">
      <c r="A115" s="370" t="s">
        <v>1617</v>
      </c>
      <c r="B115" s="370">
        <f>MAX(B102:B114)+1</f>
        <v>26</v>
      </c>
      <c r="C115" s="378" t="s">
        <v>1753</v>
      </c>
      <c r="D115" s="370" t="s">
        <v>1</v>
      </c>
      <c r="E115" s="368" t="s">
        <v>1752</v>
      </c>
      <c r="F115" s="375" t="s">
        <v>1622</v>
      </c>
      <c r="G115" s="377">
        <v>34</v>
      </c>
      <c r="H115" s="376">
        <v>0</v>
      </c>
      <c r="I115" s="376">
        <f>ROUND(G115*H115,P4)</f>
        <v>0</v>
      </c>
      <c r="J115" s="375" t="s">
        <v>1613</v>
      </c>
      <c r="O115" s="374">
        <f>I115*0.21</f>
        <v>0</v>
      </c>
      <c r="P115" s="364">
        <v>3</v>
      </c>
    </row>
    <row r="116" spans="1:16" x14ac:dyDescent="0.25">
      <c r="A116" s="370" t="s">
        <v>1612</v>
      </c>
      <c r="B116" s="373"/>
      <c r="E116" s="372"/>
      <c r="J116" s="371"/>
    </row>
    <row r="117" spans="1:16" ht="45" x14ac:dyDescent="0.25">
      <c r="A117" s="370" t="s">
        <v>112</v>
      </c>
      <c r="B117" s="373"/>
      <c r="E117" s="460" t="s">
        <v>1923</v>
      </c>
      <c r="J117" s="371"/>
    </row>
    <row r="118" spans="1:16" ht="45" x14ac:dyDescent="0.25">
      <c r="A118" s="370" t="s">
        <v>1611</v>
      </c>
      <c r="B118" s="373"/>
      <c r="E118" s="368" t="s">
        <v>1751</v>
      </c>
      <c r="J118" s="371"/>
    </row>
    <row r="119" spans="1:16" x14ac:dyDescent="0.25">
      <c r="A119" s="370" t="s">
        <v>1617</v>
      </c>
      <c r="B119" s="370">
        <f>MAX(B106:B118)+1</f>
        <v>27</v>
      </c>
      <c r="C119" s="378" t="s">
        <v>1750</v>
      </c>
      <c r="D119" s="370" t="s">
        <v>1</v>
      </c>
      <c r="E119" s="368" t="s">
        <v>1749</v>
      </c>
      <c r="F119" s="375" t="s">
        <v>1622</v>
      </c>
      <c r="G119" s="377">
        <v>12</v>
      </c>
      <c r="H119" s="376">
        <v>0</v>
      </c>
      <c r="I119" s="376">
        <f>ROUND(G119*H119,P4)</f>
        <v>0</v>
      </c>
      <c r="J119" s="375" t="s">
        <v>1613</v>
      </c>
      <c r="O119" s="374">
        <f>I119*0.21</f>
        <v>0</v>
      </c>
      <c r="P119" s="364">
        <v>3</v>
      </c>
    </row>
    <row r="120" spans="1:16" x14ac:dyDescent="0.25">
      <c r="A120" s="370" t="s">
        <v>1612</v>
      </c>
      <c r="B120" s="373"/>
      <c r="E120" s="372"/>
      <c r="J120" s="371"/>
    </row>
    <row r="121" spans="1:16" x14ac:dyDescent="0.25">
      <c r="A121" s="370" t="s">
        <v>112</v>
      </c>
      <c r="B121" s="373"/>
      <c r="E121" s="460" t="s">
        <v>1748</v>
      </c>
      <c r="J121" s="371"/>
    </row>
    <row r="122" spans="1:16" ht="45" x14ac:dyDescent="0.25">
      <c r="A122" s="370" t="s">
        <v>1611</v>
      </c>
      <c r="B122" s="373"/>
      <c r="E122" s="368" t="s">
        <v>1747</v>
      </c>
      <c r="J122" s="371"/>
    </row>
    <row r="123" spans="1:16" ht="30" x14ac:dyDescent="0.25">
      <c r="A123" s="370" t="s">
        <v>1617</v>
      </c>
      <c r="B123" s="370">
        <f>MAX(B110:B122)+1</f>
        <v>28</v>
      </c>
      <c r="C123" s="378" t="s">
        <v>1746</v>
      </c>
      <c r="D123" s="370" t="s">
        <v>1</v>
      </c>
      <c r="E123" s="368" t="s">
        <v>1745</v>
      </c>
      <c r="F123" s="375" t="s">
        <v>252</v>
      </c>
      <c r="G123" s="377">
        <f>266-109.4</f>
        <v>156.6</v>
      </c>
      <c r="H123" s="376">
        <v>0</v>
      </c>
      <c r="I123" s="376">
        <f>ROUND(G123*H123,P4)</f>
        <v>0</v>
      </c>
      <c r="J123" s="375" t="s">
        <v>1613</v>
      </c>
      <c r="O123" s="374">
        <f>I123*0.21</f>
        <v>0</v>
      </c>
      <c r="P123" s="364">
        <v>3</v>
      </c>
    </row>
    <row r="124" spans="1:16" x14ac:dyDescent="0.25">
      <c r="A124" s="370" t="s">
        <v>1612</v>
      </c>
      <c r="B124" s="373"/>
      <c r="E124" s="372"/>
      <c r="J124" s="371"/>
    </row>
    <row r="125" spans="1:16" x14ac:dyDescent="0.25">
      <c r="A125" s="370" t="s">
        <v>112</v>
      </c>
      <c r="B125" s="373"/>
      <c r="E125" s="460" t="s">
        <v>1922</v>
      </c>
      <c r="J125" s="371"/>
    </row>
    <row r="126" spans="1:16" ht="60" x14ac:dyDescent="0.25">
      <c r="A126" s="370" t="s">
        <v>1611</v>
      </c>
      <c r="B126" s="373"/>
      <c r="E126" s="368" t="s">
        <v>1645</v>
      </c>
      <c r="J126" s="371"/>
    </row>
    <row r="127" spans="1:16" ht="30" x14ac:dyDescent="0.25">
      <c r="A127" s="370" t="s">
        <v>1617</v>
      </c>
      <c r="B127" s="370">
        <f>MAX(B114:B126)+1</f>
        <v>29</v>
      </c>
      <c r="C127" s="378" t="s">
        <v>1718</v>
      </c>
      <c r="D127" s="370" t="s">
        <v>1</v>
      </c>
      <c r="E127" s="368" t="s">
        <v>1717</v>
      </c>
      <c r="F127" s="375" t="s">
        <v>252</v>
      </c>
      <c r="G127" s="377">
        <f>262-149</f>
        <v>113</v>
      </c>
      <c r="H127" s="376">
        <v>0</v>
      </c>
      <c r="I127" s="376">
        <f>ROUND(G127*H127,P4)</f>
        <v>0</v>
      </c>
      <c r="J127" s="375" t="s">
        <v>1613</v>
      </c>
      <c r="O127" s="374">
        <f>I127*0.21</f>
        <v>0</v>
      </c>
      <c r="P127" s="364">
        <v>3</v>
      </c>
    </row>
    <row r="128" spans="1:16" x14ac:dyDescent="0.25">
      <c r="A128" s="370" t="s">
        <v>1612</v>
      </c>
      <c r="B128" s="373"/>
      <c r="E128" s="372"/>
      <c r="J128" s="371"/>
    </row>
    <row r="129" spans="1:16" x14ac:dyDescent="0.25">
      <c r="A129" s="370" t="s">
        <v>112</v>
      </c>
      <c r="B129" s="373"/>
      <c r="E129" s="460" t="s">
        <v>1921</v>
      </c>
      <c r="J129" s="371"/>
    </row>
    <row r="130" spans="1:16" ht="60" x14ac:dyDescent="0.25">
      <c r="A130" s="370" t="s">
        <v>1611</v>
      </c>
      <c r="B130" s="373"/>
      <c r="E130" s="368" t="s">
        <v>1645</v>
      </c>
      <c r="J130" s="371"/>
    </row>
    <row r="131" spans="1:16" x14ac:dyDescent="0.25">
      <c r="A131" s="370" t="s">
        <v>1617</v>
      </c>
      <c r="B131" s="370">
        <f>MAX(B118:B130)+1</f>
        <v>30</v>
      </c>
      <c r="C131" s="378" t="s">
        <v>1744</v>
      </c>
      <c r="D131" s="370" t="s">
        <v>1</v>
      </c>
      <c r="E131" s="368" t="s">
        <v>1743</v>
      </c>
      <c r="F131" s="375" t="s">
        <v>252</v>
      </c>
      <c r="G131" s="377">
        <v>42</v>
      </c>
      <c r="H131" s="376">
        <v>0</v>
      </c>
      <c r="I131" s="376">
        <f>ROUND(G131*H131,P4)</f>
        <v>0</v>
      </c>
      <c r="J131" s="375" t="s">
        <v>1613</v>
      </c>
      <c r="O131" s="374">
        <f>I131*0.21</f>
        <v>0</v>
      </c>
      <c r="P131" s="364">
        <v>3</v>
      </c>
    </row>
    <row r="132" spans="1:16" x14ac:dyDescent="0.25">
      <c r="A132" s="370" t="s">
        <v>1612</v>
      </c>
      <c r="B132" s="373"/>
      <c r="E132" s="372"/>
      <c r="J132" s="371"/>
    </row>
    <row r="133" spans="1:16" x14ac:dyDescent="0.25">
      <c r="A133" s="370" t="s">
        <v>112</v>
      </c>
      <c r="B133" s="373"/>
      <c r="E133" s="460" t="s">
        <v>1742</v>
      </c>
      <c r="J133" s="371"/>
    </row>
    <row r="134" spans="1:16" ht="60" x14ac:dyDescent="0.25">
      <c r="A134" s="370" t="s">
        <v>1611</v>
      </c>
      <c r="B134" s="373"/>
      <c r="E134" s="368" t="s">
        <v>1645</v>
      </c>
      <c r="J134" s="371"/>
    </row>
    <row r="135" spans="1:16" x14ac:dyDescent="0.25">
      <c r="A135" s="370" t="s">
        <v>1617</v>
      </c>
      <c r="B135" s="370">
        <f>MAX(B122:B134)+1</f>
        <v>31</v>
      </c>
      <c r="C135" s="378" t="s">
        <v>1741</v>
      </c>
      <c r="D135" s="370" t="s">
        <v>1</v>
      </c>
      <c r="E135" s="368" t="s">
        <v>1740</v>
      </c>
      <c r="F135" s="375" t="s">
        <v>252</v>
      </c>
      <c r="G135" s="377">
        <f>554-65</f>
        <v>489</v>
      </c>
      <c r="H135" s="376">
        <v>0</v>
      </c>
      <c r="I135" s="376">
        <f>ROUND(G135*H135,P4)</f>
        <v>0</v>
      </c>
      <c r="J135" s="375" t="s">
        <v>1613</v>
      </c>
      <c r="O135" s="374">
        <f>I135*0.21</f>
        <v>0</v>
      </c>
      <c r="P135" s="364">
        <v>3</v>
      </c>
    </row>
    <row r="136" spans="1:16" x14ac:dyDescent="0.25">
      <c r="A136" s="370" t="s">
        <v>1612</v>
      </c>
      <c r="B136" s="373"/>
      <c r="E136" s="372"/>
      <c r="J136" s="371"/>
    </row>
    <row r="137" spans="1:16" x14ac:dyDescent="0.25">
      <c r="A137" s="370" t="s">
        <v>112</v>
      </c>
      <c r="B137" s="373"/>
      <c r="E137" s="460" t="s">
        <v>1920</v>
      </c>
      <c r="J137" s="371"/>
    </row>
    <row r="138" spans="1:16" ht="60" x14ac:dyDescent="0.25">
      <c r="A138" s="370" t="s">
        <v>1611</v>
      </c>
      <c r="B138" s="373"/>
      <c r="E138" s="368" t="s">
        <v>1739</v>
      </c>
      <c r="J138" s="371"/>
    </row>
    <row r="139" spans="1:16" x14ac:dyDescent="0.25">
      <c r="A139" s="370" t="s">
        <v>1617</v>
      </c>
      <c r="B139" s="370">
        <f>MAX(B126:B138)+1</f>
        <v>32</v>
      </c>
      <c r="C139" s="378" t="s">
        <v>1738</v>
      </c>
      <c r="D139" s="370" t="s">
        <v>1</v>
      </c>
      <c r="E139" s="368" t="s">
        <v>1737</v>
      </c>
      <c r="F139" s="375" t="s">
        <v>252</v>
      </c>
      <c r="G139" s="377">
        <f>2*6.05</f>
        <v>12.1</v>
      </c>
      <c r="H139" s="376">
        <v>0</v>
      </c>
      <c r="I139" s="376">
        <f>ROUND(G139*H139,P4)</f>
        <v>0</v>
      </c>
      <c r="J139" s="375" t="s">
        <v>1613</v>
      </c>
      <c r="O139" s="374">
        <f>I139*0.21</f>
        <v>0</v>
      </c>
      <c r="P139" s="364">
        <v>3</v>
      </c>
    </row>
    <row r="140" spans="1:16" x14ac:dyDescent="0.25">
      <c r="A140" s="370" t="s">
        <v>1612</v>
      </c>
      <c r="B140" s="373"/>
      <c r="E140" s="372"/>
      <c r="J140" s="371"/>
    </row>
    <row r="141" spans="1:16" x14ac:dyDescent="0.25">
      <c r="A141" s="370" t="s">
        <v>112</v>
      </c>
      <c r="B141" s="373"/>
      <c r="E141" s="460" t="s">
        <v>1919</v>
      </c>
      <c r="J141" s="371"/>
    </row>
    <row r="142" spans="1:16" ht="30" x14ac:dyDescent="0.25">
      <c r="A142" s="370" t="s">
        <v>1611</v>
      </c>
      <c r="B142" s="369"/>
      <c r="C142" s="367"/>
      <c r="D142" s="367"/>
      <c r="E142" s="368" t="s">
        <v>1736</v>
      </c>
      <c r="F142" s="367"/>
      <c r="G142" s="367"/>
      <c r="H142" s="367"/>
      <c r="I142" s="367"/>
      <c r="J142" s="366"/>
    </row>
  </sheetData>
  <mergeCells count="12"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C3:D3"/>
    <mergeCell ref="C4:D4"/>
    <mergeCell ref="C5:D5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16</vt:i4>
      </vt:variant>
    </vt:vector>
  </HeadingPairs>
  <TitlesOfParts>
    <vt:vector size="38" baseType="lpstr">
      <vt:lpstr>Rekapitulace</vt:lpstr>
      <vt:lpstr>Krycí list</vt:lpstr>
      <vt:lpstr>SO 310 - Vodovod – 0-0,098</vt:lpstr>
      <vt:lpstr>SO 310 - Vodovod – 0,098-KÚ</vt:lpstr>
      <vt:lpstr>SO 320 - Spl. kan. – 0-0,098</vt:lpstr>
      <vt:lpstr>SO 320 - Spl. kan. – 0,098-KÚ</vt:lpstr>
      <vt:lpstr>SO 330 - Odvodnění – 0-0,098</vt:lpstr>
      <vt:lpstr>SO 330 - Odvodnění – 0,098-KÚ</vt:lpstr>
      <vt:lpstr>SO 401 - VO rekapitulace</vt:lpstr>
      <vt:lpstr>VO materiál – 0-0,098 </vt:lpstr>
      <vt:lpstr>VO materiál – 0,098-KÚ</vt:lpstr>
      <vt:lpstr>VO montáž – 0-0,098</vt:lpstr>
      <vt:lpstr>VO montáž – 0,098-KÚ</vt:lpstr>
      <vt:lpstr>SO 402 - Kabelovod</vt:lpstr>
      <vt:lpstr>Rekapitulace - 101 - Komunikace</vt:lpstr>
      <vt:lpstr>101001N</vt:lpstr>
      <vt:lpstr>101001U</vt:lpstr>
      <vt:lpstr>101101.1</vt:lpstr>
      <vt:lpstr>101101.2</vt:lpstr>
      <vt:lpstr>101101.3</vt:lpstr>
      <vt:lpstr>101101.4</vt:lpstr>
      <vt:lpstr>101101.5</vt:lpstr>
      <vt:lpstr>Rekapitulace!Názvy_tisku</vt:lpstr>
      <vt:lpstr>'SO 310 - Vodovod – 0,098-KÚ'!Názvy_tisku</vt:lpstr>
      <vt:lpstr>'SO 310 - Vodovod – 0-0,098'!Názvy_tisku</vt:lpstr>
      <vt:lpstr>'SO 320 - Spl. kan. – 0,098-KÚ'!Názvy_tisku</vt:lpstr>
      <vt:lpstr>'SO 320 - Spl. kan. – 0-0,098'!Názvy_tisku</vt:lpstr>
      <vt:lpstr>'SO 330 - Odvodnění – 0,098-KÚ'!Názvy_tisku</vt:lpstr>
      <vt:lpstr>'SO 330 - Odvodnění – 0-0,098'!Názvy_tisku</vt:lpstr>
      <vt:lpstr>'SO 402 - Kabelovod'!Názvy_tisku</vt:lpstr>
      <vt:lpstr>Rekapitulace!Oblast_tisku</vt:lpstr>
      <vt:lpstr>'SO 310 - Vodovod – 0,098-KÚ'!Oblast_tisku</vt:lpstr>
      <vt:lpstr>'SO 310 - Vodovod – 0-0,098'!Oblast_tisku</vt:lpstr>
      <vt:lpstr>'SO 320 - Spl. kan. – 0,098-KÚ'!Oblast_tisku</vt:lpstr>
      <vt:lpstr>'SO 320 - Spl. kan. – 0-0,098'!Oblast_tisku</vt:lpstr>
      <vt:lpstr>'SO 330 - Odvodnění – 0,098-KÚ'!Oblast_tisku</vt:lpstr>
      <vt:lpstr>'SO 330 - Odvodnění – 0-0,098'!Oblast_tisku</vt:lpstr>
      <vt:lpstr>'SO 402 - Kabelovod'!Oblast_tisku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HP-SOLICITE\Honza Richter</dc:creator>
  <cp:lastModifiedBy>Adam</cp:lastModifiedBy>
  <dcterms:created xsi:type="dcterms:W3CDTF">2023-12-01T07:52:58Z</dcterms:created>
  <dcterms:modified xsi:type="dcterms:W3CDTF">2024-09-11T15:15:55Z</dcterms:modified>
</cp:coreProperties>
</file>