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NemNbk\01_NTB_HP_240815\DNS_Ortopedie\03_Výzva k podání nabídky\"/>
    </mc:Choice>
  </mc:AlternateContent>
  <xr:revisionPtr revIDLastSave="0" documentId="13_ncr:1_{8173361B-7FD8-4FDC-9632-3FDC2F037E12}" xr6:coauthVersionLast="47" xr6:coauthVersionMax="47" xr10:uidLastSave="{00000000-0000-0000-0000-000000000000}"/>
  <bookViews>
    <workbookView xWindow="-120" yWindow="-120" windowWidth="38640" windowHeight="21240" xr2:uid="{00000000-000D-0000-FFFF-FFFF00000000}"/>
  </bookViews>
  <sheets>
    <sheet name="Krycí list rozpočtu" sheetId="1" r:id="rId1"/>
    <sheet name="VORN" sheetId="2" state="hidden" r:id="rId2"/>
    <sheet name="Stavební rozpočet" sheetId="3" r:id="rId3"/>
  </sheets>
  <definedNames>
    <definedName name="vorn_sum">VORN!$I$45</definedName>
  </definedNames>
  <calcPr calcId="191029"/>
</workbook>
</file>

<file path=xl/calcChain.xml><?xml version="1.0" encoding="utf-8"?>
<calcChain xmlns="http://schemas.openxmlformats.org/spreadsheetml/2006/main">
  <c r="C10" i="1" l="1"/>
  <c r="BU1092" i="3"/>
  <c r="BJ1092" i="3"/>
  <c r="BD1092" i="3"/>
  <c r="AP1092" i="3"/>
  <c r="AX1092" i="3" s="1"/>
  <c r="AO1092" i="3"/>
  <c r="BH1092" i="3" s="1"/>
  <c r="AK1092" i="3"/>
  <c r="AT1091" i="3" s="1"/>
  <c r="AJ1092" i="3"/>
  <c r="AH1092" i="3"/>
  <c r="AG1092" i="3"/>
  <c r="AF1092" i="3"/>
  <c r="AE1092" i="3"/>
  <c r="AD1092" i="3"/>
  <c r="AC1092" i="3"/>
  <c r="AB1092" i="3"/>
  <c r="Z1092" i="3"/>
  <c r="L1092" i="3"/>
  <c r="BF1092" i="3" s="1"/>
  <c r="I1092" i="3"/>
  <c r="AL1092" i="3" s="1"/>
  <c r="AU1091" i="3" s="1"/>
  <c r="AS1091" i="3"/>
  <c r="L1091" i="3"/>
  <c r="BT1089" i="3"/>
  <c r="BJ1089" i="3"/>
  <c r="BD1089" i="3"/>
  <c r="AP1089" i="3"/>
  <c r="BI1089" i="3" s="1"/>
  <c r="AO1089" i="3"/>
  <c r="BH1089" i="3" s="1"/>
  <c r="AK1089" i="3"/>
  <c r="AT1088" i="3" s="1"/>
  <c r="AJ1089" i="3"/>
  <c r="AS1088" i="3" s="1"/>
  <c r="AH1089" i="3"/>
  <c r="AG1089" i="3"/>
  <c r="AF1089" i="3"/>
  <c r="AE1089" i="3"/>
  <c r="AD1089" i="3"/>
  <c r="AC1089" i="3"/>
  <c r="AB1089" i="3"/>
  <c r="Z1089" i="3"/>
  <c r="L1089" i="3"/>
  <c r="BF1089" i="3" s="1"/>
  <c r="I1089" i="3"/>
  <c r="I1088" i="3" s="1"/>
  <c r="L1088" i="3"/>
  <c r="BR1086" i="3"/>
  <c r="BJ1086" i="3"/>
  <c r="BF1086" i="3"/>
  <c r="BD1086" i="3"/>
  <c r="AP1086" i="3"/>
  <c r="AX1086" i="3" s="1"/>
  <c r="AO1086" i="3"/>
  <c r="BH1086" i="3" s="1"/>
  <c r="AK1086" i="3"/>
  <c r="AT1085" i="3" s="1"/>
  <c r="AJ1086" i="3"/>
  <c r="AS1085" i="3" s="1"/>
  <c r="AH1086" i="3"/>
  <c r="AG1086" i="3"/>
  <c r="AF1086" i="3"/>
  <c r="AE1086" i="3"/>
  <c r="AD1086" i="3"/>
  <c r="AC1086" i="3"/>
  <c r="AB1086" i="3"/>
  <c r="Z1086" i="3"/>
  <c r="L1086" i="3"/>
  <c r="I1086" i="3"/>
  <c r="AL1086" i="3" s="1"/>
  <c r="AU1085" i="3" s="1"/>
  <c r="L1085" i="3"/>
  <c r="BO1083" i="3"/>
  <c r="BJ1083" i="3"/>
  <c r="BD1083" i="3"/>
  <c r="AP1083" i="3"/>
  <c r="BI1083" i="3" s="1"/>
  <c r="AO1083" i="3"/>
  <c r="BH1083" i="3" s="1"/>
  <c r="AK1083" i="3"/>
  <c r="AT1082" i="3" s="1"/>
  <c r="AJ1083" i="3"/>
  <c r="AS1082" i="3" s="1"/>
  <c r="AH1083" i="3"/>
  <c r="AG1083" i="3"/>
  <c r="AF1083" i="3"/>
  <c r="AE1083" i="3"/>
  <c r="AD1083" i="3"/>
  <c r="AC1083" i="3"/>
  <c r="AB1083" i="3"/>
  <c r="Z1083" i="3"/>
  <c r="L1083" i="3"/>
  <c r="L1082" i="3" s="1"/>
  <c r="I1083" i="3"/>
  <c r="I1082" i="3" s="1"/>
  <c r="BM1080" i="3"/>
  <c r="BJ1080" i="3"/>
  <c r="BD1080" i="3"/>
  <c r="AW1080" i="3"/>
  <c r="AV1080" i="3" s="1"/>
  <c r="AP1080" i="3"/>
  <c r="AX1080" i="3" s="1"/>
  <c r="AO1080" i="3"/>
  <c r="BH1080" i="3" s="1"/>
  <c r="AK1080" i="3"/>
  <c r="AT1079" i="3" s="1"/>
  <c r="AJ1080" i="3"/>
  <c r="AS1079" i="3" s="1"/>
  <c r="AH1080" i="3"/>
  <c r="AG1080" i="3"/>
  <c r="AF1080" i="3"/>
  <c r="AE1080" i="3"/>
  <c r="AD1080" i="3"/>
  <c r="AC1080" i="3"/>
  <c r="AB1080" i="3"/>
  <c r="Z1080" i="3"/>
  <c r="L1080" i="3"/>
  <c r="BF1080" i="3" s="1"/>
  <c r="I1080" i="3"/>
  <c r="AL1080" i="3" s="1"/>
  <c r="AU1079" i="3" s="1"/>
  <c r="L1079" i="3"/>
  <c r="BJ1076" i="3"/>
  <c r="BD1076" i="3"/>
  <c r="AX1076" i="3"/>
  <c r="AP1076" i="3"/>
  <c r="BI1076" i="3" s="1"/>
  <c r="AG1076" i="3" s="1"/>
  <c r="AO1076" i="3"/>
  <c r="AW1076" i="3" s="1"/>
  <c r="AK1076" i="3"/>
  <c r="AJ1076" i="3"/>
  <c r="AH1076" i="3"/>
  <c r="AE1076" i="3"/>
  <c r="AD1076" i="3"/>
  <c r="AC1076" i="3"/>
  <c r="AB1076" i="3"/>
  <c r="Z1076" i="3"/>
  <c r="L1076" i="3"/>
  <c r="BF1076" i="3" s="1"/>
  <c r="I1076" i="3"/>
  <c r="AL1076" i="3" s="1"/>
  <c r="BJ1074" i="3"/>
  <c r="BD1074" i="3"/>
  <c r="AW1074" i="3"/>
  <c r="AP1074" i="3"/>
  <c r="BI1074" i="3" s="1"/>
  <c r="AG1074" i="3" s="1"/>
  <c r="AO1074" i="3"/>
  <c r="BH1074" i="3" s="1"/>
  <c r="AF1074" i="3" s="1"/>
  <c r="AK1074" i="3"/>
  <c r="AJ1074" i="3"/>
  <c r="AH1074" i="3"/>
  <c r="AE1074" i="3"/>
  <c r="AD1074" i="3"/>
  <c r="AC1074" i="3"/>
  <c r="AB1074" i="3"/>
  <c r="Z1074" i="3"/>
  <c r="L1074" i="3"/>
  <c r="BF1074" i="3" s="1"/>
  <c r="I1074" i="3"/>
  <c r="AL1074" i="3" s="1"/>
  <c r="BJ1072" i="3"/>
  <c r="BD1072" i="3"/>
  <c r="AX1072" i="3"/>
  <c r="AW1072" i="3"/>
  <c r="AV1072" i="3" s="1"/>
  <c r="AP1072" i="3"/>
  <c r="BI1072" i="3" s="1"/>
  <c r="AG1072" i="3" s="1"/>
  <c r="AO1072" i="3"/>
  <c r="BH1072" i="3" s="1"/>
  <c r="AF1072" i="3" s="1"/>
  <c r="AK1072" i="3"/>
  <c r="AJ1072" i="3"/>
  <c r="AH1072" i="3"/>
  <c r="AE1072" i="3"/>
  <c r="AD1072" i="3"/>
  <c r="AC1072" i="3"/>
  <c r="AB1072" i="3"/>
  <c r="Z1072" i="3"/>
  <c r="L1072" i="3"/>
  <c r="BF1072" i="3" s="1"/>
  <c r="I1072" i="3"/>
  <c r="AL1072" i="3" s="1"/>
  <c r="BJ1070" i="3"/>
  <c r="BF1070" i="3"/>
  <c r="BD1070" i="3"/>
  <c r="AP1070" i="3"/>
  <c r="BI1070" i="3" s="1"/>
  <c r="AG1070" i="3" s="1"/>
  <c r="AO1070" i="3"/>
  <c r="BH1070" i="3" s="1"/>
  <c r="AF1070" i="3" s="1"/>
  <c r="AK1070" i="3"/>
  <c r="AJ1070" i="3"/>
  <c r="AH1070" i="3"/>
  <c r="AE1070" i="3"/>
  <c r="AD1070" i="3"/>
  <c r="AC1070" i="3"/>
  <c r="AB1070" i="3"/>
  <c r="Z1070" i="3"/>
  <c r="L1070" i="3"/>
  <c r="I1070" i="3"/>
  <c r="AL1070" i="3" s="1"/>
  <c r="BJ1068" i="3"/>
  <c r="BD1068" i="3"/>
  <c r="AW1068" i="3"/>
  <c r="AP1068" i="3"/>
  <c r="BI1068" i="3" s="1"/>
  <c r="AG1068" i="3" s="1"/>
  <c r="AO1068" i="3"/>
  <c r="BH1068" i="3" s="1"/>
  <c r="AF1068" i="3" s="1"/>
  <c r="AK1068" i="3"/>
  <c r="AT1067" i="3" s="1"/>
  <c r="AJ1068" i="3"/>
  <c r="AS1067" i="3" s="1"/>
  <c r="AH1068" i="3"/>
  <c r="AE1068" i="3"/>
  <c r="AD1068" i="3"/>
  <c r="AC1068" i="3"/>
  <c r="AB1068" i="3"/>
  <c r="Z1068" i="3"/>
  <c r="L1068" i="3"/>
  <c r="BF1068" i="3" s="1"/>
  <c r="I1068" i="3"/>
  <c r="AL1068" i="3" s="1"/>
  <c r="AU1067" i="3" s="1"/>
  <c r="L1067" i="3"/>
  <c r="BJ1066" i="3"/>
  <c r="BD1066" i="3"/>
  <c r="AX1066" i="3"/>
  <c r="AP1066" i="3"/>
  <c r="BI1066" i="3" s="1"/>
  <c r="AO1066" i="3"/>
  <c r="BH1066" i="3" s="1"/>
  <c r="AK1066" i="3"/>
  <c r="AJ1066" i="3"/>
  <c r="AS1065" i="3" s="1"/>
  <c r="AH1066" i="3"/>
  <c r="AG1066" i="3"/>
  <c r="AF1066" i="3"/>
  <c r="AE1066" i="3"/>
  <c r="AD1066" i="3"/>
  <c r="AC1066" i="3"/>
  <c r="AB1066" i="3"/>
  <c r="Z1066" i="3"/>
  <c r="L1066" i="3"/>
  <c r="BF1066" i="3" s="1"/>
  <c r="I1066" i="3"/>
  <c r="AL1066" i="3" s="1"/>
  <c r="AU1065" i="3" s="1"/>
  <c r="AT1065" i="3"/>
  <c r="BJ1033" i="3"/>
  <c r="BD1033" i="3"/>
  <c r="AP1033" i="3"/>
  <c r="BI1033" i="3" s="1"/>
  <c r="AC1033" i="3" s="1"/>
  <c r="AO1033" i="3"/>
  <c r="BH1033" i="3" s="1"/>
  <c r="AB1033" i="3" s="1"/>
  <c r="AK1033" i="3"/>
  <c r="AJ1033" i="3"/>
  <c r="AS1032" i="3" s="1"/>
  <c r="AH1033" i="3"/>
  <c r="AG1033" i="3"/>
  <c r="AF1033" i="3"/>
  <c r="AE1033" i="3"/>
  <c r="AD1033" i="3"/>
  <c r="Z1033" i="3"/>
  <c r="L1033" i="3"/>
  <c r="BF1033" i="3" s="1"/>
  <c r="I1033" i="3"/>
  <c r="AL1033" i="3" s="1"/>
  <c r="AU1032" i="3" s="1"/>
  <c r="AT1032" i="3"/>
  <c r="BJ1001" i="3"/>
  <c r="BD1001" i="3"/>
  <c r="AP1001" i="3"/>
  <c r="BI1001" i="3" s="1"/>
  <c r="AC1001" i="3" s="1"/>
  <c r="AO1001" i="3"/>
  <c r="BH1001" i="3" s="1"/>
  <c r="AB1001" i="3" s="1"/>
  <c r="AK1001" i="3"/>
  <c r="AT1000" i="3" s="1"/>
  <c r="AJ1001" i="3"/>
  <c r="AS1000" i="3" s="1"/>
  <c r="AH1001" i="3"/>
  <c r="AG1001" i="3"/>
  <c r="AF1001" i="3"/>
  <c r="AE1001" i="3"/>
  <c r="AD1001" i="3"/>
  <c r="Z1001" i="3"/>
  <c r="L1001" i="3"/>
  <c r="BF1001" i="3" s="1"/>
  <c r="I1001" i="3"/>
  <c r="AL1001" i="3" s="1"/>
  <c r="AU1000" i="3" s="1"/>
  <c r="BJ978" i="3"/>
  <c r="BD978" i="3"/>
  <c r="AP978" i="3"/>
  <c r="BI978" i="3" s="1"/>
  <c r="AE978" i="3" s="1"/>
  <c r="AO978" i="3"/>
  <c r="BH978" i="3" s="1"/>
  <c r="AD978" i="3" s="1"/>
  <c r="AK978" i="3"/>
  <c r="AJ978" i="3"/>
  <c r="AH978" i="3"/>
  <c r="AG978" i="3"/>
  <c r="AF978" i="3"/>
  <c r="AC978" i="3"/>
  <c r="AB978" i="3"/>
  <c r="Z978" i="3"/>
  <c r="L978" i="3"/>
  <c r="BF978" i="3" s="1"/>
  <c r="I978" i="3"/>
  <c r="AL978" i="3" s="1"/>
  <c r="BJ956" i="3"/>
  <c r="BD956" i="3"/>
  <c r="AP956" i="3"/>
  <c r="BI956" i="3" s="1"/>
  <c r="AE956" i="3" s="1"/>
  <c r="AO956" i="3"/>
  <c r="BH956" i="3" s="1"/>
  <c r="AD956" i="3" s="1"/>
  <c r="AK956" i="3"/>
  <c r="AJ956" i="3"/>
  <c r="AH956" i="3"/>
  <c r="AG956" i="3"/>
  <c r="AF956" i="3"/>
  <c r="AC956" i="3"/>
  <c r="AB956" i="3"/>
  <c r="Z956" i="3"/>
  <c r="L956" i="3"/>
  <c r="BF956" i="3" s="1"/>
  <c r="I956" i="3"/>
  <c r="AL956" i="3" s="1"/>
  <c r="BJ935" i="3"/>
  <c r="BD935" i="3"/>
  <c r="AP935" i="3"/>
  <c r="BI935" i="3" s="1"/>
  <c r="AE935" i="3" s="1"/>
  <c r="AO935" i="3"/>
  <c r="BH935" i="3" s="1"/>
  <c r="AD935" i="3" s="1"/>
  <c r="AK935" i="3"/>
  <c r="AT934" i="3" s="1"/>
  <c r="AJ935" i="3"/>
  <c r="AS934" i="3" s="1"/>
  <c r="AH935" i="3"/>
  <c r="AG935" i="3"/>
  <c r="AF935" i="3"/>
  <c r="AC935" i="3"/>
  <c r="AB935" i="3"/>
  <c r="Z935" i="3"/>
  <c r="L935" i="3"/>
  <c r="BF935" i="3" s="1"/>
  <c r="I935" i="3"/>
  <c r="AL935" i="3" s="1"/>
  <c r="AU934" i="3" s="1"/>
  <c r="L934" i="3"/>
  <c r="BJ932" i="3"/>
  <c r="BD932" i="3"/>
  <c r="AP932" i="3"/>
  <c r="BI932" i="3" s="1"/>
  <c r="AE932" i="3" s="1"/>
  <c r="AO932" i="3"/>
  <c r="BH932" i="3" s="1"/>
  <c r="AD932" i="3" s="1"/>
  <c r="AK932" i="3"/>
  <c r="AT931" i="3" s="1"/>
  <c r="AJ932" i="3"/>
  <c r="AH932" i="3"/>
  <c r="AG932" i="3"/>
  <c r="AF932" i="3"/>
  <c r="AC932" i="3"/>
  <c r="AB932" i="3"/>
  <c r="Z932" i="3"/>
  <c r="L932" i="3"/>
  <c r="BF932" i="3" s="1"/>
  <c r="I932" i="3"/>
  <c r="AL932" i="3" s="1"/>
  <c r="AU931" i="3" s="1"/>
  <c r="AS931" i="3"/>
  <c r="BJ930" i="3"/>
  <c r="BD930" i="3"/>
  <c r="AP930" i="3"/>
  <c r="BI930" i="3" s="1"/>
  <c r="AO930" i="3"/>
  <c r="BH930" i="3" s="1"/>
  <c r="AK930" i="3"/>
  <c r="AJ930" i="3"/>
  <c r="AH930" i="3"/>
  <c r="AG930" i="3"/>
  <c r="AF930" i="3"/>
  <c r="AE930" i="3"/>
  <c r="AD930" i="3"/>
  <c r="AC930" i="3"/>
  <c r="AB930" i="3"/>
  <c r="Z930" i="3"/>
  <c r="L930" i="3"/>
  <c r="BF930" i="3" s="1"/>
  <c r="I930" i="3"/>
  <c r="AL930" i="3" s="1"/>
  <c r="BJ911" i="3"/>
  <c r="BD911" i="3"/>
  <c r="AP911" i="3"/>
  <c r="BI911" i="3" s="1"/>
  <c r="AE911" i="3" s="1"/>
  <c r="AO911" i="3"/>
  <c r="BH911" i="3" s="1"/>
  <c r="AD911" i="3" s="1"/>
  <c r="AK911" i="3"/>
  <c r="AJ911" i="3"/>
  <c r="AH911" i="3"/>
  <c r="AG911" i="3"/>
  <c r="AF911" i="3"/>
  <c r="AC911" i="3"/>
  <c r="AB911" i="3"/>
  <c r="Z911" i="3"/>
  <c r="L911" i="3"/>
  <c r="BF911" i="3" s="1"/>
  <c r="I911" i="3"/>
  <c r="AL911" i="3" s="1"/>
  <c r="BJ898" i="3"/>
  <c r="BD898" i="3"/>
  <c r="AP898" i="3"/>
  <c r="BI898" i="3" s="1"/>
  <c r="AE898" i="3" s="1"/>
  <c r="AO898" i="3"/>
  <c r="BH898" i="3" s="1"/>
  <c r="AD898" i="3" s="1"/>
  <c r="AK898" i="3"/>
  <c r="AJ898" i="3"/>
  <c r="AH898" i="3"/>
  <c r="AG898" i="3"/>
  <c r="AF898" i="3"/>
  <c r="AC898" i="3"/>
  <c r="AB898" i="3"/>
  <c r="Z898" i="3"/>
  <c r="L898" i="3"/>
  <c r="BF898" i="3" s="1"/>
  <c r="I898" i="3"/>
  <c r="AL898" i="3" s="1"/>
  <c r="BJ872" i="3"/>
  <c r="BD872" i="3"/>
  <c r="AP872" i="3"/>
  <c r="BI872" i="3" s="1"/>
  <c r="AE872" i="3" s="1"/>
  <c r="AO872" i="3"/>
  <c r="BH872" i="3" s="1"/>
  <c r="AD872" i="3" s="1"/>
  <c r="AK872" i="3"/>
  <c r="AJ872" i="3"/>
  <c r="AH872" i="3"/>
  <c r="AG872" i="3"/>
  <c r="AF872" i="3"/>
  <c r="AC872" i="3"/>
  <c r="AB872" i="3"/>
  <c r="Z872" i="3"/>
  <c r="L872" i="3"/>
  <c r="BF872" i="3" s="1"/>
  <c r="I872" i="3"/>
  <c r="AL872" i="3" s="1"/>
  <c r="BJ858" i="3"/>
  <c r="BD858" i="3"/>
  <c r="AP858" i="3"/>
  <c r="BI858" i="3" s="1"/>
  <c r="AE858" i="3" s="1"/>
  <c r="AO858" i="3"/>
  <c r="BH858" i="3" s="1"/>
  <c r="AD858" i="3" s="1"/>
  <c r="AK858" i="3"/>
  <c r="AJ858" i="3"/>
  <c r="AH858" i="3"/>
  <c r="AG858" i="3"/>
  <c r="AF858" i="3"/>
  <c r="AC858" i="3"/>
  <c r="AB858" i="3"/>
  <c r="Z858" i="3"/>
  <c r="L858" i="3"/>
  <c r="BF858" i="3" s="1"/>
  <c r="I858" i="3"/>
  <c r="AL858" i="3" s="1"/>
  <c r="BJ844" i="3"/>
  <c r="BD844" i="3"/>
  <c r="AP844" i="3"/>
  <c r="AO844" i="3"/>
  <c r="BH844" i="3" s="1"/>
  <c r="AD844" i="3" s="1"/>
  <c r="AK844" i="3"/>
  <c r="AJ844" i="3"/>
  <c r="AH844" i="3"/>
  <c r="AG844" i="3"/>
  <c r="AF844" i="3"/>
  <c r="AC844" i="3"/>
  <c r="AB844" i="3"/>
  <c r="Z844" i="3"/>
  <c r="L844" i="3"/>
  <c r="BF844" i="3" s="1"/>
  <c r="I844" i="3"/>
  <c r="AL844" i="3" s="1"/>
  <c r="BJ840" i="3"/>
  <c r="BD840" i="3"/>
  <c r="AP840" i="3"/>
  <c r="AX840" i="3" s="1"/>
  <c r="AO840" i="3"/>
  <c r="BH840" i="3" s="1"/>
  <c r="AD840" i="3" s="1"/>
  <c r="AK840" i="3"/>
  <c r="AJ840" i="3"/>
  <c r="AH840" i="3"/>
  <c r="AG840" i="3"/>
  <c r="AF840" i="3"/>
  <c r="AC840" i="3"/>
  <c r="AB840" i="3"/>
  <c r="Z840" i="3"/>
  <c r="L840" i="3"/>
  <c r="BF840" i="3" s="1"/>
  <c r="I840" i="3"/>
  <c r="AL840" i="3" s="1"/>
  <c r="BJ821" i="3"/>
  <c r="BD821" i="3"/>
  <c r="AP821" i="3"/>
  <c r="AX821" i="3" s="1"/>
  <c r="AO821" i="3"/>
  <c r="BH821" i="3" s="1"/>
  <c r="AD821" i="3" s="1"/>
  <c r="AK821" i="3"/>
  <c r="AJ821" i="3"/>
  <c r="AH821" i="3"/>
  <c r="AG821" i="3"/>
  <c r="AF821" i="3"/>
  <c r="AC821" i="3"/>
  <c r="AB821" i="3"/>
  <c r="Z821" i="3"/>
  <c r="L821" i="3"/>
  <c r="BF821" i="3" s="1"/>
  <c r="I821" i="3"/>
  <c r="AL821" i="3" s="1"/>
  <c r="BJ802" i="3"/>
  <c r="BI802" i="3"/>
  <c r="BD802" i="3"/>
  <c r="AP802" i="3"/>
  <c r="AX802" i="3" s="1"/>
  <c r="AO802" i="3"/>
  <c r="BH802" i="3" s="1"/>
  <c r="AD802" i="3" s="1"/>
  <c r="AK802" i="3"/>
  <c r="AT801" i="3" s="1"/>
  <c r="AJ802" i="3"/>
  <c r="AH802" i="3"/>
  <c r="AG802" i="3"/>
  <c r="AF802" i="3"/>
  <c r="AE802" i="3"/>
  <c r="AC802" i="3"/>
  <c r="AB802" i="3"/>
  <c r="Z802" i="3"/>
  <c r="L802" i="3"/>
  <c r="BF802" i="3" s="1"/>
  <c r="I802" i="3"/>
  <c r="AL802" i="3" s="1"/>
  <c r="I801" i="3"/>
  <c r="BJ800" i="3"/>
  <c r="Z800" i="3" s="1"/>
  <c r="BD800" i="3"/>
  <c r="AP800" i="3"/>
  <c r="BI800" i="3" s="1"/>
  <c r="AO800" i="3"/>
  <c r="BH800" i="3" s="1"/>
  <c r="AK800" i="3"/>
  <c r="AJ800" i="3"/>
  <c r="AH800" i="3"/>
  <c r="AG800" i="3"/>
  <c r="AF800" i="3"/>
  <c r="AE800" i="3"/>
  <c r="AD800" i="3"/>
  <c r="AC800" i="3"/>
  <c r="AB800" i="3"/>
  <c r="L800" i="3"/>
  <c r="BF800" i="3" s="1"/>
  <c r="I800" i="3"/>
  <c r="AL800" i="3" s="1"/>
  <c r="BJ786" i="3"/>
  <c r="BD786" i="3"/>
  <c r="AP786" i="3"/>
  <c r="AX786" i="3" s="1"/>
  <c r="AO786" i="3"/>
  <c r="BH786" i="3" s="1"/>
  <c r="AD786" i="3" s="1"/>
  <c r="AK786" i="3"/>
  <c r="AJ786" i="3"/>
  <c r="AH786" i="3"/>
  <c r="AG786" i="3"/>
  <c r="AF786" i="3"/>
  <c r="AC786" i="3"/>
  <c r="AB786" i="3"/>
  <c r="Z786" i="3"/>
  <c r="L786" i="3"/>
  <c r="BF786" i="3" s="1"/>
  <c r="I786" i="3"/>
  <c r="AL786" i="3" s="1"/>
  <c r="BJ782" i="3"/>
  <c r="BD782" i="3"/>
  <c r="AP782" i="3"/>
  <c r="AX782" i="3" s="1"/>
  <c r="AO782" i="3"/>
  <c r="BH782" i="3" s="1"/>
  <c r="AD782" i="3" s="1"/>
  <c r="AK782" i="3"/>
  <c r="AJ782" i="3"/>
  <c r="AH782" i="3"/>
  <c r="AG782" i="3"/>
  <c r="AF782" i="3"/>
  <c r="AC782" i="3"/>
  <c r="AB782" i="3"/>
  <c r="Z782" i="3"/>
  <c r="L782" i="3"/>
  <c r="BF782" i="3" s="1"/>
  <c r="I782" i="3"/>
  <c r="AL782" i="3" s="1"/>
  <c r="BJ768" i="3"/>
  <c r="BD768" i="3"/>
  <c r="AP768" i="3"/>
  <c r="BI768" i="3" s="1"/>
  <c r="AE768" i="3" s="1"/>
  <c r="AO768" i="3"/>
  <c r="BH768" i="3" s="1"/>
  <c r="AD768" i="3" s="1"/>
  <c r="AK768" i="3"/>
  <c r="AT767" i="3" s="1"/>
  <c r="AJ768" i="3"/>
  <c r="AH768" i="3"/>
  <c r="AG768" i="3"/>
  <c r="AF768" i="3"/>
  <c r="AC768" i="3"/>
  <c r="AB768" i="3"/>
  <c r="Z768" i="3"/>
  <c r="L768" i="3"/>
  <c r="BF768" i="3" s="1"/>
  <c r="I768" i="3"/>
  <c r="AL768" i="3" s="1"/>
  <c r="AS767" i="3"/>
  <c r="I767" i="3"/>
  <c r="BJ766" i="3"/>
  <c r="Z766" i="3" s="1"/>
  <c r="BD766" i="3"/>
  <c r="AW766" i="3"/>
  <c r="AP766" i="3"/>
  <c r="BI766" i="3" s="1"/>
  <c r="AO766" i="3"/>
  <c r="BH766" i="3" s="1"/>
  <c r="AK766" i="3"/>
  <c r="AJ766" i="3"/>
  <c r="AH766" i="3"/>
  <c r="AG766" i="3"/>
  <c r="AF766" i="3"/>
  <c r="AE766" i="3"/>
  <c r="AD766" i="3"/>
  <c r="AC766" i="3"/>
  <c r="AB766" i="3"/>
  <c r="L766" i="3"/>
  <c r="BF766" i="3" s="1"/>
  <c r="I766" i="3"/>
  <c r="AL766" i="3" s="1"/>
  <c r="BJ756" i="3"/>
  <c r="BF756" i="3"/>
  <c r="BD756" i="3"/>
  <c r="AP756" i="3"/>
  <c r="BI756" i="3" s="1"/>
  <c r="AE756" i="3" s="1"/>
  <c r="AO756" i="3"/>
  <c r="BH756" i="3" s="1"/>
  <c r="AD756" i="3" s="1"/>
  <c r="AK756" i="3"/>
  <c r="AJ756" i="3"/>
  <c r="AH756" i="3"/>
  <c r="AG756" i="3"/>
  <c r="AF756" i="3"/>
  <c r="AC756" i="3"/>
  <c r="AB756" i="3"/>
  <c r="Z756" i="3"/>
  <c r="L756" i="3"/>
  <c r="I756" i="3"/>
  <c r="AL756" i="3" s="1"/>
  <c r="BJ737" i="3"/>
  <c r="BF737" i="3"/>
  <c r="BD737" i="3"/>
  <c r="AP737" i="3"/>
  <c r="BI737" i="3" s="1"/>
  <c r="AE737" i="3" s="1"/>
  <c r="AO737" i="3"/>
  <c r="BH737" i="3" s="1"/>
  <c r="AD737" i="3" s="1"/>
  <c r="AK737" i="3"/>
  <c r="AJ737" i="3"/>
  <c r="AH737" i="3"/>
  <c r="AG737" i="3"/>
  <c r="AF737" i="3"/>
  <c r="AC737" i="3"/>
  <c r="AB737" i="3"/>
  <c r="Z737" i="3"/>
  <c r="L737" i="3"/>
  <c r="I737" i="3"/>
  <c r="AL737" i="3" s="1"/>
  <c r="BJ719" i="3"/>
  <c r="BF719" i="3"/>
  <c r="BD719" i="3"/>
  <c r="AP719" i="3"/>
  <c r="BI719" i="3" s="1"/>
  <c r="AE719" i="3" s="1"/>
  <c r="AO719" i="3"/>
  <c r="BH719" i="3" s="1"/>
  <c r="AD719" i="3" s="1"/>
  <c r="AK719" i="3"/>
  <c r="AJ719" i="3"/>
  <c r="AH719" i="3"/>
  <c r="AG719" i="3"/>
  <c r="AF719" i="3"/>
  <c r="AC719" i="3"/>
  <c r="AB719" i="3"/>
  <c r="Z719" i="3"/>
  <c r="L719" i="3"/>
  <c r="I719" i="3"/>
  <c r="AL719" i="3" s="1"/>
  <c r="BJ715" i="3"/>
  <c r="BF715" i="3"/>
  <c r="BD715" i="3"/>
  <c r="AP715" i="3"/>
  <c r="BI715" i="3" s="1"/>
  <c r="AE715" i="3" s="1"/>
  <c r="AO715" i="3"/>
  <c r="BH715" i="3" s="1"/>
  <c r="AD715" i="3" s="1"/>
  <c r="AK715" i="3"/>
  <c r="AJ715" i="3"/>
  <c r="AH715" i="3"/>
  <c r="AG715" i="3"/>
  <c r="AF715" i="3"/>
  <c r="AC715" i="3"/>
  <c r="AB715" i="3"/>
  <c r="Z715" i="3"/>
  <c r="L715" i="3"/>
  <c r="I715" i="3"/>
  <c r="AL715" i="3" s="1"/>
  <c r="BJ696" i="3"/>
  <c r="BF696" i="3"/>
  <c r="BD696" i="3"/>
  <c r="AP696" i="3"/>
  <c r="BI696" i="3" s="1"/>
  <c r="AE696" i="3" s="1"/>
  <c r="AO696" i="3"/>
  <c r="BH696" i="3" s="1"/>
  <c r="AD696" i="3" s="1"/>
  <c r="AK696" i="3"/>
  <c r="AJ696" i="3"/>
  <c r="AH696" i="3"/>
  <c r="AG696" i="3"/>
  <c r="AF696" i="3"/>
  <c r="AC696" i="3"/>
  <c r="AB696" i="3"/>
  <c r="Z696" i="3"/>
  <c r="L696" i="3"/>
  <c r="I696" i="3"/>
  <c r="AL696" i="3" s="1"/>
  <c r="BJ677" i="3"/>
  <c r="BF677" i="3"/>
  <c r="BD677" i="3"/>
  <c r="AP677" i="3"/>
  <c r="BI677" i="3" s="1"/>
  <c r="AE677" i="3" s="1"/>
  <c r="AO677" i="3"/>
  <c r="BH677" i="3" s="1"/>
  <c r="AD677" i="3" s="1"/>
  <c r="AK677" i="3"/>
  <c r="AT676" i="3" s="1"/>
  <c r="AJ677" i="3"/>
  <c r="AS676" i="3" s="1"/>
  <c r="AH677" i="3"/>
  <c r="AG677" i="3"/>
  <c r="AF677" i="3"/>
  <c r="AC677" i="3"/>
  <c r="AB677" i="3"/>
  <c r="Z677" i="3"/>
  <c r="L677" i="3"/>
  <c r="I677" i="3"/>
  <c r="AL677" i="3" s="1"/>
  <c r="AU676" i="3" s="1"/>
  <c r="L676" i="3"/>
  <c r="BJ675" i="3"/>
  <c r="Z675" i="3" s="1"/>
  <c r="BD675" i="3"/>
  <c r="AX675" i="3"/>
  <c r="AP675" i="3"/>
  <c r="BI675" i="3" s="1"/>
  <c r="AO675" i="3"/>
  <c r="BH675" i="3" s="1"/>
  <c r="AK675" i="3"/>
  <c r="AJ675" i="3"/>
  <c r="AH675" i="3"/>
  <c r="AG675" i="3"/>
  <c r="AF675" i="3"/>
  <c r="AE675" i="3"/>
  <c r="AD675" i="3"/>
  <c r="AC675" i="3"/>
  <c r="AB675" i="3"/>
  <c r="L675" i="3"/>
  <c r="BF675" i="3" s="1"/>
  <c r="I675" i="3"/>
  <c r="AL675" i="3" s="1"/>
  <c r="BJ672" i="3"/>
  <c r="BD672" i="3"/>
  <c r="AX672" i="3"/>
  <c r="AP672" i="3"/>
  <c r="BI672" i="3" s="1"/>
  <c r="AE672" i="3" s="1"/>
  <c r="AO672" i="3"/>
  <c r="BH672" i="3" s="1"/>
  <c r="AD672" i="3" s="1"/>
  <c r="AK672" i="3"/>
  <c r="AJ672" i="3"/>
  <c r="AH672" i="3"/>
  <c r="AG672" i="3"/>
  <c r="AF672" i="3"/>
  <c r="AC672" i="3"/>
  <c r="AB672" i="3"/>
  <c r="Z672" i="3"/>
  <c r="L672" i="3"/>
  <c r="BF672" i="3" s="1"/>
  <c r="I672" i="3"/>
  <c r="AL672" i="3" s="1"/>
  <c r="BJ670" i="3"/>
  <c r="BD670" i="3"/>
  <c r="AP670" i="3"/>
  <c r="BI670" i="3" s="1"/>
  <c r="AE670" i="3" s="1"/>
  <c r="AO670" i="3"/>
  <c r="BH670" i="3" s="1"/>
  <c r="AD670" i="3" s="1"/>
  <c r="AK670" i="3"/>
  <c r="AJ670" i="3"/>
  <c r="AH670" i="3"/>
  <c r="AG670" i="3"/>
  <c r="AF670" i="3"/>
  <c r="AC670" i="3"/>
  <c r="AB670" i="3"/>
  <c r="Z670" i="3"/>
  <c r="L670" i="3"/>
  <c r="BF670" i="3" s="1"/>
  <c r="I670" i="3"/>
  <c r="AL670" i="3" s="1"/>
  <c r="BJ639" i="3"/>
  <c r="BD639" i="3"/>
  <c r="AX639" i="3"/>
  <c r="AP639" i="3"/>
  <c r="BI639" i="3" s="1"/>
  <c r="AE639" i="3" s="1"/>
  <c r="AO639" i="3"/>
  <c r="BH639" i="3" s="1"/>
  <c r="AD639" i="3" s="1"/>
  <c r="AK639" i="3"/>
  <c r="AJ639" i="3"/>
  <c r="AS638" i="3" s="1"/>
  <c r="AH639" i="3"/>
  <c r="AG639" i="3"/>
  <c r="AF639" i="3"/>
  <c r="AC639" i="3"/>
  <c r="AB639" i="3"/>
  <c r="Z639" i="3"/>
  <c r="L639" i="3"/>
  <c r="BF639" i="3" s="1"/>
  <c r="I639" i="3"/>
  <c r="AL639" i="3" s="1"/>
  <c r="BJ637" i="3"/>
  <c r="Z637" i="3" s="1"/>
  <c r="BD637" i="3"/>
  <c r="AP637" i="3"/>
  <c r="BI637" i="3" s="1"/>
  <c r="AO637" i="3"/>
  <c r="BH637" i="3" s="1"/>
  <c r="AK637" i="3"/>
  <c r="AJ637" i="3"/>
  <c r="AH637" i="3"/>
  <c r="AG637" i="3"/>
  <c r="AF637" i="3"/>
  <c r="AE637" i="3"/>
  <c r="AD637" i="3"/>
  <c r="AC637" i="3"/>
  <c r="AB637" i="3"/>
  <c r="L637" i="3"/>
  <c r="BF637" i="3" s="1"/>
  <c r="I637" i="3"/>
  <c r="AL637" i="3" s="1"/>
  <c r="BJ635" i="3"/>
  <c r="BD635" i="3"/>
  <c r="AW635" i="3"/>
  <c r="AP635" i="3"/>
  <c r="BI635" i="3" s="1"/>
  <c r="AE635" i="3" s="1"/>
  <c r="AO635" i="3"/>
  <c r="BH635" i="3" s="1"/>
  <c r="AD635" i="3" s="1"/>
  <c r="AK635" i="3"/>
  <c r="AJ635" i="3"/>
  <c r="AH635" i="3"/>
  <c r="AG635" i="3"/>
  <c r="AF635" i="3"/>
  <c r="AC635" i="3"/>
  <c r="AB635" i="3"/>
  <c r="Z635" i="3"/>
  <c r="L635" i="3"/>
  <c r="BF635" i="3" s="1"/>
  <c r="I635" i="3"/>
  <c r="AL635" i="3" s="1"/>
  <c r="BJ633" i="3"/>
  <c r="BD633" i="3"/>
  <c r="AW633" i="3"/>
  <c r="AP633" i="3"/>
  <c r="BI633" i="3" s="1"/>
  <c r="AE633" i="3" s="1"/>
  <c r="AO633" i="3"/>
  <c r="BH633" i="3" s="1"/>
  <c r="AD633" i="3" s="1"/>
  <c r="AK633" i="3"/>
  <c r="AJ633" i="3"/>
  <c r="AH633" i="3"/>
  <c r="AG633" i="3"/>
  <c r="AF633" i="3"/>
  <c r="AC633" i="3"/>
  <c r="AB633" i="3"/>
  <c r="Z633" i="3"/>
  <c r="L633" i="3"/>
  <c r="BF633" i="3" s="1"/>
  <c r="I633" i="3"/>
  <c r="AL633" i="3" s="1"/>
  <c r="BJ631" i="3"/>
  <c r="BD631" i="3"/>
  <c r="AW631" i="3"/>
  <c r="AP631" i="3"/>
  <c r="BI631" i="3" s="1"/>
  <c r="AE631" i="3" s="1"/>
  <c r="AO631" i="3"/>
  <c r="BH631" i="3" s="1"/>
  <c r="AD631" i="3" s="1"/>
  <c r="AK631" i="3"/>
  <c r="AJ631" i="3"/>
  <c r="AH631" i="3"/>
  <c r="AG631" i="3"/>
  <c r="AF631" i="3"/>
  <c r="AC631" i="3"/>
  <c r="AB631" i="3"/>
  <c r="Z631" i="3"/>
  <c r="L631" i="3"/>
  <c r="BF631" i="3" s="1"/>
  <c r="I631" i="3"/>
  <c r="AL631" i="3" s="1"/>
  <c r="BJ629" i="3"/>
  <c r="BD629" i="3"/>
  <c r="AW629" i="3"/>
  <c r="AP629" i="3"/>
  <c r="BI629" i="3" s="1"/>
  <c r="AE629" i="3" s="1"/>
  <c r="AO629" i="3"/>
  <c r="BH629" i="3" s="1"/>
  <c r="AD629" i="3" s="1"/>
  <c r="AK629" i="3"/>
  <c r="AJ629" i="3"/>
  <c r="AH629" i="3"/>
  <c r="AG629" i="3"/>
  <c r="AF629" i="3"/>
  <c r="AC629" i="3"/>
  <c r="AB629" i="3"/>
  <c r="Z629" i="3"/>
  <c r="L629" i="3"/>
  <c r="BF629" i="3" s="1"/>
  <c r="I629" i="3"/>
  <c r="AL629" i="3" s="1"/>
  <c r="BJ627" i="3"/>
  <c r="BD627" i="3"/>
  <c r="AW627" i="3"/>
  <c r="AP627" i="3"/>
  <c r="BI627" i="3" s="1"/>
  <c r="AE627" i="3" s="1"/>
  <c r="AO627" i="3"/>
  <c r="BH627" i="3" s="1"/>
  <c r="AD627" i="3" s="1"/>
  <c r="AK627" i="3"/>
  <c r="AJ627" i="3"/>
  <c r="AH627" i="3"/>
  <c r="AG627" i="3"/>
  <c r="AF627" i="3"/>
  <c r="AC627" i="3"/>
  <c r="AB627" i="3"/>
  <c r="Z627" i="3"/>
  <c r="L627" i="3"/>
  <c r="BF627" i="3" s="1"/>
  <c r="I627" i="3"/>
  <c r="AL627" i="3" s="1"/>
  <c r="BJ625" i="3"/>
  <c r="BD625" i="3"/>
  <c r="AW625" i="3"/>
  <c r="AP625" i="3"/>
  <c r="BI625" i="3" s="1"/>
  <c r="AE625" i="3" s="1"/>
  <c r="AO625" i="3"/>
  <c r="BH625" i="3" s="1"/>
  <c r="AD625" i="3" s="1"/>
  <c r="AK625" i="3"/>
  <c r="AJ625" i="3"/>
  <c r="AH625" i="3"/>
  <c r="AG625" i="3"/>
  <c r="AF625" i="3"/>
  <c r="AC625" i="3"/>
  <c r="AB625" i="3"/>
  <c r="Z625" i="3"/>
  <c r="L625" i="3"/>
  <c r="BF625" i="3" s="1"/>
  <c r="I625" i="3"/>
  <c r="AL625" i="3" s="1"/>
  <c r="BJ622" i="3"/>
  <c r="BD622" i="3"/>
  <c r="AW622" i="3"/>
  <c r="AP622" i="3"/>
  <c r="BI622" i="3" s="1"/>
  <c r="AE622" i="3" s="1"/>
  <c r="AO622" i="3"/>
  <c r="BH622" i="3" s="1"/>
  <c r="AD622" i="3" s="1"/>
  <c r="AK622" i="3"/>
  <c r="AJ622" i="3"/>
  <c r="AH622" i="3"/>
  <c r="AG622" i="3"/>
  <c r="AF622" i="3"/>
  <c r="AC622" i="3"/>
  <c r="AB622" i="3"/>
  <c r="Z622" i="3"/>
  <c r="L622" i="3"/>
  <c r="BF622" i="3" s="1"/>
  <c r="I622" i="3"/>
  <c r="AL622" i="3" s="1"/>
  <c r="BJ620" i="3"/>
  <c r="BD620" i="3"/>
  <c r="AW620" i="3"/>
  <c r="AP620" i="3"/>
  <c r="BI620" i="3" s="1"/>
  <c r="AE620" i="3" s="1"/>
  <c r="AO620" i="3"/>
  <c r="BH620" i="3" s="1"/>
  <c r="AD620" i="3" s="1"/>
  <c r="AK620" i="3"/>
  <c r="AJ620" i="3"/>
  <c r="AH620" i="3"/>
  <c r="AG620" i="3"/>
  <c r="AF620" i="3"/>
  <c r="AC620" i="3"/>
  <c r="AB620" i="3"/>
  <c r="Z620" i="3"/>
  <c r="L620" i="3"/>
  <c r="BF620" i="3" s="1"/>
  <c r="I620" i="3"/>
  <c r="AL620" i="3" s="1"/>
  <c r="BJ617" i="3"/>
  <c r="BD617" i="3"/>
  <c r="AW617" i="3"/>
  <c r="AP617" i="3"/>
  <c r="BI617" i="3" s="1"/>
  <c r="AE617" i="3" s="1"/>
  <c r="AO617" i="3"/>
  <c r="BH617" i="3" s="1"/>
  <c r="AD617" i="3" s="1"/>
  <c r="AK617" i="3"/>
  <c r="AJ617" i="3"/>
  <c r="AH617" i="3"/>
  <c r="AG617" i="3"/>
  <c r="AF617" i="3"/>
  <c r="AC617" i="3"/>
  <c r="AB617" i="3"/>
  <c r="Z617" i="3"/>
  <c r="L617" i="3"/>
  <c r="BF617" i="3" s="1"/>
  <c r="I617" i="3"/>
  <c r="AL617" i="3" s="1"/>
  <c r="BJ615" i="3"/>
  <c r="BD615" i="3"/>
  <c r="AW615" i="3"/>
  <c r="AP615" i="3"/>
  <c r="BI615" i="3" s="1"/>
  <c r="AE615" i="3" s="1"/>
  <c r="AO615" i="3"/>
  <c r="BH615" i="3" s="1"/>
  <c r="AD615" i="3" s="1"/>
  <c r="AK615" i="3"/>
  <c r="AJ615" i="3"/>
  <c r="AH615" i="3"/>
  <c r="AG615" i="3"/>
  <c r="AF615" i="3"/>
  <c r="AC615" i="3"/>
  <c r="AB615" i="3"/>
  <c r="Z615" i="3"/>
  <c r="L615" i="3"/>
  <c r="BF615" i="3" s="1"/>
  <c r="I615" i="3"/>
  <c r="AL615" i="3" s="1"/>
  <c r="BJ614" i="3"/>
  <c r="BD614" i="3"/>
  <c r="AW614" i="3"/>
  <c r="BC614" i="3" s="1"/>
  <c r="AP614" i="3"/>
  <c r="AX614" i="3" s="1"/>
  <c r="AO614" i="3"/>
  <c r="BH614" i="3" s="1"/>
  <c r="AD614" i="3" s="1"/>
  <c r="AK614" i="3"/>
  <c r="AJ614" i="3"/>
  <c r="AH614" i="3"/>
  <c r="AG614" i="3"/>
  <c r="AF614" i="3"/>
  <c r="AC614" i="3"/>
  <c r="AB614" i="3"/>
  <c r="Z614" i="3"/>
  <c r="L614" i="3"/>
  <c r="BF614" i="3" s="1"/>
  <c r="I614" i="3"/>
  <c r="AL614" i="3" s="1"/>
  <c r="BJ612" i="3"/>
  <c r="BI612" i="3"/>
  <c r="AE612" i="3" s="1"/>
  <c r="BD612" i="3"/>
  <c r="AP612" i="3"/>
  <c r="AX612" i="3" s="1"/>
  <c r="AO612" i="3"/>
  <c r="BH612" i="3" s="1"/>
  <c r="AD612" i="3" s="1"/>
  <c r="AK612" i="3"/>
  <c r="AJ612" i="3"/>
  <c r="AH612" i="3"/>
  <c r="AG612" i="3"/>
  <c r="AF612" i="3"/>
  <c r="AC612" i="3"/>
  <c r="AB612" i="3"/>
  <c r="Z612" i="3"/>
  <c r="L612" i="3"/>
  <c r="BF612" i="3" s="1"/>
  <c r="I612" i="3"/>
  <c r="AL612" i="3" s="1"/>
  <c r="BJ609" i="3"/>
  <c r="BD609" i="3"/>
  <c r="AP609" i="3"/>
  <c r="AX609" i="3" s="1"/>
  <c r="AO609" i="3"/>
  <c r="BH609" i="3" s="1"/>
  <c r="AD609" i="3" s="1"/>
  <c r="AK609" i="3"/>
  <c r="AJ609" i="3"/>
  <c r="AH609" i="3"/>
  <c r="AG609" i="3"/>
  <c r="AF609" i="3"/>
  <c r="AC609" i="3"/>
  <c r="AB609" i="3"/>
  <c r="Z609" i="3"/>
  <c r="L609" i="3"/>
  <c r="BF609" i="3" s="1"/>
  <c r="I609" i="3"/>
  <c r="AL609" i="3" s="1"/>
  <c r="BJ607" i="3"/>
  <c r="BD607" i="3"/>
  <c r="AW607" i="3"/>
  <c r="AP607" i="3"/>
  <c r="AX607" i="3" s="1"/>
  <c r="AO607" i="3"/>
  <c r="BH607" i="3" s="1"/>
  <c r="AD607" i="3" s="1"/>
  <c r="AK607" i="3"/>
  <c r="AJ607" i="3"/>
  <c r="AH607" i="3"/>
  <c r="AG607" i="3"/>
  <c r="AF607" i="3"/>
  <c r="AC607" i="3"/>
  <c r="AB607" i="3"/>
  <c r="Z607" i="3"/>
  <c r="L607" i="3"/>
  <c r="BF607" i="3" s="1"/>
  <c r="I607" i="3"/>
  <c r="AL607" i="3" s="1"/>
  <c r="BJ605" i="3"/>
  <c r="BF605" i="3"/>
  <c r="BD605" i="3"/>
  <c r="AW605" i="3"/>
  <c r="BC605" i="3" s="1"/>
  <c r="AP605" i="3"/>
  <c r="AX605" i="3" s="1"/>
  <c r="AO605" i="3"/>
  <c r="BH605" i="3" s="1"/>
  <c r="AD605" i="3" s="1"/>
  <c r="AK605" i="3"/>
  <c r="AJ605" i="3"/>
  <c r="AH605" i="3"/>
  <c r="AG605" i="3"/>
  <c r="AF605" i="3"/>
  <c r="AC605" i="3"/>
  <c r="AB605" i="3"/>
  <c r="Z605" i="3"/>
  <c r="L605" i="3"/>
  <c r="I605" i="3"/>
  <c r="AL605" i="3" s="1"/>
  <c r="BJ602" i="3"/>
  <c r="BI602" i="3"/>
  <c r="AE602" i="3" s="1"/>
  <c r="BF602" i="3"/>
  <c r="BD602" i="3"/>
  <c r="AP602" i="3"/>
  <c r="AX602" i="3" s="1"/>
  <c r="AO602" i="3"/>
  <c r="BH602" i="3" s="1"/>
  <c r="AD602" i="3" s="1"/>
  <c r="AK602" i="3"/>
  <c r="AJ602" i="3"/>
  <c r="AH602" i="3"/>
  <c r="AG602" i="3"/>
  <c r="AF602" i="3"/>
  <c r="AC602" i="3"/>
  <c r="AB602" i="3"/>
  <c r="Z602" i="3"/>
  <c r="L602" i="3"/>
  <c r="I602" i="3"/>
  <c r="AL602" i="3" s="1"/>
  <c r="BJ599" i="3"/>
  <c r="BI599" i="3"/>
  <c r="AE599" i="3" s="1"/>
  <c r="BF599" i="3"/>
  <c r="BD599" i="3"/>
  <c r="AP599" i="3"/>
  <c r="AX599" i="3" s="1"/>
  <c r="AO599" i="3"/>
  <c r="BH599" i="3" s="1"/>
  <c r="AD599" i="3" s="1"/>
  <c r="AK599" i="3"/>
  <c r="AJ599" i="3"/>
  <c r="AH599" i="3"/>
  <c r="AG599" i="3"/>
  <c r="AF599" i="3"/>
  <c r="AC599" i="3"/>
  <c r="AB599" i="3"/>
  <c r="Z599" i="3"/>
  <c r="L599" i="3"/>
  <c r="I599" i="3"/>
  <c r="AL599" i="3" s="1"/>
  <c r="BJ597" i="3"/>
  <c r="BD597" i="3"/>
  <c r="AP597" i="3"/>
  <c r="BI597" i="3" s="1"/>
  <c r="AE597" i="3" s="1"/>
  <c r="AO597" i="3"/>
  <c r="BH597" i="3" s="1"/>
  <c r="AD597" i="3" s="1"/>
  <c r="AK597" i="3"/>
  <c r="AJ597" i="3"/>
  <c r="AH597" i="3"/>
  <c r="AG597" i="3"/>
  <c r="AF597" i="3"/>
  <c r="AC597" i="3"/>
  <c r="AB597" i="3"/>
  <c r="Z597" i="3"/>
  <c r="L597" i="3"/>
  <c r="BF597" i="3" s="1"/>
  <c r="I597" i="3"/>
  <c r="AL597" i="3" s="1"/>
  <c r="BJ594" i="3"/>
  <c r="BD594" i="3"/>
  <c r="AP594" i="3"/>
  <c r="BI594" i="3" s="1"/>
  <c r="AE594" i="3" s="1"/>
  <c r="AO594" i="3"/>
  <c r="BH594" i="3" s="1"/>
  <c r="AD594" i="3" s="1"/>
  <c r="AK594" i="3"/>
  <c r="AJ594" i="3"/>
  <c r="AH594" i="3"/>
  <c r="AG594" i="3"/>
  <c r="AF594" i="3"/>
  <c r="AC594" i="3"/>
  <c r="AB594" i="3"/>
  <c r="Z594" i="3"/>
  <c r="L594" i="3"/>
  <c r="BF594" i="3" s="1"/>
  <c r="I594" i="3"/>
  <c r="AL594" i="3" s="1"/>
  <c r="BJ592" i="3"/>
  <c r="BD592" i="3"/>
  <c r="AP592" i="3"/>
  <c r="BI592" i="3" s="1"/>
  <c r="AE592" i="3" s="1"/>
  <c r="AO592" i="3"/>
  <c r="BH592" i="3" s="1"/>
  <c r="AD592" i="3" s="1"/>
  <c r="AK592" i="3"/>
  <c r="AJ592" i="3"/>
  <c r="AH592" i="3"/>
  <c r="AG592" i="3"/>
  <c r="AF592" i="3"/>
  <c r="AC592" i="3"/>
  <c r="AB592" i="3"/>
  <c r="Z592" i="3"/>
  <c r="L592" i="3"/>
  <c r="BF592" i="3" s="1"/>
  <c r="I592" i="3"/>
  <c r="AL592" i="3" s="1"/>
  <c r="BJ590" i="3"/>
  <c r="BD590" i="3"/>
  <c r="AP590" i="3"/>
  <c r="BI590" i="3" s="1"/>
  <c r="AE590" i="3" s="1"/>
  <c r="AO590" i="3"/>
  <c r="BH590" i="3" s="1"/>
  <c r="AD590" i="3" s="1"/>
  <c r="AK590" i="3"/>
  <c r="AJ590" i="3"/>
  <c r="AH590" i="3"/>
  <c r="AG590" i="3"/>
  <c r="AF590" i="3"/>
  <c r="AC590" i="3"/>
  <c r="AB590" i="3"/>
  <c r="Z590" i="3"/>
  <c r="L590" i="3"/>
  <c r="BF590" i="3" s="1"/>
  <c r="I590" i="3"/>
  <c r="AL590" i="3" s="1"/>
  <c r="BJ588" i="3"/>
  <c r="BD588" i="3"/>
  <c r="AP588" i="3"/>
  <c r="BI588" i="3" s="1"/>
  <c r="AE588" i="3" s="1"/>
  <c r="AO588" i="3"/>
  <c r="BH588" i="3" s="1"/>
  <c r="AD588" i="3" s="1"/>
  <c r="AK588" i="3"/>
  <c r="AJ588" i="3"/>
  <c r="AH588" i="3"/>
  <c r="AG588" i="3"/>
  <c r="AF588" i="3"/>
  <c r="AC588" i="3"/>
  <c r="AB588" i="3"/>
  <c r="Z588" i="3"/>
  <c r="L588" i="3"/>
  <c r="BF588" i="3" s="1"/>
  <c r="I588" i="3"/>
  <c r="AL588" i="3" s="1"/>
  <c r="BJ585" i="3"/>
  <c r="BD585" i="3"/>
  <c r="AP585" i="3"/>
  <c r="BI585" i="3" s="1"/>
  <c r="AE585" i="3" s="1"/>
  <c r="AO585" i="3"/>
  <c r="BH585" i="3" s="1"/>
  <c r="AD585" i="3" s="1"/>
  <c r="AK585" i="3"/>
  <c r="AJ585" i="3"/>
  <c r="AH585" i="3"/>
  <c r="AG585" i="3"/>
  <c r="AF585" i="3"/>
  <c r="AC585" i="3"/>
  <c r="AB585" i="3"/>
  <c r="Z585" i="3"/>
  <c r="L585" i="3"/>
  <c r="BF585" i="3" s="1"/>
  <c r="I585" i="3"/>
  <c r="AL585" i="3" s="1"/>
  <c r="BJ583" i="3"/>
  <c r="Z583" i="3" s="1"/>
  <c r="BD583" i="3"/>
  <c r="AP583" i="3"/>
  <c r="BI583" i="3" s="1"/>
  <c r="AO583" i="3"/>
  <c r="BH583" i="3" s="1"/>
  <c r="AK583" i="3"/>
  <c r="AJ583" i="3"/>
  <c r="AH583" i="3"/>
  <c r="AG583" i="3"/>
  <c r="AF583" i="3"/>
  <c r="AE583" i="3"/>
  <c r="AD583" i="3"/>
  <c r="AC583" i="3"/>
  <c r="AB583" i="3"/>
  <c r="L583" i="3"/>
  <c r="BF583" i="3" s="1"/>
  <c r="I583" i="3"/>
  <c r="AL583" i="3" s="1"/>
  <c r="BJ580" i="3"/>
  <c r="BF580" i="3"/>
  <c r="BD580" i="3"/>
  <c r="AP580" i="3"/>
  <c r="BI580" i="3" s="1"/>
  <c r="AE580" i="3" s="1"/>
  <c r="AO580" i="3"/>
  <c r="BH580" i="3" s="1"/>
  <c r="AD580" i="3" s="1"/>
  <c r="AK580" i="3"/>
  <c r="AT579" i="3" s="1"/>
  <c r="AJ580" i="3"/>
  <c r="AS579" i="3" s="1"/>
  <c r="AH580" i="3"/>
  <c r="AG580" i="3"/>
  <c r="AF580" i="3"/>
  <c r="AC580" i="3"/>
  <c r="AB580" i="3"/>
  <c r="Z580" i="3"/>
  <c r="L580" i="3"/>
  <c r="I580" i="3"/>
  <c r="AL580" i="3" s="1"/>
  <c r="AU579" i="3" s="1"/>
  <c r="L579" i="3"/>
  <c r="BJ578" i="3"/>
  <c r="BD578" i="3"/>
  <c r="AP578" i="3"/>
  <c r="BI578" i="3" s="1"/>
  <c r="AO578" i="3"/>
  <c r="AW578" i="3" s="1"/>
  <c r="AK578" i="3"/>
  <c r="AJ578" i="3"/>
  <c r="AH578" i="3"/>
  <c r="AG578" i="3"/>
  <c r="AF578" i="3"/>
  <c r="AE578" i="3"/>
  <c r="AD578" i="3"/>
  <c r="AC578" i="3"/>
  <c r="AB578" i="3"/>
  <c r="Z578" i="3"/>
  <c r="L578" i="3"/>
  <c r="BF578" i="3" s="1"/>
  <c r="I578" i="3"/>
  <c r="AL578" i="3" s="1"/>
  <c r="BJ575" i="3"/>
  <c r="BD575" i="3"/>
  <c r="AP575" i="3"/>
  <c r="BI575" i="3" s="1"/>
  <c r="AE575" i="3" s="1"/>
  <c r="AO575" i="3"/>
  <c r="AW575" i="3" s="1"/>
  <c r="AK575" i="3"/>
  <c r="AJ575" i="3"/>
  <c r="AH575" i="3"/>
  <c r="AG575" i="3"/>
  <c r="AF575" i="3"/>
  <c r="AC575" i="3"/>
  <c r="AB575" i="3"/>
  <c r="Z575" i="3"/>
  <c r="L575" i="3"/>
  <c r="BF575" i="3" s="1"/>
  <c r="I575" i="3"/>
  <c r="AL575" i="3" s="1"/>
  <c r="BJ573" i="3"/>
  <c r="BD573" i="3"/>
  <c r="AP573" i="3"/>
  <c r="BI573" i="3" s="1"/>
  <c r="AE573" i="3" s="1"/>
  <c r="AO573" i="3"/>
  <c r="AW573" i="3" s="1"/>
  <c r="AK573" i="3"/>
  <c r="AJ573" i="3"/>
  <c r="AS572" i="3" s="1"/>
  <c r="AH573" i="3"/>
  <c r="AG573" i="3"/>
  <c r="AF573" i="3"/>
  <c r="AC573" i="3"/>
  <c r="AB573" i="3"/>
  <c r="Z573" i="3"/>
  <c r="L573" i="3"/>
  <c r="I573" i="3"/>
  <c r="AL573" i="3" s="1"/>
  <c r="AT572" i="3"/>
  <c r="BJ570" i="3"/>
  <c r="BD570" i="3"/>
  <c r="AP570" i="3"/>
  <c r="AX570" i="3" s="1"/>
  <c r="AO570" i="3"/>
  <c r="BH570" i="3" s="1"/>
  <c r="AD570" i="3" s="1"/>
  <c r="AK570" i="3"/>
  <c r="AJ570" i="3"/>
  <c r="AH570" i="3"/>
  <c r="AG570" i="3"/>
  <c r="AF570" i="3"/>
  <c r="AC570" i="3"/>
  <c r="AB570" i="3"/>
  <c r="Z570" i="3"/>
  <c r="L570" i="3"/>
  <c r="BF570" i="3" s="1"/>
  <c r="I570" i="3"/>
  <c r="AL570" i="3" s="1"/>
  <c r="BJ568" i="3"/>
  <c r="BD568" i="3"/>
  <c r="AP568" i="3"/>
  <c r="AX568" i="3" s="1"/>
  <c r="AO568" i="3"/>
  <c r="BH568" i="3" s="1"/>
  <c r="AD568" i="3" s="1"/>
  <c r="AK568" i="3"/>
  <c r="AT567" i="3" s="1"/>
  <c r="AJ568" i="3"/>
  <c r="AS567" i="3" s="1"/>
  <c r="AH568" i="3"/>
  <c r="AG568" i="3"/>
  <c r="AF568" i="3"/>
  <c r="AC568" i="3"/>
  <c r="AB568" i="3"/>
  <c r="Z568" i="3"/>
  <c r="L568" i="3"/>
  <c r="BF568" i="3" s="1"/>
  <c r="I568" i="3"/>
  <c r="AL568" i="3" s="1"/>
  <c r="I567" i="3"/>
  <c r="BJ565" i="3"/>
  <c r="BD565" i="3"/>
  <c r="AP565" i="3"/>
  <c r="BI565" i="3" s="1"/>
  <c r="AE565" i="3" s="1"/>
  <c r="AO565" i="3"/>
  <c r="BH565" i="3" s="1"/>
  <c r="AD565" i="3" s="1"/>
  <c r="AK565" i="3"/>
  <c r="AT564" i="3" s="1"/>
  <c r="AJ565" i="3"/>
  <c r="AS564" i="3" s="1"/>
  <c r="AH565" i="3"/>
  <c r="AG565" i="3"/>
  <c r="AF565" i="3"/>
  <c r="AC565" i="3"/>
  <c r="AB565" i="3"/>
  <c r="Z565" i="3"/>
  <c r="L565" i="3"/>
  <c r="BF565" i="3" s="1"/>
  <c r="I565" i="3"/>
  <c r="AL565" i="3" s="1"/>
  <c r="AU564" i="3" s="1"/>
  <c r="I564" i="3"/>
  <c r="BJ563" i="3"/>
  <c r="Z563" i="3" s="1"/>
  <c r="BD563" i="3"/>
  <c r="AW563" i="3"/>
  <c r="AP563" i="3"/>
  <c r="BI563" i="3" s="1"/>
  <c r="AO563" i="3"/>
  <c r="BH563" i="3" s="1"/>
  <c r="AL563" i="3"/>
  <c r="AK563" i="3"/>
  <c r="AJ563" i="3"/>
  <c r="AH563" i="3"/>
  <c r="AG563" i="3"/>
  <c r="AF563" i="3"/>
  <c r="AE563" i="3"/>
  <c r="AD563" i="3"/>
  <c r="AC563" i="3"/>
  <c r="AB563" i="3"/>
  <c r="L563" i="3"/>
  <c r="BF563" i="3" s="1"/>
  <c r="I563" i="3"/>
  <c r="BJ559" i="3"/>
  <c r="BF559" i="3"/>
  <c r="BD559" i="3"/>
  <c r="AP559" i="3"/>
  <c r="BI559" i="3" s="1"/>
  <c r="AE559" i="3" s="1"/>
  <c r="AO559" i="3"/>
  <c r="BH559" i="3" s="1"/>
  <c r="AD559" i="3" s="1"/>
  <c r="AK559" i="3"/>
  <c r="AJ559" i="3"/>
  <c r="AH559" i="3"/>
  <c r="AG559" i="3"/>
  <c r="AF559" i="3"/>
  <c r="AC559" i="3"/>
  <c r="AB559" i="3"/>
  <c r="Z559" i="3"/>
  <c r="L559" i="3"/>
  <c r="I559" i="3"/>
  <c r="AL559" i="3" s="1"/>
  <c r="BJ555" i="3"/>
  <c r="BF555" i="3"/>
  <c r="BD555" i="3"/>
  <c r="AW555" i="3"/>
  <c r="AP555" i="3"/>
  <c r="BI555" i="3" s="1"/>
  <c r="AE555" i="3" s="1"/>
  <c r="AO555" i="3"/>
  <c r="BH555" i="3" s="1"/>
  <c r="AD555" i="3" s="1"/>
  <c r="AK555" i="3"/>
  <c r="AJ555" i="3"/>
  <c r="AH555" i="3"/>
  <c r="AG555" i="3"/>
  <c r="AF555" i="3"/>
  <c r="AC555" i="3"/>
  <c r="AB555" i="3"/>
  <c r="Z555" i="3"/>
  <c r="L555" i="3"/>
  <c r="I555" i="3"/>
  <c r="AL555" i="3" s="1"/>
  <c r="BJ550" i="3"/>
  <c r="BF550" i="3"/>
  <c r="BD550" i="3"/>
  <c r="AW550" i="3"/>
  <c r="AP550" i="3"/>
  <c r="BI550" i="3" s="1"/>
  <c r="AE550" i="3" s="1"/>
  <c r="AO550" i="3"/>
  <c r="BH550" i="3" s="1"/>
  <c r="AD550" i="3" s="1"/>
  <c r="AK550" i="3"/>
  <c r="AJ550" i="3"/>
  <c r="AH550" i="3"/>
  <c r="AG550" i="3"/>
  <c r="AF550" i="3"/>
  <c r="AC550" i="3"/>
  <c r="AB550" i="3"/>
  <c r="Z550" i="3"/>
  <c r="L550" i="3"/>
  <c r="I550" i="3"/>
  <c r="AL550" i="3" s="1"/>
  <c r="BJ545" i="3"/>
  <c r="BF545" i="3"/>
  <c r="BD545" i="3"/>
  <c r="AW545" i="3"/>
  <c r="AP545" i="3"/>
  <c r="BI545" i="3" s="1"/>
  <c r="AE545" i="3" s="1"/>
  <c r="AO545" i="3"/>
  <c r="BH545" i="3" s="1"/>
  <c r="AD545" i="3" s="1"/>
  <c r="AK545" i="3"/>
  <c r="AJ545" i="3"/>
  <c r="AH545" i="3"/>
  <c r="AG545" i="3"/>
  <c r="AF545" i="3"/>
  <c r="AC545" i="3"/>
  <c r="AB545" i="3"/>
  <c r="Z545" i="3"/>
  <c r="L545" i="3"/>
  <c r="I545" i="3"/>
  <c r="AL545" i="3" s="1"/>
  <c r="BJ540" i="3"/>
  <c r="BD540" i="3"/>
  <c r="AW540" i="3"/>
  <c r="AP540" i="3"/>
  <c r="BI540" i="3" s="1"/>
  <c r="AE540" i="3" s="1"/>
  <c r="AO540" i="3"/>
  <c r="BH540" i="3" s="1"/>
  <c r="AD540" i="3" s="1"/>
  <c r="AK540" i="3"/>
  <c r="AJ540" i="3"/>
  <c r="AH540" i="3"/>
  <c r="AG540" i="3"/>
  <c r="AF540" i="3"/>
  <c r="AC540" i="3"/>
  <c r="AB540" i="3"/>
  <c r="Z540" i="3"/>
  <c r="L540" i="3"/>
  <c r="BF540" i="3" s="1"/>
  <c r="I540" i="3"/>
  <c r="AL540" i="3" s="1"/>
  <c r="BJ535" i="3"/>
  <c r="BD535" i="3"/>
  <c r="AW535" i="3"/>
  <c r="AP535" i="3"/>
  <c r="BI535" i="3" s="1"/>
  <c r="AE535" i="3" s="1"/>
  <c r="AO535" i="3"/>
  <c r="BH535" i="3" s="1"/>
  <c r="AD535" i="3" s="1"/>
  <c r="AK535" i="3"/>
  <c r="AJ535" i="3"/>
  <c r="AH535" i="3"/>
  <c r="AG535" i="3"/>
  <c r="AF535" i="3"/>
  <c r="AC535" i="3"/>
  <c r="AB535" i="3"/>
  <c r="Z535" i="3"/>
  <c r="L535" i="3"/>
  <c r="BF535" i="3" s="1"/>
  <c r="I535" i="3"/>
  <c r="AL535" i="3" s="1"/>
  <c r="BJ520" i="3"/>
  <c r="BF520" i="3"/>
  <c r="BD520" i="3"/>
  <c r="AW520" i="3"/>
  <c r="AP520" i="3"/>
  <c r="BI520" i="3" s="1"/>
  <c r="AE520" i="3" s="1"/>
  <c r="AO520" i="3"/>
  <c r="BH520" i="3" s="1"/>
  <c r="AD520" i="3" s="1"/>
  <c r="AK520" i="3"/>
  <c r="AJ520" i="3"/>
  <c r="AH520" i="3"/>
  <c r="AG520" i="3"/>
  <c r="AF520" i="3"/>
  <c r="AC520" i="3"/>
  <c r="AB520" i="3"/>
  <c r="Z520" i="3"/>
  <c r="L520" i="3"/>
  <c r="I520" i="3"/>
  <c r="AL520" i="3" s="1"/>
  <c r="BJ502" i="3"/>
  <c r="BF502" i="3"/>
  <c r="BD502" i="3"/>
  <c r="AP502" i="3"/>
  <c r="BI502" i="3" s="1"/>
  <c r="AE502" i="3" s="1"/>
  <c r="AO502" i="3"/>
  <c r="BH502" i="3" s="1"/>
  <c r="AD502" i="3" s="1"/>
  <c r="AL502" i="3"/>
  <c r="AK502" i="3"/>
  <c r="AJ502" i="3"/>
  <c r="AH502" i="3"/>
  <c r="AG502" i="3"/>
  <c r="AF502" i="3"/>
  <c r="AC502" i="3"/>
  <c r="AB502" i="3"/>
  <c r="Z502" i="3"/>
  <c r="L502" i="3"/>
  <c r="I502" i="3"/>
  <c r="BJ485" i="3"/>
  <c r="BF485" i="3"/>
  <c r="BD485" i="3"/>
  <c r="AP485" i="3"/>
  <c r="BI485" i="3" s="1"/>
  <c r="AE485" i="3" s="1"/>
  <c r="AO485" i="3"/>
  <c r="BH485" i="3" s="1"/>
  <c r="AD485" i="3" s="1"/>
  <c r="AK485" i="3"/>
  <c r="AJ485" i="3"/>
  <c r="AH485" i="3"/>
  <c r="AG485" i="3"/>
  <c r="AF485" i="3"/>
  <c r="AC485" i="3"/>
  <c r="AB485" i="3"/>
  <c r="Z485" i="3"/>
  <c r="L485" i="3"/>
  <c r="I485" i="3"/>
  <c r="AL485" i="3" s="1"/>
  <c r="BJ473" i="3"/>
  <c r="BF473" i="3"/>
  <c r="BD473" i="3"/>
  <c r="AW473" i="3"/>
  <c r="AP473" i="3"/>
  <c r="BI473" i="3" s="1"/>
  <c r="AE473" i="3" s="1"/>
  <c r="AO473" i="3"/>
  <c r="BH473" i="3" s="1"/>
  <c r="AD473" i="3" s="1"/>
  <c r="AK473" i="3"/>
  <c r="AJ473" i="3"/>
  <c r="AH473" i="3"/>
  <c r="AG473" i="3"/>
  <c r="AF473" i="3"/>
  <c r="AC473" i="3"/>
  <c r="AB473" i="3"/>
  <c r="Z473" i="3"/>
  <c r="L473" i="3"/>
  <c r="I473" i="3"/>
  <c r="AL473" i="3" s="1"/>
  <c r="BJ455" i="3"/>
  <c r="BF455" i="3"/>
  <c r="BD455" i="3"/>
  <c r="AW455" i="3"/>
  <c r="AP455" i="3"/>
  <c r="BI455" i="3" s="1"/>
  <c r="AE455" i="3" s="1"/>
  <c r="AO455" i="3"/>
  <c r="BH455" i="3" s="1"/>
  <c r="AD455" i="3" s="1"/>
  <c r="AK455" i="3"/>
  <c r="AJ455" i="3"/>
  <c r="AH455" i="3"/>
  <c r="AG455" i="3"/>
  <c r="AF455" i="3"/>
  <c r="AC455" i="3"/>
  <c r="AB455" i="3"/>
  <c r="Z455" i="3"/>
  <c r="L455" i="3"/>
  <c r="I455" i="3"/>
  <c r="AL455" i="3" s="1"/>
  <c r="BJ436" i="3"/>
  <c r="BD436" i="3"/>
  <c r="AW436" i="3"/>
  <c r="AP436" i="3"/>
  <c r="BI436" i="3" s="1"/>
  <c r="AE436" i="3" s="1"/>
  <c r="AO436" i="3"/>
  <c r="BH436" i="3" s="1"/>
  <c r="AD436" i="3" s="1"/>
  <c r="AK436" i="3"/>
  <c r="AT435" i="3" s="1"/>
  <c r="AJ436" i="3"/>
  <c r="AS435" i="3" s="1"/>
  <c r="AH436" i="3"/>
  <c r="AG436" i="3"/>
  <c r="AF436" i="3"/>
  <c r="AC436" i="3"/>
  <c r="AB436" i="3"/>
  <c r="Z436" i="3"/>
  <c r="L436" i="3"/>
  <c r="BF436" i="3" s="1"/>
  <c r="I436" i="3"/>
  <c r="AL436" i="3" s="1"/>
  <c r="BJ431" i="3"/>
  <c r="BD431" i="3"/>
  <c r="AX431" i="3"/>
  <c r="AP431" i="3"/>
  <c r="BI431" i="3" s="1"/>
  <c r="AC431" i="3" s="1"/>
  <c r="AO431" i="3"/>
  <c r="AW431" i="3" s="1"/>
  <c r="AK431" i="3"/>
  <c r="AJ431" i="3"/>
  <c r="AH431" i="3"/>
  <c r="AG431" i="3"/>
  <c r="AF431" i="3"/>
  <c r="AE431" i="3"/>
  <c r="AD431" i="3"/>
  <c r="Z431" i="3"/>
  <c r="L431" i="3"/>
  <c r="BF431" i="3" s="1"/>
  <c r="I431" i="3"/>
  <c r="AL431" i="3" s="1"/>
  <c r="BJ427" i="3"/>
  <c r="BD427" i="3"/>
  <c r="AX427" i="3"/>
  <c r="AP427" i="3"/>
  <c r="BI427" i="3" s="1"/>
  <c r="AC427" i="3" s="1"/>
  <c r="AO427" i="3"/>
  <c r="AW427" i="3" s="1"/>
  <c r="AK427" i="3"/>
  <c r="AT422" i="3" s="1"/>
  <c r="AJ427" i="3"/>
  <c r="AH427" i="3"/>
  <c r="AG427" i="3"/>
  <c r="AF427" i="3"/>
  <c r="AE427" i="3"/>
  <c r="AD427" i="3"/>
  <c r="Z427" i="3"/>
  <c r="L427" i="3"/>
  <c r="BF427" i="3" s="1"/>
  <c r="I427" i="3"/>
  <c r="AL427" i="3" s="1"/>
  <c r="BJ423" i="3"/>
  <c r="BD423" i="3"/>
  <c r="AP423" i="3"/>
  <c r="BI423" i="3" s="1"/>
  <c r="AC423" i="3" s="1"/>
  <c r="AO423" i="3"/>
  <c r="AW423" i="3" s="1"/>
  <c r="AK423" i="3"/>
  <c r="AJ423" i="3"/>
  <c r="AS422" i="3" s="1"/>
  <c r="AH423" i="3"/>
  <c r="AG423" i="3"/>
  <c r="AF423" i="3"/>
  <c r="AE423" i="3"/>
  <c r="AD423" i="3"/>
  <c r="Z423" i="3"/>
  <c r="L423" i="3"/>
  <c r="I423" i="3"/>
  <c r="AL423" i="3" s="1"/>
  <c r="AU422" i="3" s="1"/>
  <c r="BJ420" i="3"/>
  <c r="BD420" i="3"/>
  <c r="AP420" i="3"/>
  <c r="AX420" i="3" s="1"/>
  <c r="AO420" i="3"/>
  <c r="BH420" i="3" s="1"/>
  <c r="AB420" i="3" s="1"/>
  <c r="AK420" i="3"/>
  <c r="AJ420" i="3"/>
  <c r="AH420" i="3"/>
  <c r="AG420" i="3"/>
  <c r="AF420" i="3"/>
  <c r="AE420" i="3"/>
  <c r="AD420" i="3"/>
  <c r="Z420" i="3"/>
  <c r="L420" i="3"/>
  <c r="BF420" i="3" s="1"/>
  <c r="I420" i="3"/>
  <c r="AL420" i="3" s="1"/>
  <c r="BJ417" i="3"/>
  <c r="BD417" i="3"/>
  <c r="AP417" i="3"/>
  <c r="AX417" i="3" s="1"/>
  <c r="AO417" i="3"/>
  <c r="BH417" i="3" s="1"/>
  <c r="AB417" i="3" s="1"/>
  <c r="AK417" i="3"/>
  <c r="AJ417" i="3"/>
  <c r="AH417" i="3"/>
  <c r="AG417" i="3"/>
  <c r="AF417" i="3"/>
  <c r="AE417" i="3"/>
  <c r="AD417" i="3"/>
  <c r="Z417" i="3"/>
  <c r="L417" i="3"/>
  <c r="BF417" i="3" s="1"/>
  <c r="I417" i="3"/>
  <c r="AL417" i="3" s="1"/>
  <c r="BJ413" i="3"/>
  <c r="BD413" i="3"/>
  <c r="AP413" i="3"/>
  <c r="AX413" i="3" s="1"/>
  <c r="AO413" i="3"/>
  <c r="AK413" i="3"/>
  <c r="AJ413" i="3"/>
  <c r="AH413" i="3"/>
  <c r="AG413" i="3"/>
  <c r="AF413" i="3"/>
  <c r="AE413" i="3"/>
  <c r="AD413" i="3"/>
  <c r="Z413" i="3"/>
  <c r="L413" i="3"/>
  <c r="BF413" i="3" s="1"/>
  <c r="I413" i="3"/>
  <c r="AL413" i="3" s="1"/>
  <c r="BJ410" i="3"/>
  <c r="BD410" i="3"/>
  <c r="AP410" i="3"/>
  <c r="BI410" i="3" s="1"/>
  <c r="AC410" i="3" s="1"/>
  <c r="AO410" i="3"/>
  <c r="AW410" i="3" s="1"/>
  <c r="AK410" i="3"/>
  <c r="AJ410" i="3"/>
  <c r="AS353" i="3" s="1"/>
  <c r="AH410" i="3"/>
  <c r="AG410" i="3"/>
  <c r="AF410" i="3"/>
  <c r="AE410" i="3"/>
  <c r="AD410" i="3"/>
  <c r="Z410" i="3"/>
  <c r="L410" i="3"/>
  <c r="BF410" i="3" s="1"/>
  <c r="I410" i="3"/>
  <c r="AL410" i="3" s="1"/>
  <c r="BJ407" i="3"/>
  <c r="BD407" i="3"/>
  <c r="AP407" i="3"/>
  <c r="BI407" i="3" s="1"/>
  <c r="AC407" i="3" s="1"/>
  <c r="AO407" i="3"/>
  <c r="AW407" i="3" s="1"/>
  <c r="AK407" i="3"/>
  <c r="AJ407" i="3"/>
  <c r="AH407" i="3"/>
  <c r="AG407" i="3"/>
  <c r="AF407" i="3"/>
  <c r="AE407" i="3"/>
  <c r="AD407" i="3"/>
  <c r="Z407" i="3"/>
  <c r="L407" i="3"/>
  <c r="BF407" i="3" s="1"/>
  <c r="I407" i="3"/>
  <c r="AL407" i="3" s="1"/>
  <c r="BJ403" i="3"/>
  <c r="BD403" i="3"/>
  <c r="AP403" i="3"/>
  <c r="AX403" i="3" s="1"/>
  <c r="BC403" i="3" s="1"/>
  <c r="AO403" i="3"/>
  <c r="AW403" i="3" s="1"/>
  <c r="AK403" i="3"/>
  <c r="AJ403" i="3"/>
  <c r="AH403" i="3"/>
  <c r="AG403" i="3"/>
  <c r="AF403" i="3"/>
  <c r="AE403" i="3"/>
  <c r="AD403" i="3"/>
  <c r="Z403" i="3"/>
  <c r="L403" i="3"/>
  <c r="BF403" i="3" s="1"/>
  <c r="I403" i="3"/>
  <c r="AL403" i="3" s="1"/>
  <c r="BJ388" i="3"/>
  <c r="BD388" i="3"/>
  <c r="AP388" i="3"/>
  <c r="BI388" i="3" s="1"/>
  <c r="AC388" i="3" s="1"/>
  <c r="AO388" i="3"/>
  <c r="AW388" i="3" s="1"/>
  <c r="AK388" i="3"/>
  <c r="AJ388" i="3"/>
  <c r="AH388" i="3"/>
  <c r="AG388" i="3"/>
  <c r="AF388" i="3"/>
  <c r="AE388" i="3"/>
  <c r="AD388" i="3"/>
  <c r="Z388" i="3"/>
  <c r="L388" i="3"/>
  <c r="BF388" i="3" s="1"/>
  <c r="I388" i="3"/>
  <c r="AL388" i="3" s="1"/>
  <c r="BJ373" i="3"/>
  <c r="BD373" i="3"/>
  <c r="AX373" i="3"/>
  <c r="BC373" i="3" s="1"/>
  <c r="AP373" i="3"/>
  <c r="BI373" i="3" s="1"/>
  <c r="AC373" i="3" s="1"/>
  <c r="AO373" i="3"/>
  <c r="AW373" i="3" s="1"/>
  <c r="AK373" i="3"/>
  <c r="AJ373" i="3"/>
  <c r="AH373" i="3"/>
  <c r="AG373" i="3"/>
  <c r="AF373" i="3"/>
  <c r="AE373" i="3"/>
  <c r="AD373" i="3"/>
  <c r="Z373" i="3"/>
  <c r="L373" i="3"/>
  <c r="BF373" i="3" s="1"/>
  <c r="I373" i="3"/>
  <c r="AL373" i="3" s="1"/>
  <c r="BJ354" i="3"/>
  <c r="BD354" i="3"/>
  <c r="AP354" i="3"/>
  <c r="BI354" i="3" s="1"/>
  <c r="AC354" i="3" s="1"/>
  <c r="AO354" i="3"/>
  <c r="AW354" i="3" s="1"/>
  <c r="AK354" i="3"/>
  <c r="AJ354" i="3"/>
  <c r="AH354" i="3"/>
  <c r="AG354" i="3"/>
  <c r="AF354" i="3"/>
  <c r="AE354" i="3"/>
  <c r="AD354" i="3"/>
  <c r="Z354" i="3"/>
  <c r="L354" i="3"/>
  <c r="I354" i="3"/>
  <c r="AL354" i="3" s="1"/>
  <c r="AT353" i="3"/>
  <c r="BJ350" i="3"/>
  <c r="BD350" i="3"/>
  <c r="AW350" i="3"/>
  <c r="AP350" i="3"/>
  <c r="AX350" i="3" s="1"/>
  <c r="AO350" i="3"/>
  <c r="BH350" i="3" s="1"/>
  <c r="AK350" i="3"/>
  <c r="AT346" i="3" s="1"/>
  <c r="AJ350" i="3"/>
  <c r="AH350" i="3"/>
  <c r="AG350" i="3"/>
  <c r="AF350" i="3"/>
  <c r="AE350" i="3"/>
  <c r="AD350" i="3"/>
  <c r="AB350" i="3"/>
  <c r="Z350" i="3"/>
  <c r="L350" i="3"/>
  <c r="BF350" i="3" s="1"/>
  <c r="I350" i="3"/>
  <c r="AL350" i="3" s="1"/>
  <c r="BJ347" i="3"/>
  <c r="BD347" i="3"/>
  <c r="AP347" i="3"/>
  <c r="AX347" i="3" s="1"/>
  <c r="AO347" i="3"/>
  <c r="BH347" i="3" s="1"/>
  <c r="AK347" i="3"/>
  <c r="AJ347" i="3"/>
  <c r="AS346" i="3" s="1"/>
  <c r="AH347" i="3"/>
  <c r="AG347" i="3"/>
  <c r="AF347" i="3"/>
  <c r="AE347" i="3"/>
  <c r="AD347" i="3"/>
  <c r="AB347" i="3"/>
  <c r="Z347" i="3"/>
  <c r="L347" i="3"/>
  <c r="BF347" i="3" s="1"/>
  <c r="I347" i="3"/>
  <c r="AL347" i="3" s="1"/>
  <c r="AU346" i="3" s="1"/>
  <c r="L346" i="3"/>
  <c r="I346" i="3"/>
  <c r="BJ344" i="3"/>
  <c r="BF344" i="3"/>
  <c r="BD344" i="3"/>
  <c r="AX344" i="3"/>
  <c r="AP344" i="3"/>
  <c r="BI344" i="3" s="1"/>
  <c r="AO344" i="3"/>
  <c r="BH344" i="3" s="1"/>
  <c r="AB344" i="3" s="1"/>
  <c r="AK344" i="3"/>
  <c r="AJ344" i="3"/>
  <c r="AH344" i="3"/>
  <c r="AG344" i="3"/>
  <c r="AF344" i="3"/>
  <c r="AE344" i="3"/>
  <c r="AD344" i="3"/>
  <c r="AC344" i="3"/>
  <c r="Z344" i="3"/>
  <c r="L344" i="3"/>
  <c r="I344" i="3"/>
  <c r="BJ342" i="3"/>
  <c r="BD342" i="3"/>
  <c r="AP342" i="3"/>
  <c r="BI342" i="3" s="1"/>
  <c r="AC342" i="3" s="1"/>
  <c r="AO342" i="3"/>
  <c r="BH342" i="3" s="1"/>
  <c r="AB342" i="3" s="1"/>
  <c r="AK342" i="3"/>
  <c r="AJ342" i="3"/>
  <c r="AH342" i="3"/>
  <c r="AG342" i="3"/>
  <c r="AF342" i="3"/>
  <c r="AE342" i="3"/>
  <c r="AD342" i="3"/>
  <c r="Z342" i="3"/>
  <c r="L342" i="3"/>
  <c r="BF342" i="3" s="1"/>
  <c r="I342" i="3"/>
  <c r="AL342" i="3" s="1"/>
  <c r="BJ319" i="3"/>
  <c r="BD319" i="3"/>
  <c r="AP319" i="3"/>
  <c r="BI319" i="3" s="1"/>
  <c r="AC319" i="3" s="1"/>
  <c r="AO319" i="3"/>
  <c r="AW319" i="3" s="1"/>
  <c r="AK319" i="3"/>
  <c r="AJ319" i="3"/>
  <c r="AH319" i="3"/>
  <c r="AG319" i="3"/>
  <c r="AF319" i="3"/>
  <c r="AE319" i="3"/>
  <c r="AD319" i="3"/>
  <c r="Z319" i="3"/>
  <c r="L319" i="3"/>
  <c r="BF319" i="3" s="1"/>
  <c r="I319" i="3"/>
  <c r="AL319" i="3" s="1"/>
  <c r="BJ307" i="3"/>
  <c r="BD307" i="3"/>
  <c r="AP307" i="3"/>
  <c r="BI307" i="3" s="1"/>
  <c r="AC307" i="3" s="1"/>
  <c r="AO307" i="3"/>
  <c r="AW307" i="3" s="1"/>
  <c r="AK307" i="3"/>
  <c r="AJ307" i="3"/>
  <c r="AH307" i="3"/>
  <c r="AG307" i="3"/>
  <c r="AF307" i="3"/>
  <c r="AE307" i="3"/>
  <c r="AD307" i="3"/>
  <c r="Z307" i="3"/>
  <c r="L307" i="3"/>
  <c r="BF307" i="3" s="1"/>
  <c r="I307" i="3"/>
  <c r="AL307" i="3" s="1"/>
  <c r="BJ259" i="3"/>
  <c r="BD259" i="3"/>
  <c r="AP259" i="3"/>
  <c r="BI259" i="3" s="1"/>
  <c r="AC259" i="3" s="1"/>
  <c r="AO259" i="3"/>
  <c r="AW259" i="3" s="1"/>
  <c r="AK259" i="3"/>
  <c r="AJ259" i="3"/>
  <c r="AH259" i="3"/>
  <c r="AG259" i="3"/>
  <c r="AF259" i="3"/>
  <c r="AE259" i="3"/>
  <c r="AD259" i="3"/>
  <c r="Z259" i="3"/>
  <c r="L259" i="3"/>
  <c r="BF259" i="3" s="1"/>
  <c r="I259" i="3"/>
  <c r="AL259" i="3" s="1"/>
  <c r="AS258" i="3"/>
  <c r="BJ255" i="3"/>
  <c r="BD255" i="3"/>
  <c r="AP255" i="3"/>
  <c r="AX255" i="3" s="1"/>
  <c r="AO255" i="3"/>
  <c r="BH255" i="3" s="1"/>
  <c r="AB255" i="3" s="1"/>
  <c r="AK255" i="3"/>
  <c r="AJ255" i="3"/>
  <c r="AH255" i="3"/>
  <c r="AG255" i="3"/>
  <c r="AF255" i="3"/>
  <c r="AE255" i="3"/>
  <c r="AD255" i="3"/>
  <c r="Z255" i="3"/>
  <c r="L255" i="3"/>
  <c r="BF255" i="3" s="1"/>
  <c r="I255" i="3"/>
  <c r="AL255" i="3" s="1"/>
  <c r="BJ251" i="3"/>
  <c r="BD251" i="3"/>
  <c r="AP251" i="3"/>
  <c r="AX251" i="3" s="1"/>
  <c r="AO251" i="3"/>
  <c r="BH251" i="3" s="1"/>
  <c r="AB251" i="3" s="1"/>
  <c r="AK251" i="3"/>
  <c r="AJ251" i="3"/>
  <c r="AH251" i="3"/>
  <c r="AG251" i="3"/>
  <c r="AF251" i="3"/>
  <c r="AE251" i="3"/>
  <c r="AD251" i="3"/>
  <c r="Z251" i="3"/>
  <c r="L251" i="3"/>
  <c r="BF251" i="3" s="1"/>
  <c r="I251" i="3"/>
  <c r="AL251" i="3" s="1"/>
  <c r="BJ219" i="3"/>
  <c r="BD219" i="3"/>
  <c r="AP219" i="3"/>
  <c r="AX219" i="3" s="1"/>
  <c r="AO219" i="3"/>
  <c r="BH219" i="3" s="1"/>
  <c r="AB219" i="3" s="1"/>
  <c r="AK219" i="3"/>
  <c r="AJ219" i="3"/>
  <c r="AH219" i="3"/>
  <c r="AG219" i="3"/>
  <c r="AF219" i="3"/>
  <c r="AE219" i="3"/>
  <c r="AD219" i="3"/>
  <c r="Z219" i="3"/>
  <c r="L219" i="3"/>
  <c r="BF219" i="3" s="1"/>
  <c r="I219" i="3"/>
  <c r="AL219" i="3" s="1"/>
  <c r="BJ181" i="3"/>
  <c r="BD181" i="3"/>
  <c r="AP181" i="3"/>
  <c r="AX181" i="3" s="1"/>
  <c r="AO181" i="3"/>
  <c r="BH181" i="3" s="1"/>
  <c r="AB181" i="3" s="1"/>
  <c r="AK181" i="3"/>
  <c r="AJ181" i="3"/>
  <c r="AH181" i="3"/>
  <c r="AG181" i="3"/>
  <c r="AF181" i="3"/>
  <c r="AE181" i="3"/>
  <c r="AD181" i="3"/>
  <c r="Z181" i="3"/>
  <c r="L181" i="3"/>
  <c r="BF181" i="3" s="1"/>
  <c r="I181" i="3"/>
  <c r="AL181" i="3" s="1"/>
  <c r="BJ167" i="3"/>
  <c r="BD167" i="3"/>
  <c r="AP167" i="3"/>
  <c r="AX167" i="3" s="1"/>
  <c r="AO167" i="3"/>
  <c r="BH167" i="3" s="1"/>
  <c r="AB167" i="3" s="1"/>
  <c r="AK167" i="3"/>
  <c r="AJ167" i="3"/>
  <c r="AH167" i="3"/>
  <c r="AG167" i="3"/>
  <c r="AF167" i="3"/>
  <c r="AE167" i="3"/>
  <c r="AD167" i="3"/>
  <c r="Z167" i="3"/>
  <c r="L167" i="3"/>
  <c r="BF167" i="3" s="1"/>
  <c r="I167" i="3"/>
  <c r="AL167" i="3" s="1"/>
  <c r="BJ126" i="3"/>
  <c r="BD126" i="3"/>
  <c r="AP126" i="3"/>
  <c r="AX126" i="3" s="1"/>
  <c r="AO126" i="3"/>
  <c r="BH126" i="3" s="1"/>
  <c r="AB126" i="3" s="1"/>
  <c r="AK126" i="3"/>
  <c r="AJ126" i="3"/>
  <c r="AH126" i="3"/>
  <c r="AG126" i="3"/>
  <c r="AF126" i="3"/>
  <c r="AE126" i="3"/>
  <c r="AD126" i="3"/>
  <c r="Z126" i="3"/>
  <c r="L126" i="3"/>
  <c r="BF126" i="3" s="1"/>
  <c r="I126" i="3"/>
  <c r="AL126" i="3" s="1"/>
  <c r="BJ98" i="3"/>
  <c r="BD98" i="3"/>
  <c r="AP98" i="3"/>
  <c r="AX98" i="3" s="1"/>
  <c r="AO98" i="3"/>
  <c r="BH98" i="3" s="1"/>
  <c r="AB98" i="3" s="1"/>
  <c r="AK98" i="3"/>
  <c r="AJ98" i="3"/>
  <c r="AS97" i="3" s="1"/>
  <c r="AH98" i="3"/>
  <c r="AG98" i="3"/>
  <c r="AF98" i="3"/>
  <c r="AE98" i="3"/>
  <c r="AD98" i="3"/>
  <c r="Z98" i="3"/>
  <c r="L98" i="3"/>
  <c r="BF98" i="3" s="1"/>
  <c r="I98" i="3"/>
  <c r="AL98" i="3" s="1"/>
  <c r="AT97" i="3"/>
  <c r="L97" i="3"/>
  <c r="BJ93" i="3"/>
  <c r="BF93" i="3"/>
  <c r="BD93" i="3"/>
  <c r="AW93" i="3"/>
  <c r="AP93" i="3"/>
  <c r="BI93" i="3" s="1"/>
  <c r="AC93" i="3" s="1"/>
  <c r="AO93" i="3"/>
  <c r="BH93" i="3" s="1"/>
  <c r="AB93" i="3" s="1"/>
  <c r="AK93" i="3"/>
  <c r="AJ93" i="3"/>
  <c r="AH93" i="3"/>
  <c r="AG93" i="3"/>
  <c r="AF93" i="3"/>
  <c r="AE93" i="3"/>
  <c r="AD93" i="3"/>
  <c r="Z93" i="3"/>
  <c r="L93" i="3"/>
  <c r="I93" i="3"/>
  <c r="AL93" i="3" s="1"/>
  <c r="BJ84" i="3"/>
  <c r="BD84" i="3"/>
  <c r="AX84" i="3"/>
  <c r="AP84" i="3"/>
  <c r="BI84" i="3" s="1"/>
  <c r="AC84" i="3" s="1"/>
  <c r="AO84" i="3"/>
  <c r="BH84" i="3" s="1"/>
  <c r="AB84" i="3" s="1"/>
  <c r="AK84" i="3"/>
  <c r="AJ84" i="3"/>
  <c r="AH84" i="3"/>
  <c r="AG84" i="3"/>
  <c r="AF84" i="3"/>
  <c r="AE84" i="3"/>
  <c r="AD84" i="3"/>
  <c r="Z84" i="3"/>
  <c r="L84" i="3"/>
  <c r="BF84" i="3" s="1"/>
  <c r="I84" i="3"/>
  <c r="AL84" i="3" s="1"/>
  <c r="BJ76" i="3"/>
  <c r="BD76" i="3"/>
  <c r="AP76" i="3"/>
  <c r="BI76" i="3" s="1"/>
  <c r="AC76" i="3" s="1"/>
  <c r="AO76" i="3"/>
  <c r="BH76" i="3" s="1"/>
  <c r="AB76" i="3" s="1"/>
  <c r="AK76" i="3"/>
  <c r="AJ76" i="3"/>
  <c r="AH76" i="3"/>
  <c r="AG76" i="3"/>
  <c r="AF76" i="3"/>
  <c r="AE76" i="3"/>
  <c r="AD76" i="3"/>
  <c r="Z76" i="3"/>
  <c r="L76" i="3"/>
  <c r="BF76" i="3" s="1"/>
  <c r="I76" i="3"/>
  <c r="AL76" i="3" s="1"/>
  <c r="BJ63" i="3"/>
  <c r="BD63" i="3"/>
  <c r="AW63" i="3"/>
  <c r="AP63" i="3"/>
  <c r="BI63" i="3" s="1"/>
  <c r="AC63" i="3" s="1"/>
  <c r="AO63" i="3"/>
  <c r="BH63" i="3" s="1"/>
  <c r="AB63" i="3" s="1"/>
  <c r="AK63" i="3"/>
  <c r="AJ63" i="3"/>
  <c r="AH63" i="3"/>
  <c r="AG63" i="3"/>
  <c r="AF63" i="3"/>
  <c r="AE63" i="3"/>
  <c r="AD63" i="3"/>
  <c r="Z63" i="3"/>
  <c r="L63" i="3"/>
  <c r="BF63" i="3" s="1"/>
  <c r="I63" i="3"/>
  <c r="AL63" i="3" s="1"/>
  <c r="BJ61" i="3"/>
  <c r="BF61" i="3"/>
  <c r="BD61" i="3"/>
  <c r="AW61" i="3"/>
  <c r="AP61" i="3"/>
  <c r="BI61" i="3" s="1"/>
  <c r="AC61" i="3" s="1"/>
  <c r="AO61" i="3"/>
  <c r="BH61" i="3" s="1"/>
  <c r="AB61" i="3" s="1"/>
  <c r="AK61" i="3"/>
  <c r="AJ61" i="3"/>
  <c r="AS50" i="3" s="1"/>
  <c r="AH61" i="3"/>
  <c r="AG61" i="3"/>
  <c r="AF61" i="3"/>
  <c r="AE61" i="3"/>
  <c r="AD61" i="3"/>
  <c r="Z61" i="3"/>
  <c r="L61" i="3"/>
  <c r="I61" i="3"/>
  <c r="AL61" i="3" s="1"/>
  <c r="BJ56" i="3"/>
  <c r="BD56" i="3"/>
  <c r="AX56" i="3"/>
  <c r="AP56" i="3"/>
  <c r="BI56" i="3" s="1"/>
  <c r="AC56" i="3" s="1"/>
  <c r="AO56" i="3"/>
  <c r="BH56" i="3" s="1"/>
  <c r="AB56" i="3" s="1"/>
  <c r="AK56" i="3"/>
  <c r="AJ56" i="3"/>
  <c r="AH56" i="3"/>
  <c r="AG56" i="3"/>
  <c r="AF56" i="3"/>
  <c r="AE56" i="3"/>
  <c r="AD56" i="3"/>
  <c r="Z56" i="3"/>
  <c r="L56" i="3"/>
  <c r="BF56" i="3" s="1"/>
  <c r="I56" i="3"/>
  <c r="AL56" i="3" s="1"/>
  <c r="BJ51" i="3"/>
  <c r="BD51" i="3"/>
  <c r="AW51" i="3"/>
  <c r="AP51" i="3"/>
  <c r="BI51" i="3" s="1"/>
  <c r="AC51" i="3" s="1"/>
  <c r="AO51" i="3"/>
  <c r="BH51" i="3" s="1"/>
  <c r="AB51" i="3" s="1"/>
  <c r="AK51" i="3"/>
  <c r="AT50" i="3" s="1"/>
  <c r="AJ51" i="3"/>
  <c r="AH51" i="3"/>
  <c r="AG51" i="3"/>
  <c r="AF51" i="3"/>
  <c r="AE51" i="3"/>
  <c r="AD51" i="3"/>
  <c r="Z51" i="3"/>
  <c r="L51" i="3"/>
  <c r="BF51" i="3" s="1"/>
  <c r="I51" i="3"/>
  <c r="AL51" i="3" s="1"/>
  <c r="BJ48" i="3"/>
  <c r="BF48" i="3"/>
  <c r="BD48" i="3"/>
  <c r="AX48" i="3"/>
  <c r="AW48" i="3"/>
  <c r="AP48" i="3"/>
  <c r="BI48" i="3" s="1"/>
  <c r="AC48" i="3" s="1"/>
  <c r="AO48" i="3"/>
  <c r="BH48" i="3" s="1"/>
  <c r="AB48" i="3" s="1"/>
  <c r="AK48" i="3"/>
  <c r="AJ48" i="3"/>
  <c r="AH48" i="3"/>
  <c r="AG48" i="3"/>
  <c r="AF48" i="3"/>
  <c r="AE48" i="3"/>
  <c r="AD48" i="3"/>
  <c r="Z48" i="3"/>
  <c r="L48" i="3"/>
  <c r="I48" i="3"/>
  <c r="AL48" i="3" s="1"/>
  <c r="BJ46" i="3"/>
  <c r="BD46" i="3"/>
  <c r="AW46" i="3"/>
  <c r="AP46" i="3"/>
  <c r="BI46" i="3" s="1"/>
  <c r="AC46" i="3" s="1"/>
  <c r="AO46" i="3"/>
  <c r="BH46" i="3" s="1"/>
  <c r="AB46" i="3" s="1"/>
  <c r="AK46" i="3"/>
  <c r="AJ46" i="3"/>
  <c r="AH46" i="3"/>
  <c r="AG46" i="3"/>
  <c r="AF46" i="3"/>
  <c r="AE46" i="3"/>
  <c r="AD46" i="3"/>
  <c r="Z46" i="3"/>
  <c r="L46" i="3"/>
  <c r="BF46" i="3" s="1"/>
  <c r="I46" i="3"/>
  <c r="AL46" i="3" s="1"/>
  <c r="BJ42" i="3"/>
  <c r="BF42" i="3"/>
  <c r="BD42" i="3"/>
  <c r="AX42" i="3"/>
  <c r="AP42" i="3"/>
  <c r="BI42" i="3" s="1"/>
  <c r="AC42" i="3" s="1"/>
  <c r="AO42" i="3"/>
  <c r="BH42" i="3" s="1"/>
  <c r="AB42" i="3" s="1"/>
  <c r="AK42" i="3"/>
  <c r="AJ42" i="3"/>
  <c r="AH42" i="3"/>
  <c r="AG42" i="3"/>
  <c r="AF42" i="3"/>
  <c r="AE42" i="3"/>
  <c r="AD42" i="3"/>
  <c r="Z42" i="3"/>
  <c r="L42" i="3"/>
  <c r="I42" i="3"/>
  <c r="AL42" i="3" s="1"/>
  <c r="BJ38" i="3"/>
  <c r="BD38" i="3"/>
  <c r="AP38" i="3"/>
  <c r="BI38" i="3" s="1"/>
  <c r="AC38" i="3" s="1"/>
  <c r="AO38" i="3"/>
  <c r="BH38" i="3" s="1"/>
  <c r="AB38" i="3" s="1"/>
  <c r="AK38" i="3"/>
  <c r="AJ38" i="3"/>
  <c r="AH38" i="3"/>
  <c r="AG38" i="3"/>
  <c r="AF38" i="3"/>
  <c r="AE38" i="3"/>
  <c r="AD38" i="3"/>
  <c r="Z38" i="3"/>
  <c r="L38" i="3"/>
  <c r="BF38" i="3" s="1"/>
  <c r="I38" i="3"/>
  <c r="AL38" i="3" s="1"/>
  <c r="BJ34" i="3"/>
  <c r="BD34" i="3"/>
  <c r="AW34" i="3"/>
  <c r="AP34" i="3"/>
  <c r="BI34" i="3" s="1"/>
  <c r="AC34" i="3" s="1"/>
  <c r="AO34" i="3"/>
  <c r="BH34" i="3" s="1"/>
  <c r="AB34" i="3" s="1"/>
  <c r="AK34" i="3"/>
  <c r="AT22" i="3" s="1"/>
  <c r="AJ34" i="3"/>
  <c r="AH34" i="3"/>
  <c r="AG34" i="3"/>
  <c r="AF34" i="3"/>
  <c r="AE34" i="3"/>
  <c r="AD34" i="3"/>
  <c r="Z34" i="3"/>
  <c r="L34" i="3"/>
  <c r="L22" i="3" s="1"/>
  <c r="I34" i="3"/>
  <c r="AL34" i="3" s="1"/>
  <c r="BJ30" i="3"/>
  <c r="BD30" i="3"/>
  <c r="AX30" i="3"/>
  <c r="AP30" i="3"/>
  <c r="BI30" i="3" s="1"/>
  <c r="AC30" i="3" s="1"/>
  <c r="AO30" i="3"/>
  <c r="BH30" i="3" s="1"/>
  <c r="AB30" i="3" s="1"/>
  <c r="AK30" i="3"/>
  <c r="AJ30" i="3"/>
  <c r="AH30" i="3"/>
  <c r="AG30" i="3"/>
  <c r="AF30" i="3"/>
  <c r="AE30" i="3"/>
  <c r="AD30" i="3"/>
  <c r="Z30" i="3"/>
  <c r="L30" i="3"/>
  <c r="BF30" i="3" s="1"/>
  <c r="I30" i="3"/>
  <c r="AL30" i="3" s="1"/>
  <c r="BJ27" i="3"/>
  <c r="BD27" i="3"/>
  <c r="AW27" i="3"/>
  <c r="AP27" i="3"/>
  <c r="BI27" i="3" s="1"/>
  <c r="AC27" i="3" s="1"/>
  <c r="AO27" i="3"/>
  <c r="BH27" i="3" s="1"/>
  <c r="AB27" i="3" s="1"/>
  <c r="AK27" i="3"/>
  <c r="AJ27" i="3"/>
  <c r="AH27" i="3"/>
  <c r="AG27" i="3"/>
  <c r="AF27" i="3"/>
  <c r="AE27" i="3"/>
  <c r="AD27" i="3"/>
  <c r="Z27" i="3"/>
  <c r="L27" i="3"/>
  <c r="BF27" i="3" s="1"/>
  <c r="I27" i="3"/>
  <c r="AL27" i="3" s="1"/>
  <c r="BJ23" i="3"/>
  <c r="BF23" i="3"/>
  <c r="BD23" i="3"/>
  <c r="AX23" i="3"/>
  <c r="AW23" i="3"/>
  <c r="AV23" i="3" s="1"/>
  <c r="AP23" i="3"/>
  <c r="BI23" i="3" s="1"/>
  <c r="AC23" i="3" s="1"/>
  <c r="AO23" i="3"/>
  <c r="BH23" i="3" s="1"/>
  <c r="AB23" i="3" s="1"/>
  <c r="AK23" i="3"/>
  <c r="AJ23" i="3"/>
  <c r="AH23" i="3"/>
  <c r="AG23" i="3"/>
  <c r="AF23" i="3"/>
  <c r="AE23" i="3"/>
  <c r="AD23" i="3"/>
  <c r="Z23" i="3"/>
  <c r="L23" i="3"/>
  <c r="I23" i="3"/>
  <c r="BJ20" i="3"/>
  <c r="Z20" i="3" s="1"/>
  <c r="BD20" i="3"/>
  <c r="AX20" i="3"/>
  <c r="AP20" i="3"/>
  <c r="BI20" i="3" s="1"/>
  <c r="AO20" i="3"/>
  <c r="AW20" i="3" s="1"/>
  <c r="AK20" i="3"/>
  <c r="AJ20" i="3"/>
  <c r="AH20" i="3"/>
  <c r="AG20" i="3"/>
  <c r="AF20" i="3"/>
  <c r="AE20" i="3"/>
  <c r="AD20" i="3"/>
  <c r="AC20" i="3"/>
  <c r="AB20" i="3"/>
  <c r="L20" i="3"/>
  <c r="BF20" i="3" s="1"/>
  <c r="I20" i="3"/>
  <c r="AL20" i="3" s="1"/>
  <c r="BJ17" i="3"/>
  <c r="BD17" i="3"/>
  <c r="AP17" i="3"/>
  <c r="BI17" i="3" s="1"/>
  <c r="AC17" i="3" s="1"/>
  <c r="AO17" i="3"/>
  <c r="AW17" i="3" s="1"/>
  <c r="AK17" i="3"/>
  <c r="AJ17" i="3"/>
  <c r="AS13" i="3" s="1"/>
  <c r="AH17" i="3"/>
  <c r="AG17" i="3"/>
  <c r="AF17" i="3"/>
  <c r="AE17" i="3"/>
  <c r="AD17" i="3"/>
  <c r="Z17" i="3"/>
  <c r="L17" i="3"/>
  <c r="BF17" i="3" s="1"/>
  <c r="I17" i="3"/>
  <c r="AL17" i="3" s="1"/>
  <c r="BJ14" i="3"/>
  <c r="BD14" i="3"/>
  <c r="AP14" i="3"/>
  <c r="BI14" i="3" s="1"/>
  <c r="AC14" i="3" s="1"/>
  <c r="AO14" i="3"/>
  <c r="AW14" i="3" s="1"/>
  <c r="AK14" i="3"/>
  <c r="AJ14" i="3"/>
  <c r="AH14" i="3"/>
  <c r="AG14" i="3"/>
  <c r="AF14" i="3"/>
  <c r="AE14" i="3"/>
  <c r="AD14" i="3"/>
  <c r="Z14" i="3"/>
  <c r="L14" i="3"/>
  <c r="BF14" i="3" s="1"/>
  <c r="I14" i="3"/>
  <c r="AL14" i="3" s="1"/>
  <c r="AU1" i="3"/>
  <c r="AT1" i="3"/>
  <c r="AS1" i="3"/>
  <c r="F44" i="2"/>
  <c r="I44" i="2" s="1"/>
  <c r="F43" i="2"/>
  <c r="I43" i="2" s="1"/>
  <c r="F42" i="2"/>
  <c r="I42" i="2" s="1"/>
  <c r="F41" i="2"/>
  <c r="I41" i="2" s="1"/>
  <c r="F40" i="2"/>
  <c r="I40" i="2" s="1"/>
  <c r="F39" i="2"/>
  <c r="I39" i="2" s="1"/>
  <c r="F38" i="2"/>
  <c r="I38" i="2" s="1"/>
  <c r="F37" i="2"/>
  <c r="I37" i="2" s="1"/>
  <c r="F36" i="2"/>
  <c r="I36" i="2" s="1"/>
  <c r="F35" i="2"/>
  <c r="I35" i="2" s="1"/>
  <c r="I26" i="2"/>
  <c r="I19" i="1" s="1"/>
  <c r="I25" i="2"/>
  <c r="I18" i="1" s="1"/>
  <c r="I24" i="2"/>
  <c r="I17" i="1" s="1"/>
  <c r="I23" i="2"/>
  <c r="I22" i="2"/>
  <c r="I21" i="2"/>
  <c r="I14" i="1" s="1"/>
  <c r="I17" i="2"/>
  <c r="I16" i="2"/>
  <c r="I15" i="2"/>
  <c r="I18" i="2" s="1"/>
  <c r="I10" i="2"/>
  <c r="F10" i="2"/>
  <c r="C10" i="2"/>
  <c r="F8" i="2"/>
  <c r="C8" i="2"/>
  <c r="F6" i="2"/>
  <c r="C6" i="2"/>
  <c r="F4" i="2"/>
  <c r="C4" i="2"/>
  <c r="F2" i="2"/>
  <c r="C2" i="2"/>
  <c r="I16" i="1"/>
  <c r="F16" i="1"/>
  <c r="I15" i="1"/>
  <c r="F15" i="1"/>
  <c r="I10" i="1"/>
  <c r="F10" i="1"/>
  <c r="F8" i="1"/>
  <c r="C8" i="1"/>
  <c r="F6" i="1"/>
  <c r="C6" i="1"/>
  <c r="F4" i="1"/>
  <c r="C4" i="1"/>
  <c r="F2" i="1"/>
  <c r="C2" i="1"/>
  <c r="AT258" i="3" l="1"/>
  <c r="C27" i="1"/>
  <c r="C20" i="1"/>
  <c r="C21" i="1"/>
  <c r="AS22" i="3"/>
  <c r="C19" i="1"/>
  <c r="AX27" i="3"/>
  <c r="AV27" i="3" s="1"/>
  <c r="AW30" i="3"/>
  <c r="AV30" i="3" s="1"/>
  <c r="BC63" i="3"/>
  <c r="AW347" i="3"/>
  <c r="BC347" i="3" s="1"/>
  <c r="BC350" i="3"/>
  <c r="AW559" i="3"/>
  <c r="BC607" i="3"/>
  <c r="AX768" i="3"/>
  <c r="AW786" i="3"/>
  <c r="BC786" i="3" s="1"/>
  <c r="AX932" i="3"/>
  <c r="AW935" i="3"/>
  <c r="AW956" i="3"/>
  <c r="BC956" i="3" s="1"/>
  <c r="AW978" i="3"/>
  <c r="C28" i="1"/>
  <c r="F28" i="1" s="1"/>
  <c r="AX63" i="3"/>
  <c r="AV63" i="3" s="1"/>
  <c r="BI403" i="3"/>
  <c r="AC403" i="3" s="1"/>
  <c r="I584" i="3"/>
  <c r="AU638" i="3"/>
  <c r="AU801" i="3"/>
  <c r="BF1083" i="3"/>
  <c r="I22" i="1"/>
  <c r="I22" i="3"/>
  <c r="AX34" i="3"/>
  <c r="AV34" i="3" s="1"/>
  <c r="AW38" i="3"/>
  <c r="I50" i="3"/>
  <c r="BC51" i="3"/>
  <c r="AW76" i="3"/>
  <c r="AW98" i="3"/>
  <c r="AW126" i="3"/>
  <c r="AW167" i="3"/>
  <c r="AW181" i="3"/>
  <c r="BC181" i="3" s="1"/>
  <c r="AW219" i="3"/>
  <c r="AV219" i="3" s="1"/>
  <c r="AW251" i="3"/>
  <c r="BC251" i="3" s="1"/>
  <c r="AW255" i="3"/>
  <c r="AV255" i="3" s="1"/>
  <c r="AX319" i="3"/>
  <c r="AV319" i="3" s="1"/>
  <c r="AW342" i="3"/>
  <c r="AX423" i="3"/>
  <c r="AX575" i="3"/>
  <c r="AU584" i="3"/>
  <c r="AS584" i="3"/>
  <c r="AW609" i="3"/>
  <c r="AV609" i="3" s="1"/>
  <c r="AT638" i="3"/>
  <c r="AS801" i="3"/>
  <c r="L1078" i="3"/>
  <c r="AU97" i="3"/>
  <c r="AX17" i="3"/>
  <c r="BC17" i="3" s="1"/>
  <c r="AX38" i="3"/>
  <c r="AW42" i="3"/>
  <c r="AV42" i="3" s="1"/>
  <c r="L50" i="3"/>
  <c r="AX51" i="3"/>
  <c r="AV51" i="3" s="1"/>
  <c r="AX76" i="3"/>
  <c r="I97" i="3"/>
  <c r="AX307" i="3"/>
  <c r="BC307" i="3" s="1"/>
  <c r="AX342" i="3"/>
  <c r="AW344" i="3"/>
  <c r="BC344" i="3" s="1"/>
  <c r="L435" i="3"/>
  <c r="AW485" i="3"/>
  <c r="BC485" i="3" s="1"/>
  <c r="AX573" i="3"/>
  <c r="AX578" i="3"/>
  <c r="AW599" i="3"/>
  <c r="BI605" i="3"/>
  <c r="AE605" i="3" s="1"/>
  <c r="BI614" i="3"/>
  <c r="AE614" i="3" s="1"/>
  <c r="AW637" i="3"/>
  <c r="BI786" i="3"/>
  <c r="AE786" i="3" s="1"/>
  <c r="AW800" i="3"/>
  <c r="AX14" i="3"/>
  <c r="BC14" i="3" s="1"/>
  <c r="BF34" i="3"/>
  <c r="AV46" i="3"/>
  <c r="AW56" i="3"/>
  <c r="AW84" i="3"/>
  <c r="AX259" i="3"/>
  <c r="AV259" i="3" s="1"/>
  <c r="I353" i="3"/>
  <c r="BI417" i="3"/>
  <c r="AC417" i="3" s="1"/>
  <c r="AW502" i="3"/>
  <c r="AW580" i="3"/>
  <c r="AW612" i="3"/>
  <c r="AX670" i="3"/>
  <c r="AW677" i="3"/>
  <c r="AV677" i="3" s="1"/>
  <c r="AW696" i="3"/>
  <c r="AW715" i="3"/>
  <c r="AW719" i="3"/>
  <c r="AW737" i="3"/>
  <c r="AW756" i="3"/>
  <c r="AU767" i="3"/>
  <c r="I1000" i="3"/>
  <c r="AX1068" i="3"/>
  <c r="AV1068" i="3" s="1"/>
  <c r="AW1070" i="3"/>
  <c r="AV1070" i="3" s="1"/>
  <c r="AW1086" i="3"/>
  <c r="AV1086" i="3" s="1"/>
  <c r="AW1092" i="3"/>
  <c r="I13" i="3"/>
  <c r="AX46" i="3"/>
  <c r="AV48" i="3"/>
  <c r="AU50" i="3"/>
  <c r="AV61" i="3"/>
  <c r="AV93" i="3"/>
  <c r="AX410" i="3"/>
  <c r="BC410" i="3" s="1"/>
  <c r="BI568" i="3"/>
  <c r="AE568" i="3" s="1"/>
  <c r="AW583" i="3"/>
  <c r="AW602" i="3"/>
  <c r="BI609" i="3"/>
  <c r="AE609" i="3" s="1"/>
  <c r="AX1070" i="3"/>
  <c r="I258" i="3"/>
  <c r="AV1074" i="3"/>
  <c r="AT13" i="3"/>
  <c r="AX61" i="3"/>
  <c r="BC61" i="3" s="1"/>
  <c r="AX93" i="3"/>
  <c r="BC93" i="3" s="1"/>
  <c r="L564" i="3"/>
  <c r="AV605" i="3"/>
  <c r="AV614" i="3"/>
  <c r="I638" i="3"/>
  <c r="AX1074" i="3"/>
  <c r="AW1083" i="3"/>
  <c r="AV1092" i="3"/>
  <c r="I45" i="2"/>
  <c r="I24" i="1" s="1"/>
  <c r="AU13" i="3"/>
  <c r="AV98" i="3"/>
  <c r="BC98" i="3"/>
  <c r="AV126" i="3"/>
  <c r="BC126" i="3"/>
  <c r="AV167" i="3"/>
  <c r="BC167" i="3"/>
  <c r="AV181" i="3"/>
  <c r="AV20" i="3"/>
  <c r="BC20" i="3"/>
  <c r="BC259" i="3"/>
  <c r="C16" i="1"/>
  <c r="AU258" i="3"/>
  <c r="BC319" i="3"/>
  <c r="BH14" i="3"/>
  <c r="AB14" i="3" s="1"/>
  <c r="BH17" i="3"/>
  <c r="AB17" i="3" s="1"/>
  <c r="BH20" i="3"/>
  <c r="AL23" i="3"/>
  <c r="AU22" i="3" s="1"/>
  <c r="BI98" i="3"/>
  <c r="AC98" i="3" s="1"/>
  <c r="C15" i="1" s="1"/>
  <c r="BI126" i="3"/>
  <c r="AC126" i="3" s="1"/>
  <c r="BI167" i="3"/>
  <c r="AC167" i="3" s="1"/>
  <c r="BI181" i="3"/>
  <c r="AC181" i="3" s="1"/>
  <c r="BI219" i="3"/>
  <c r="AC219" i="3" s="1"/>
  <c r="BI251" i="3"/>
  <c r="AC251" i="3" s="1"/>
  <c r="BI255" i="3"/>
  <c r="AC255" i="3" s="1"/>
  <c r="BH259" i="3"/>
  <c r="AB259" i="3" s="1"/>
  <c r="BH307" i="3"/>
  <c r="AB307" i="3" s="1"/>
  <c r="BH319" i="3"/>
  <c r="AB319" i="3" s="1"/>
  <c r="AL344" i="3"/>
  <c r="AV407" i="3"/>
  <c r="BH413" i="3"/>
  <c r="AB413" i="3" s="1"/>
  <c r="AW413" i="3"/>
  <c r="AV573" i="3"/>
  <c r="BC573" i="3"/>
  <c r="BH573" i="3"/>
  <c r="AD573" i="3" s="1"/>
  <c r="AV350" i="3"/>
  <c r="BI350" i="3"/>
  <c r="AC350" i="3" s="1"/>
  <c r="BH354" i="3"/>
  <c r="AB354" i="3" s="1"/>
  <c r="BH388" i="3"/>
  <c r="AB388" i="3" s="1"/>
  <c r="BH407" i="3"/>
  <c r="AB407" i="3" s="1"/>
  <c r="BI413" i="3"/>
  <c r="AC413" i="3" s="1"/>
  <c r="BI420" i="3"/>
  <c r="AC420" i="3" s="1"/>
  <c r="AU435" i="3"/>
  <c r="AU567" i="3"/>
  <c r="BI570" i="3"/>
  <c r="AE570" i="3" s="1"/>
  <c r="AU572" i="3"/>
  <c r="AV575" i="3"/>
  <c r="BC575" i="3"/>
  <c r="BH575" i="3"/>
  <c r="AD575" i="3" s="1"/>
  <c r="AT584" i="3"/>
  <c r="F14" i="1"/>
  <c r="F22" i="1" s="1"/>
  <c r="BC23" i="3"/>
  <c r="BC34" i="3"/>
  <c r="BC38" i="3"/>
  <c r="BC42" i="3"/>
  <c r="BC46" i="3"/>
  <c r="BC48" i="3"/>
  <c r="BI347" i="3"/>
  <c r="AC347" i="3" s="1"/>
  <c r="AU353" i="3"/>
  <c r="AX354" i="3"/>
  <c r="BC354" i="3" s="1"/>
  <c r="AV373" i="3"/>
  <c r="AX388" i="3"/>
  <c r="AV388" i="3" s="1"/>
  <c r="AV403" i="3"/>
  <c r="AX407" i="3"/>
  <c r="BF423" i="3"/>
  <c r="L422" i="3"/>
  <c r="BC535" i="3"/>
  <c r="BC555" i="3"/>
  <c r="BF573" i="3"/>
  <c r="L572" i="3"/>
  <c r="I27" i="2"/>
  <c r="F29" i="2" s="1"/>
  <c r="L13" i="3"/>
  <c r="L258" i="3"/>
  <c r="AV344" i="3"/>
  <c r="BF354" i="3"/>
  <c r="L353" i="3"/>
  <c r="BH373" i="3"/>
  <c r="AB373" i="3" s="1"/>
  <c r="BH403" i="3"/>
  <c r="AB403" i="3" s="1"/>
  <c r="BC407" i="3"/>
  <c r="BH410" i="3"/>
  <c r="AB410" i="3" s="1"/>
  <c r="AV423" i="3"/>
  <c r="BC423" i="3"/>
  <c r="BH423" i="3"/>
  <c r="AB423" i="3" s="1"/>
  <c r="AV427" i="3"/>
  <c r="BC427" i="3"/>
  <c r="BH427" i="3"/>
  <c r="AB427" i="3" s="1"/>
  <c r="AV431" i="3"/>
  <c r="BC431" i="3"/>
  <c r="BH431" i="3"/>
  <c r="AB431" i="3" s="1"/>
  <c r="I435" i="3"/>
  <c r="AV578" i="3"/>
  <c r="BC578" i="3"/>
  <c r="BH578" i="3"/>
  <c r="I579" i="3"/>
  <c r="AV622" i="3"/>
  <c r="AX436" i="3"/>
  <c r="AV436" i="3" s="1"/>
  <c r="AX455" i="3"/>
  <c r="BC455" i="3" s="1"/>
  <c r="AX473" i="3"/>
  <c r="AV473" i="3" s="1"/>
  <c r="AX485" i="3"/>
  <c r="AX502" i="3"/>
  <c r="AV502" i="3" s="1"/>
  <c r="AX520" i="3"/>
  <c r="AV520" i="3" s="1"/>
  <c r="AX535" i="3"/>
  <c r="AV535" i="3" s="1"/>
  <c r="AX540" i="3"/>
  <c r="AV540" i="3" s="1"/>
  <c r="AX545" i="3"/>
  <c r="AV545" i="3" s="1"/>
  <c r="AX550" i="3"/>
  <c r="BC550" i="3" s="1"/>
  <c r="AX555" i="3"/>
  <c r="AV555" i="3" s="1"/>
  <c r="AX559" i="3"/>
  <c r="AV559" i="3" s="1"/>
  <c r="AX563" i="3"/>
  <c r="AV563" i="3" s="1"/>
  <c r="AW565" i="3"/>
  <c r="AX580" i="3"/>
  <c r="AV580" i="3" s="1"/>
  <c r="AX583" i="3"/>
  <c r="AV583" i="3" s="1"/>
  <c r="L584" i="3"/>
  <c r="AW585" i="3"/>
  <c r="AW588" i="3"/>
  <c r="AW590" i="3"/>
  <c r="AW592" i="3"/>
  <c r="AW594" i="3"/>
  <c r="AW597" i="3"/>
  <c r="AV607" i="3"/>
  <c r="BI607" i="3"/>
  <c r="AE607" i="3" s="1"/>
  <c r="AW417" i="3"/>
  <c r="AW420" i="3"/>
  <c r="I422" i="3"/>
  <c r="AX565" i="3"/>
  <c r="L567" i="3"/>
  <c r="AW568" i="3"/>
  <c r="AW570" i="3"/>
  <c r="I572" i="3"/>
  <c r="AX585" i="3"/>
  <c r="AX588" i="3"/>
  <c r="AX590" i="3"/>
  <c r="AX592" i="3"/>
  <c r="AX594" i="3"/>
  <c r="AX597" i="3"/>
  <c r="AV719" i="3"/>
  <c r="AV737" i="3"/>
  <c r="AX677" i="3"/>
  <c r="AX696" i="3"/>
  <c r="AV696" i="3" s="1"/>
  <c r="AX715" i="3"/>
  <c r="AV715" i="3" s="1"/>
  <c r="AX719" i="3"/>
  <c r="AX737" i="3"/>
  <c r="AX756" i="3"/>
  <c r="AV756" i="3" s="1"/>
  <c r="AX766" i="3"/>
  <c r="AV766" i="3" s="1"/>
  <c r="L767" i="3"/>
  <c r="AW768" i="3"/>
  <c r="AW782" i="3"/>
  <c r="BI782" i="3"/>
  <c r="AE782" i="3" s="1"/>
  <c r="BI821" i="3"/>
  <c r="AE821" i="3" s="1"/>
  <c r="AV1076" i="3"/>
  <c r="BC1076" i="3"/>
  <c r="BC1092" i="3"/>
  <c r="BC677" i="3"/>
  <c r="BC696" i="3"/>
  <c r="BC715" i="3"/>
  <c r="BC719" i="3"/>
  <c r="BC737" i="3"/>
  <c r="BC756" i="3"/>
  <c r="BC766" i="3"/>
  <c r="BI840" i="3"/>
  <c r="AE840" i="3" s="1"/>
  <c r="AX615" i="3"/>
  <c r="BC615" i="3" s="1"/>
  <c r="AX617" i="3"/>
  <c r="BC617" i="3" s="1"/>
  <c r="AX620" i="3"/>
  <c r="BC620" i="3" s="1"/>
  <c r="AX622" i="3"/>
  <c r="BC622" i="3" s="1"/>
  <c r="AX625" i="3"/>
  <c r="BC625" i="3" s="1"/>
  <c r="AX627" i="3"/>
  <c r="BC627" i="3" s="1"/>
  <c r="AX629" i="3"/>
  <c r="BC629" i="3" s="1"/>
  <c r="AX631" i="3"/>
  <c r="BC631" i="3" s="1"/>
  <c r="AX633" i="3"/>
  <c r="BC633" i="3" s="1"/>
  <c r="AX635" i="3"/>
  <c r="BC635" i="3" s="1"/>
  <c r="AX637" i="3"/>
  <c r="BC637" i="3" s="1"/>
  <c r="L638" i="3"/>
  <c r="AW639" i="3"/>
  <c r="AW670" i="3"/>
  <c r="AW672" i="3"/>
  <c r="AW675" i="3"/>
  <c r="I676" i="3"/>
  <c r="BI844" i="3"/>
  <c r="AE844" i="3" s="1"/>
  <c r="AX844" i="3"/>
  <c r="AX935" i="3"/>
  <c r="AX956" i="3"/>
  <c r="AX978" i="3"/>
  <c r="AV978" i="3" s="1"/>
  <c r="L1000" i="3"/>
  <c r="AW1001" i="3"/>
  <c r="I1032" i="3"/>
  <c r="BH1076" i="3"/>
  <c r="AF1076" i="3" s="1"/>
  <c r="C18" i="1" s="1"/>
  <c r="BC1080" i="3"/>
  <c r="BI1080" i="3"/>
  <c r="AL1083" i="3"/>
  <c r="AU1082" i="3" s="1"/>
  <c r="BI1086" i="3"/>
  <c r="AL1089" i="3"/>
  <c r="AU1088" i="3" s="1"/>
  <c r="AW1089" i="3"/>
  <c r="BI1092" i="3"/>
  <c r="AX800" i="3"/>
  <c r="L801" i="3"/>
  <c r="AW802" i="3"/>
  <c r="AW821" i="3"/>
  <c r="AW840" i="3"/>
  <c r="AW844" i="3"/>
  <c r="AW858" i="3"/>
  <c r="AW872" i="3"/>
  <c r="AW898" i="3"/>
  <c r="AW911" i="3"/>
  <c r="AW930" i="3"/>
  <c r="I931" i="3"/>
  <c r="AX1001" i="3"/>
  <c r="L1032" i="3"/>
  <c r="AW1033" i="3"/>
  <c r="I1065" i="3"/>
  <c r="BC1072" i="3"/>
  <c r="BC1074" i="3"/>
  <c r="I1079" i="3"/>
  <c r="AX1083" i="3"/>
  <c r="BC1083" i="3" s="1"/>
  <c r="I1085" i="3"/>
  <c r="AX1089" i="3"/>
  <c r="I1091" i="3"/>
  <c r="AX858" i="3"/>
  <c r="AX872" i="3"/>
  <c r="AX898" i="3"/>
  <c r="AX911" i="3"/>
  <c r="AX930" i="3"/>
  <c r="L931" i="3"/>
  <c r="AW932" i="3"/>
  <c r="I934" i="3"/>
  <c r="AX1033" i="3"/>
  <c r="L1065" i="3"/>
  <c r="AW1066" i="3"/>
  <c r="I1067" i="3"/>
  <c r="AV307" i="3" l="1"/>
  <c r="AV17" i="3"/>
  <c r="AV14" i="3"/>
  <c r="BC84" i="3"/>
  <c r="AV84" i="3"/>
  <c r="BC27" i="3"/>
  <c r="AV251" i="3"/>
  <c r="AV612" i="3"/>
  <c r="BC612" i="3"/>
  <c r="AV635" i="3"/>
  <c r="BC388" i="3"/>
  <c r="AV354" i="3"/>
  <c r="BC219" i="3"/>
  <c r="AV602" i="3"/>
  <c r="BC602" i="3"/>
  <c r="AV599" i="3"/>
  <c r="BC599" i="3"/>
  <c r="BC502" i="3"/>
  <c r="BC255" i="3"/>
  <c r="AV38" i="3"/>
  <c r="C17" i="1"/>
  <c r="BC1070" i="3"/>
  <c r="AV956" i="3"/>
  <c r="BC1068" i="3"/>
  <c r="BC935" i="3"/>
  <c r="AV631" i="3"/>
  <c r="BC559" i="3"/>
  <c r="BC583" i="3"/>
  <c r="AV410" i="3"/>
  <c r="BC342" i="3"/>
  <c r="AV342" i="3"/>
  <c r="AV485" i="3"/>
  <c r="AV617" i="3"/>
  <c r="BC609" i="3"/>
  <c r="BC473" i="3"/>
  <c r="BC30" i="3"/>
  <c r="AV347" i="3"/>
  <c r="BC56" i="3"/>
  <c r="AV56" i="3"/>
  <c r="BC1086" i="3"/>
  <c r="AV786" i="3"/>
  <c r="AV627" i="3"/>
  <c r="BC76" i="3"/>
  <c r="AV76" i="3"/>
  <c r="I1095" i="3"/>
  <c r="I1078" i="3"/>
  <c r="I12" i="3"/>
  <c r="BC872" i="3"/>
  <c r="AV872" i="3"/>
  <c r="AV821" i="3"/>
  <c r="BC821" i="3"/>
  <c r="AV672" i="3"/>
  <c r="BC672" i="3"/>
  <c r="BC594" i="3"/>
  <c r="AV594" i="3"/>
  <c r="BC585" i="3"/>
  <c r="AV585" i="3"/>
  <c r="BC565" i="3"/>
  <c r="AV565" i="3"/>
  <c r="AV550" i="3"/>
  <c r="AV455" i="3"/>
  <c r="AV413" i="3"/>
  <c r="BC413" i="3"/>
  <c r="AV1066" i="3"/>
  <c r="BC1066" i="3"/>
  <c r="AV932" i="3"/>
  <c r="BC932" i="3"/>
  <c r="BC978" i="3"/>
  <c r="BC930" i="3"/>
  <c r="AV930" i="3"/>
  <c r="BC858" i="3"/>
  <c r="AV858" i="3"/>
  <c r="AV802" i="3"/>
  <c r="BC802" i="3"/>
  <c r="AV1089" i="3"/>
  <c r="BC1089" i="3"/>
  <c r="AV1083" i="3"/>
  <c r="AV670" i="3"/>
  <c r="BC670" i="3"/>
  <c r="AV782" i="3"/>
  <c r="BC782" i="3"/>
  <c r="AV637" i="3"/>
  <c r="AV570" i="3"/>
  <c r="BC570" i="3"/>
  <c r="BC592" i="3"/>
  <c r="AV592" i="3"/>
  <c r="AV629" i="3"/>
  <c r="AV620" i="3"/>
  <c r="BC563" i="3"/>
  <c r="BC520" i="3"/>
  <c r="BC580" i="3"/>
  <c r="BC1033" i="3"/>
  <c r="AV1033" i="3"/>
  <c r="BC911" i="3"/>
  <c r="AV911" i="3"/>
  <c r="BC844" i="3"/>
  <c r="AV844" i="3"/>
  <c r="AV935" i="3"/>
  <c r="AV639" i="3"/>
  <c r="BC639" i="3"/>
  <c r="AV768" i="3"/>
  <c r="BC768" i="3"/>
  <c r="AV568" i="3"/>
  <c r="BC568" i="3"/>
  <c r="AV420" i="3"/>
  <c r="BC420" i="3"/>
  <c r="BC590" i="3"/>
  <c r="AV590" i="3"/>
  <c r="BC540" i="3"/>
  <c r="L12" i="3"/>
  <c r="BC545" i="3"/>
  <c r="BC436" i="3"/>
  <c r="AV1001" i="3"/>
  <c r="BC1001" i="3"/>
  <c r="BC898" i="3"/>
  <c r="AV898" i="3"/>
  <c r="AV840" i="3"/>
  <c r="BC840" i="3"/>
  <c r="BC800" i="3"/>
  <c r="AV800" i="3"/>
  <c r="AV675" i="3"/>
  <c r="BC675" i="3"/>
  <c r="AV417" i="3"/>
  <c r="BC417" i="3"/>
  <c r="BC597" i="3"/>
  <c r="AV597" i="3"/>
  <c r="BC588" i="3"/>
  <c r="AV588" i="3"/>
  <c r="AV633" i="3"/>
  <c r="AV625" i="3"/>
  <c r="AV615" i="3"/>
  <c r="C14" i="1"/>
  <c r="C29" i="1"/>
  <c r="C22" i="1" l="1"/>
  <c r="F29" i="1"/>
  <c r="I28" i="1"/>
  <c r="I29" i="1" l="1"/>
</calcChain>
</file>

<file path=xl/sharedStrings.xml><?xml version="1.0" encoding="utf-8"?>
<sst xmlns="http://schemas.openxmlformats.org/spreadsheetml/2006/main" count="4025" uniqueCount="1133">
  <si>
    <t>Krycí list slepého rozpočtu</t>
  </si>
  <si>
    <t>Název stavby:</t>
  </si>
  <si>
    <t>Objednatel:</t>
  </si>
  <si>
    <t>IČO/DIČ:</t>
  </si>
  <si>
    <t/>
  </si>
  <si>
    <t>Druh stavby:</t>
  </si>
  <si>
    <t>Projektant:</t>
  </si>
  <si>
    <t>Lokalita:</t>
  </si>
  <si>
    <t>Zhotovitel:</t>
  </si>
  <si>
    <t>Začátek výstavby:</t>
  </si>
  <si>
    <t>Konec výstavby:</t>
  </si>
  <si>
    <t>Položek:</t>
  </si>
  <si>
    <t>JKSO:</t>
  </si>
  <si>
    <t>Zpracoval:</t>
  </si>
  <si>
    <t>Datum:</t>
  </si>
  <si>
    <t>Rozpočtové náklady v Kč</t>
  </si>
  <si>
    <t>A</t>
  </si>
  <si>
    <t>Základní rozpočtové náklady</t>
  </si>
  <si>
    <t>B</t>
  </si>
  <si>
    <t>Doplňkové náklady</t>
  </si>
  <si>
    <t>C</t>
  </si>
  <si>
    <t>Náklady na umístění stavby (NUS)</t>
  </si>
  <si>
    <t>HSV</t>
  </si>
  <si>
    <t>Dodávky</t>
  </si>
  <si>
    <t>Práce přesčas</t>
  </si>
  <si>
    <t>Zařízení staveniště</t>
  </si>
  <si>
    <t>Montáž</t>
  </si>
  <si>
    <t>Bez pevné podl.</t>
  </si>
  <si>
    <t>Mimostav. doprava</t>
  </si>
  <si>
    <t>PSV</t>
  </si>
  <si>
    <t>Kulturní památka</t>
  </si>
  <si>
    <t>Územní vlivy</t>
  </si>
  <si>
    <t>Provozní vlivy</t>
  </si>
  <si>
    <t>"M"</t>
  </si>
  <si>
    <t>Ostatní</t>
  </si>
  <si>
    <t>NUS z rozpočtu</t>
  </si>
  <si>
    <t>Ostatní materiál</t>
  </si>
  <si>
    <t>Přesun hmot a sutí</t>
  </si>
  <si>
    <t>ZRN celkem</t>
  </si>
  <si>
    <t>DN celkem</t>
  </si>
  <si>
    <t>NUS celkem</t>
  </si>
  <si>
    <t>DN celkem z obj.</t>
  </si>
  <si>
    <t>NUS celkem z obj.</t>
  </si>
  <si>
    <t>VORN celkem</t>
  </si>
  <si>
    <t>VORN celkem z obj.</t>
  </si>
  <si>
    <t>Základ 0%</t>
  </si>
  <si>
    <t>Základ 12%</t>
  </si>
  <si>
    <t>DPH 12%</t>
  </si>
  <si>
    <t>Celkem bez DPH</t>
  </si>
  <si>
    <t>Základ 21%</t>
  </si>
  <si>
    <t>DPH 21%</t>
  </si>
  <si>
    <t>Celkem včetně DPH</t>
  </si>
  <si>
    <t>Projektant</t>
  </si>
  <si>
    <t>Objednatel</t>
  </si>
  <si>
    <t>Zhotovitel</t>
  </si>
  <si>
    <t>Datum, razítko a podpis</t>
  </si>
  <si>
    <t>Poznámka:</t>
  </si>
  <si>
    <t>Vedlejší a ostatní rozpočtové náklady</t>
  </si>
  <si>
    <t>Vedlejší rozpočtové náklady VRN</t>
  </si>
  <si>
    <t>Doplňkové náklady DN</t>
  </si>
  <si>
    <t>Kč</t>
  </si>
  <si>
    <t>%</t>
  </si>
  <si>
    <t>Základna</t>
  </si>
  <si>
    <t>Celkem DN</t>
  </si>
  <si>
    <t>Celkem NUS</t>
  </si>
  <si>
    <t>Celkem VRN</t>
  </si>
  <si>
    <t>Vedlejší a ostatní rozpočtové náklady VORN</t>
  </si>
  <si>
    <t>Ostatní rozpočtové náklady (VORN)</t>
  </si>
  <si>
    <t>Průzkumy, geodetické a projektové práce</t>
  </si>
  <si>
    <t>Příprava staveniště</t>
  </si>
  <si>
    <t>Inženýrské činnosti</t>
  </si>
  <si>
    <t>Finanční náklady</t>
  </si>
  <si>
    <t>Náklady na pracovníky</t>
  </si>
  <si>
    <t>Ostatní náklady</t>
  </si>
  <si>
    <t>Vlastní VORN</t>
  </si>
  <si>
    <t>Celkem VORN</t>
  </si>
  <si>
    <t>Slepý stavební rozpočet</t>
  </si>
  <si>
    <t>Doba výstavby:</t>
  </si>
  <si>
    <t xml:space="preserve"> </t>
  </si>
  <si>
    <t> </t>
  </si>
  <si>
    <t>Rekonstrukce ORL</t>
  </si>
  <si>
    <t>nemocnice Nymburk</t>
  </si>
  <si>
    <t>Zpracováno dne:</t>
  </si>
  <si>
    <t>30.08.2024</t>
  </si>
  <si>
    <t>Č</t>
  </si>
  <si>
    <t>Objekt</t>
  </si>
  <si>
    <t>Kód</t>
  </si>
  <si>
    <t>Zkrácený popis</t>
  </si>
  <si>
    <t>MJ</t>
  </si>
  <si>
    <t>Množství</t>
  </si>
  <si>
    <t>Cena/MJ</t>
  </si>
  <si>
    <t>Náklady (Kč)</t>
  </si>
  <si>
    <t>Hmotnost (t)</t>
  </si>
  <si>
    <t>Cenová</t>
  </si>
  <si>
    <t>ISWORK</t>
  </si>
  <si>
    <t>GROUPCODE</t>
  </si>
  <si>
    <t>VATTAX</t>
  </si>
  <si>
    <t>Rozměry</t>
  </si>
  <si>
    <t>(Kč)</t>
  </si>
  <si>
    <t>Celkem</t>
  </si>
  <si>
    <t>Demont.</t>
  </si>
  <si>
    <t>Jednot.</t>
  </si>
  <si>
    <t>soustava</t>
  </si>
  <si>
    <t>Přesuny</t>
  </si>
  <si>
    <t>Typ skupiny</t>
  </si>
  <si>
    <t>HSV mat</t>
  </si>
  <si>
    <t>HSV prac</t>
  </si>
  <si>
    <t>PSV mat</t>
  </si>
  <si>
    <t>PSV prac</t>
  </si>
  <si>
    <t>Mont mat</t>
  </si>
  <si>
    <t>Mont prac</t>
  </si>
  <si>
    <t>Ostatní mat.</t>
  </si>
  <si>
    <t>MAT</t>
  </si>
  <si>
    <t>WORK</t>
  </si>
  <si>
    <t>CELK</t>
  </si>
  <si>
    <t>Nezařazeno</t>
  </si>
  <si>
    <t>17</t>
  </si>
  <si>
    <t>Konstrukce ze zemin</t>
  </si>
  <si>
    <t>1</t>
  </si>
  <si>
    <t>174101102R00</t>
  </si>
  <si>
    <t>Zásyp ruční se zhutněním</t>
  </si>
  <si>
    <t>m3</t>
  </si>
  <si>
    <t>RTS I / 2024</t>
  </si>
  <si>
    <t>17_</t>
  </si>
  <si>
    <t>_1_</t>
  </si>
  <si>
    <t>_</t>
  </si>
  <si>
    <t>63,04*0,8*0,8</t>
  </si>
  <si>
    <t>RTS komentář:</t>
  </si>
  <si>
    <t>Položka obsahuje přemístění materiálu pro zásyp ze vzdálenosti do 15 m od hrany zasypávaného prostoru - bez použití strojů. Položka je určena pro sypané konstrukce vyplňující prostor pod úrovní terénu v prostorách, kde není možné použít těžkou mechanizaci</t>
  </si>
  <si>
    <t>2</t>
  </si>
  <si>
    <t>583423631</t>
  </si>
  <si>
    <t>Kamenivo drcené 0/63</t>
  </si>
  <si>
    <t>t</t>
  </si>
  <si>
    <t>(63,04*0,6*0,8)*1,6</t>
  </si>
  <si>
    <t>kamenivo pro úpravu stavebních plání, pro obsypy, zásypy, zahradní architekturu apod</t>
  </si>
  <si>
    <t>3</t>
  </si>
  <si>
    <t>979095</t>
  </si>
  <si>
    <t>Doprava kameniva s naložením a složením</t>
  </si>
  <si>
    <t>kpl</t>
  </si>
  <si>
    <t>5</t>
  </si>
  <si>
    <t>31</t>
  </si>
  <si>
    <t>Zdi podpěrné a volné</t>
  </si>
  <si>
    <t>4</t>
  </si>
  <si>
    <t>317100011RAX</t>
  </si>
  <si>
    <t>Dodatečná montáž překladu, otvor šířky do 105 cm</t>
  </si>
  <si>
    <t>kus</t>
  </si>
  <si>
    <t>31_</t>
  </si>
  <si>
    <t>_3_</t>
  </si>
  <si>
    <t>vybourání rýhy, osazení překladu</t>
  </si>
  <si>
    <t>A.001-A.002</t>
  </si>
  <si>
    <t>V položce není kalkulována dodávka překladu a poplatek za skládku pro vybouranou suť. Tyto náklady se oceňují individuálně podle místních podmínek, Orientační hmotnost vybouraných konstrukcí je 0,064 t/kus konstrukce</t>
  </si>
  <si>
    <t>59321898</t>
  </si>
  <si>
    <t>Překlad pórobetonový NEP 100-1250 nenosný, 1250 x 100 x 249 mm</t>
  </si>
  <si>
    <t>Pórobetonový prvek P4,4-600 vyztužený konstrukční výztuží pro překlenutí otvorů v nenosných dělicích příčkách a ve výplňových nenosných stěnách.  Je zakázané překlady zkracovat a jinak upravovat jejich průřezy. Potřebná menší světlost otvoru se dosáhne větším uložením překladu. Překlady se kladou do maltového lože (Ytong zdicí malta)</t>
  </si>
  <si>
    <t>6</t>
  </si>
  <si>
    <t>3112711</t>
  </si>
  <si>
    <t>Zazdívka otvorů z tvárnic termoizolačních tl.375</t>
  </si>
  <si>
    <t>m2</t>
  </si>
  <si>
    <t>vč.nerezové výztuže do spár, původní a novodobé zdivo</t>
  </si>
  <si>
    <t>2,06*1,49*4</t>
  </si>
  <si>
    <t xml:space="preserve"> zazdívka okna 4ks</t>
  </si>
  <si>
    <t>V položce jsou započteny i náklady na pomocné lešení o výšce podlahy do 1,90 m a pro zatížení do 1,5 kPa.</t>
  </si>
  <si>
    <t>7</t>
  </si>
  <si>
    <t>317120010RAI</t>
  </si>
  <si>
    <t>Osazení překladů L-profil, otvor šířky do 125 cm</t>
  </si>
  <si>
    <t>bez dodávky - překlad ve specifikaci</t>
  </si>
  <si>
    <t>14</t>
  </si>
  <si>
    <t>PŘ.06</t>
  </si>
  <si>
    <t>PŘ.07</t>
  </si>
  <si>
    <t>8</t>
  </si>
  <si>
    <t>15411695</t>
  </si>
  <si>
    <t>Profil L rovnoramenný S235JR 40/40 x 4 mm</t>
  </si>
  <si>
    <t>14*1,4*2,42/1000</t>
  </si>
  <si>
    <t>2*1,7*2,42/1000</t>
  </si>
  <si>
    <t>Profilová ocel tvářená za studena otevřeného tvaru L dle ČSN 42 6949, ČSN 42 0121, ČSN 41 1373.0  S235JR (1.0038) dle EN 10025-2 Obdobná: 11 375  hmotnost 2,42 kg/m</t>
  </si>
  <si>
    <t>9</t>
  </si>
  <si>
    <t>346481111RT2</t>
  </si>
  <si>
    <t>Zaplentování rýh, nosníků rabicovým pletivem</t>
  </si>
  <si>
    <t>s použitím suché maltové směsi</t>
  </si>
  <si>
    <t>(0,12+0,05+0,12+0,05+0,05)*1,4*14</t>
  </si>
  <si>
    <t>V položce jsou zakalkulovány i náklady na pomocné lešení o výšce do 1,9 m a pro zatížení do 1,5 kPa</t>
  </si>
  <si>
    <t>10</t>
  </si>
  <si>
    <t>317120033RA0</t>
  </si>
  <si>
    <t>Překlad nenosný</t>
  </si>
  <si>
    <t>11</t>
  </si>
  <si>
    <t>59321899</t>
  </si>
  <si>
    <t>Překlad pórobetonový 125-2500 nenosný, 2500 x 125 x 249 mm</t>
  </si>
  <si>
    <t>34</t>
  </si>
  <si>
    <t>Stěny a příčky</t>
  </si>
  <si>
    <t>12</t>
  </si>
  <si>
    <t>34227004</t>
  </si>
  <si>
    <t>Příčka z desek pórobetonových, tloušťka 150 mm</t>
  </si>
  <si>
    <t>34_</t>
  </si>
  <si>
    <t>7,19*2,9-0,7*1,97</t>
  </si>
  <si>
    <t>A.001-A.002abc příčka</t>
  </si>
  <si>
    <t>8,29*2,9</t>
  </si>
  <si>
    <t>A.05a,b příčka 150</t>
  </si>
  <si>
    <t>7,13*2,9</t>
  </si>
  <si>
    <t>A.08a,b příčka 150</t>
  </si>
  <si>
    <t>2,71*2,9</t>
  </si>
  <si>
    <t>A.014 příčka 150</t>
  </si>
  <si>
    <t>13</t>
  </si>
  <si>
    <t>342270043RAA</t>
  </si>
  <si>
    <t>Příčka z desek pórobeton., tloušťka 125 mm</t>
  </si>
  <si>
    <t>11,25*2,9-1*1,97</t>
  </si>
  <si>
    <t>A.010-A.010a,A.011-příčka 125</t>
  </si>
  <si>
    <t>0,85*2,9</t>
  </si>
  <si>
    <t>A.012 příčka 125</t>
  </si>
  <si>
    <t>5,03*2,9-1*1,97</t>
  </si>
  <si>
    <t>A.014 příčka 125</t>
  </si>
  <si>
    <t>6,93*2,9</t>
  </si>
  <si>
    <t>A.028a-A.028b příčka 125</t>
  </si>
  <si>
    <t>342270041RA0</t>
  </si>
  <si>
    <t>Příčka z desek pórobetonových, tloušťka 7,5 cm</t>
  </si>
  <si>
    <t>0,89*2,9</t>
  </si>
  <si>
    <t>A.02b stoupačka</t>
  </si>
  <si>
    <t>15</t>
  </si>
  <si>
    <t>342948112R00</t>
  </si>
  <si>
    <t>Ukotvení příček</t>
  </si>
  <si>
    <t>m</t>
  </si>
  <si>
    <t>8,02</t>
  </si>
  <si>
    <t>A.02a,b,c-ukotvení příček</t>
  </si>
  <si>
    <t>5,30</t>
  </si>
  <si>
    <t>A.004 akustická příčka 120</t>
  </si>
  <si>
    <t>8,29</t>
  </si>
  <si>
    <t>7,13</t>
  </si>
  <si>
    <t>4,98</t>
  </si>
  <si>
    <t>A.009 akustická příčka 120 PU.1</t>
  </si>
  <si>
    <t>11,25</t>
  </si>
  <si>
    <t>0,85</t>
  </si>
  <si>
    <t>5,03</t>
  </si>
  <si>
    <t>2,71</t>
  </si>
  <si>
    <t>4,90</t>
  </si>
  <si>
    <t>A.028 akustická příčka 120</t>
  </si>
  <si>
    <t>6,93</t>
  </si>
  <si>
    <t>V položkách jsou zakalkulovány náklady na kotvu z nerez oceli a osazení kotvy.</t>
  </si>
  <si>
    <t>16</t>
  </si>
  <si>
    <t>34224817</t>
  </si>
  <si>
    <t>Příčky porobeton akustické, tl. 120 mm</t>
  </si>
  <si>
    <t>5,56*2,9-1*1,97</t>
  </si>
  <si>
    <t>A.002-A.003 akustická příčka 120 - oboustran.om.</t>
  </si>
  <si>
    <t>5,30*2,9-1*1,97</t>
  </si>
  <si>
    <t>5,57*2,9-1*1,97</t>
  </si>
  <si>
    <t>A.006-A.005 příčka akustická PU.1</t>
  </si>
  <si>
    <t>A.007-A.08 akustická příčka PU.1</t>
  </si>
  <si>
    <t>4,98*2,9-1*1,97</t>
  </si>
  <si>
    <t>4,90*2,9</t>
  </si>
  <si>
    <t>Položky obsahují náklady na očištění podkladu pro zdivo, navlhčení podkladu a tvárnic vodou, položení zakládací malty pod ložnou plochu s použitím nivelačního přístroje a vyrovnávací soupravy, kladení tvárnic na pero a drážku včetně maltování ložné spáry tenkovrstvou maltou, krácení tvárnic, provážení svisle olovnicí, dotažení příček pod stropní konstrukci. Ztratné cihel je kalkulováno ve výši 2 %</t>
  </si>
  <si>
    <t>34224116</t>
  </si>
  <si>
    <t>Zazdívka cihel plných pálených 290 mm,  tl. 65 mm</t>
  </si>
  <si>
    <t>1,79*2,55</t>
  </si>
  <si>
    <t>A.02b-zazdívka plná cihla</t>
  </si>
  <si>
    <t>1,10*2,65</t>
  </si>
  <si>
    <t>A.004-A.005 do A.026 zazdívka plná cihla</t>
  </si>
  <si>
    <t>1,1*2,65</t>
  </si>
  <si>
    <t>A.08a zazdívka plná cihla</t>
  </si>
  <si>
    <t>2,18*0,89</t>
  </si>
  <si>
    <t>A.009-A.010 zazdívka</t>
  </si>
  <si>
    <t>1*2</t>
  </si>
  <si>
    <t>A.012 zazdívka</t>
  </si>
  <si>
    <t>0,9*2</t>
  </si>
  <si>
    <t>A.014 zazdívka</t>
  </si>
  <si>
    <t>1,21*2,15</t>
  </si>
  <si>
    <t>A.028b zazdívka</t>
  </si>
  <si>
    <t>V položce jsou zakalkulovány náklady na pomocné pracovní lešení o výšce podlahy do 1900 mm a pro zatížení do 1,5 kPa</t>
  </si>
  <si>
    <t>18</t>
  </si>
  <si>
    <t>342013226R00</t>
  </si>
  <si>
    <t>Příčka SDK tl.125 mm,ocel.kce,2x oplášť.,MAI 12,5 mm</t>
  </si>
  <si>
    <t>5,30*2,9</t>
  </si>
  <si>
    <t>A.003 omítka PU.4+SDK-příčka</t>
  </si>
  <si>
    <t>5,27*2,9</t>
  </si>
  <si>
    <t>A.006-A.007 SDK příčka PU.4</t>
  </si>
  <si>
    <t>Příčka sádrokartonová Rigips, systém SK14 (odpovídá W112), jednoduchá ocelová konstrukce, 2x opláštěná, tl. 127 mm, s minerální izolací tl. 80 mm, desky akustické protipožární impregnované MAI (DFH2)  tl. 12,5 mm. Požární odolnost EI 90. Vzduchová neprůzvučnost Rw 60 dB. Maximální výška stěny v kategorii A je 5800 mm, v kat. C a D 5200 mm.  3.40.05 M</t>
  </si>
  <si>
    <t>60</t>
  </si>
  <si>
    <t>Omítky ze suchých směsí</t>
  </si>
  <si>
    <t>19</t>
  </si>
  <si>
    <t>60202110</t>
  </si>
  <si>
    <t>Přednástřik stěn cement.100 % krytí, ručně</t>
  </si>
  <si>
    <t>60_</t>
  </si>
  <si>
    <t>_6_</t>
  </si>
  <si>
    <t>varianta 25mm</t>
  </si>
  <si>
    <t>-2*0,97-0,8*1,97</t>
  </si>
  <si>
    <t>A.001-vstup+A.001-A.02a vstup</t>
  </si>
  <si>
    <t>17,62*2,65-8,75*2,65-2,4*0,6</t>
  </si>
  <si>
    <t>A.001-(-sanační systém)</t>
  </si>
  <si>
    <t>4,00*2,65-1,1*2</t>
  </si>
  <si>
    <t>A.003-omítka  PU.2</t>
  </si>
  <si>
    <t>3,87-1,1*2</t>
  </si>
  <si>
    <t>A.004 PU.2</t>
  </si>
  <si>
    <t>15,79*2,55-1*1,97*2</t>
  </si>
  <si>
    <t>A.05a,b PU.3</t>
  </si>
  <si>
    <t>3,80*2,65-1,1*2</t>
  </si>
  <si>
    <t>A.006 PU2</t>
  </si>
  <si>
    <t>4,57*2,65-1,1*2</t>
  </si>
  <si>
    <t>A.007 PU.2</t>
  </si>
  <si>
    <t>9,13*2,65-1,1*2</t>
  </si>
  <si>
    <t>A.009 PU.2</t>
  </si>
  <si>
    <t>8,99*2,65-1,1*2</t>
  </si>
  <si>
    <t>A.010 PU.2</t>
  </si>
  <si>
    <t>6,99*2,65-1*1,97</t>
  </si>
  <si>
    <t>A.010a PU.3</t>
  </si>
  <si>
    <t>5,88*2,65-0,8*2</t>
  </si>
  <si>
    <t>A.011 PU.2</t>
  </si>
  <si>
    <t>13,96*2,65-0,8*2</t>
  </si>
  <si>
    <t>A.012 PU.3</t>
  </si>
  <si>
    <t>(22,04-5,11)*2,65-1,1*1,97*2</t>
  </si>
  <si>
    <t>A.013 PU.2</t>
  </si>
  <si>
    <t>9,42*2,55-1*0,97</t>
  </si>
  <si>
    <t>A.014 obvod, plocha</t>
  </si>
  <si>
    <t>116,11*2,2-24*1*2</t>
  </si>
  <si>
    <t>A.026 obvod, plocha chodba</t>
  </si>
  <si>
    <t>8,68*2,55-1*1,97</t>
  </si>
  <si>
    <t>A.019 PU3, PU2</t>
  </si>
  <si>
    <t>12,05*2,55-1*1,97</t>
  </si>
  <si>
    <t>A.021 obvod, plocha</t>
  </si>
  <si>
    <t>8,91*2,65-1*1,97</t>
  </si>
  <si>
    <t>A0.22 PU.2</t>
  </si>
  <si>
    <t>5,79*2,55-0,8*1,97</t>
  </si>
  <si>
    <t>A.032 obvod, plocha PU.3</t>
  </si>
  <si>
    <t>5,21*2,55-0,8*1,97</t>
  </si>
  <si>
    <t>A.025 PU3</t>
  </si>
  <si>
    <t>8,72*2,65-1,3*2,15</t>
  </si>
  <si>
    <t>A.0.28 PU.2</t>
  </si>
  <si>
    <t>8,90*2,55-0,8*1,97</t>
  </si>
  <si>
    <t>A.028a obvod, plocha PU.3</t>
  </si>
  <si>
    <t>8,85*2,55-0,8*1,97</t>
  </si>
  <si>
    <t>A.028b obvod, plocha PU.3</t>
  </si>
  <si>
    <t>16,29*2,65-2*0,8*1,97-1,2*2</t>
  </si>
  <si>
    <t>A.029 PU.2</t>
  </si>
  <si>
    <t>15,26*2,65-08*1,97-1,2*2,15</t>
  </si>
  <si>
    <t>A.030 PU.2 odečíst obklad</t>
  </si>
  <si>
    <t>Přednástřik ze suché omítkové směsi. Materiál je vhodný pro vnitřní i vnější použití. Slouží jako podkladní vrstva pod minerální omítky a vyrovnává nasákavost podkladu, na suché i vlhké solemi zatížené minerální podklady. V položce nejsou zakalkulovány náklady na pomocné lešení. V položce nejsou zakalkulovány náklady na použití rohových lišt a armovací skelné tkaniny.</t>
  </si>
  <si>
    <t>20</t>
  </si>
  <si>
    <t>60202111</t>
  </si>
  <si>
    <t>Omítka jádrová, zrno 1-2 mm, vnitřní</t>
  </si>
  <si>
    <t>tloušťka vrstvy 10 mm</t>
  </si>
  <si>
    <t>A.001-vstup</t>
  </si>
  <si>
    <t>17,62*8,75-2,65*2,65-2,4*0,6</t>
  </si>
  <si>
    <t>7,16*2,55-0,7*1,97-0,8*1,97</t>
  </si>
  <si>
    <t>A.02a obklad+podhled</t>
  </si>
  <si>
    <t>6,08*2,55-0,7*1,97</t>
  </si>
  <si>
    <t>A.02b obklad+podhled</t>
  </si>
  <si>
    <t>9,43*2,55-1*1,97</t>
  </si>
  <si>
    <t>A.02c obklad+podhled</t>
  </si>
  <si>
    <t>5,62*2,65-1*1,97</t>
  </si>
  <si>
    <t>A.003 omítka PU.1</t>
  </si>
  <si>
    <t>3,87*2,65-1,1*2</t>
  </si>
  <si>
    <t>5,30*2,65-1*1,97</t>
  </si>
  <si>
    <t>A.004 PU.1</t>
  </si>
  <si>
    <t>5,57*2,65-1*1,97</t>
  </si>
  <si>
    <t>16,50*2,55-1*1,97*2</t>
  </si>
  <si>
    <t>A.08a,b PU.3</t>
  </si>
  <si>
    <t>4,98*2,65-1*1,97</t>
  </si>
  <si>
    <t>5,27*2,65-1*1,97</t>
  </si>
  <si>
    <t>A.010 PU.1</t>
  </si>
  <si>
    <t>5,47*2,65</t>
  </si>
  <si>
    <t>A.011 PU.1</t>
  </si>
  <si>
    <t>5,11*2,65</t>
  </si>
  <si>
    <t>A.013 PU.1 1xdveře odečteny v PU.2</t>
  </si>
  <si>
    <t>12,05*2,65-1*1,97</t>
  </si>
  <si>
    <t>4,88*2,65</t>
  </si>
  <si>
    <t>A.028 PU.1</t>
  </si>
  <si>
    <t>Omítka ze suché směsi. Materiál je vhodný pro vnitřní i vnější použití.  Položka je kalkulována jako jedna z vrstev omítkové skladby. Položky za jednotlivé požadované vrstvy se sčítají.  V položce nejsou zakalkulovány náklady na pomocné lešení. V položce nejsou zakalkulovány náklady na použití rohových lišt a armovací skelné tkaniny.</t>
  </si>
  <si>
    <t>21</t>
  </si>
  <si>
    <t>610452105R00</t>
  </si>
  <si>
    <t>Vnitřní omítka cem-příplatek za další 1 cm-dle skutečnosti</t>
  </si>
  <si>
    <t>6,99*2,55-1*1,97</t>
  </si>
  <si>
    <t>8,68*2,4-1,97</t>
  </si>
  <si>
    <t>22</t>
  </si>
  <si>
    <t>602016193R00</t>
  </si>
  <si>
    <t>Penetrace hloubková stěn</t>
  </si>
  <si>
    <t>17,62*2,65-2,64*2,65-2,4*0,6</t>
  </si>
  <si>
    <t>zazdívka okna 4ks</t>
  </si>
  <si>
    <t>A.013 PU.1</t>
  </si>
  <si>
    <t>Materiál. Penetrační nátěr. Položka je kalkulována jako jedna z vrstev omítkové skladby. Položky za jednotlivé požadované vrstvy se sčítají.  V položce nejsou zakalkulovány náklady na pomocné lešení.</t>
  </si>
  <si>
    <t>23</t>
  </si>
  <si>
    <t>60202114</t>
  </si>
  <si>
    <t>Štuk na stěnách vnitřní</t>
  </si>
  <si>
    <t>tloušťka vrstvy 3 mm</t>
  </si>
  <si>
    <t>17,62*2,65-8,75*2,65</t>
  </si>
  <si>
    <t>-2,4*0,6</t>
  </si>
  <si>
    <t>A.001 obklad</t>
  </si>
  <si>
    <t>3,65*2,55-0,8*1,97-0,7*1,97</t>
  </si>
  <si>
    <t>A.02a omítka</t>
  </si>
  <si>
    <t>8,68*0,15</t>
  </si>
  <si>
    <t>12,05*(2,65-0,6)-1*1,97</t>
  </si>
  <si>
    <t>-5,08*0,6</t>
  </si>
  <si>
    <t>A.030 obklad pruh linka</t>
  </si>
  <si>
    <t>Omítka ze suché směs. Materiál je vhodný pro vnitřní použití. Jedná se o jemnou vápennou štukovou omítku se zpomalenou zpracovatelností na minerální jádrové omítky. Položka je kalkulována jako jedna z vrstev omítkové skladby. Položky za jednotlivé požadované vrstvy se sčítají.  V položce nejsou zakalkulovány náklady na pomocné lešení. V položce nejsou zakalkulovány náklady na použití rohových lišt a armovací skelné tkaniny.</t>
  </si>
  <si>
    <t>24</t>
  </si>
  <si>
    <t>602021118RT5</t>
  </si>
  <si>
    <t>Omítka jádrová, zrno 1-2 mm, ručně-vnější</t>
  </si>
  <si>
    <t>tloušťka vrstvy 20 mm</t>
  </si>
  <si>
    <t>(2,06*1,49+((2,06+1,49+1,49)*0,25))*4</t>
  </si>
  <si>
    <t>25</t>
  </si>
  <si>
    <t>602021174R00</t>
  </si>
  <si>
    <t>Štuk na stěnách vnější tl.4 mm, ručně, 2 x nanášený</t>
  </si>
  <si>
    <t xml:space="preserve">Omítka ze suché směsi, vhodná pro vnější použití.  Položka je kalkulována jako jedna z vrstev omítkové skladby. Položky za jednotlivé požadované vrstvy se sčítají.  V položce nejsou zakalkulovány náklady na pomocné lešení, náklady na použití rohových lišt a armovací skelné tkaniny.  </t>
  </si>
  <si>
    <t>61</t>
  </si>
  <si>
    <t>Úprava povrchů vnitřní</t>
  </si>
  <si>
    <t>26</t>
  </si>
  <si>
    <t>612401918R00</t>
  </si>
  <si>
    <t>Příplatek za kropení podkladu omítky vnitřní stěn</t>
  </si>
  <si>
    <t>61_</t>
  </si>
  <si>
    <t>-2*1,97*0,8</t>
  </si>
  <si>
    <t>17,62*2,65</t>
  </si>
  <si>
    <t>A.001</t>
  </si>
  <si>
    <t>4,88*2,82</t>
  </si>
  <si>
    <t>A.003 sanační omítka</t>
  </si>
  <si>
    <t>4,97*2,65</t>
  </si>
  <si>
    <t>A.004 sanační systém</t>
  </si>
  <si>
    <t>2,10*2,55</t>
  </si>
  <si>
    <t>A.05b sanační systém</t>
  </si>
  <si>
    <t>4,54*2,65</t>
  </si>
  <si>
    <t>A.006 sanační systém</t>
  </si>
  <si>
    <t>4,61*2,65</t>
  </si>
  <si>
    <t>A.007 sanační systém</t>
  </si>
  <si>
    <t>2,03*2,55</t>
  </si>
  <si>
    <t>A.08b sanační systém</t>
  </si>
  <si>
    <t>4,29*2,65</t>
  </si>
  <si>
    <t>A.009 sanační systém</t>
  </si>
  <si>
    <t>4,08*2,65</t>
  </si>
  <si>
    <t>A.010 sanační systém</t>
  </si>
  <si>
    <t>2,73*2,55</t>
  </si>
  <si>
    <t>A.010a sanační systém</t>
  </si>
  <si>
    <t>3,73*2,65</t>
  </si>
  <si>
    <t>A.012 sanační systém</t>
  </si>
  <si>
    <t>13,96*2,65</t>
  </si>
  <si>
    <t>6,63*2,85</t>
  </si>
  <si>
    <t>A.013 sanační systém</t>
  </si>
  <si>
    <t>9,42*2,55-1*1,97</t>
  </si>
  <si>
    <t>6,38*3,06</t>
  </si>
  <si>
    <t>A.026 sanační systém</t>
  </si>
  <si>
    <t>3,85*2,82</t>
  </si>
  <si>
    <t>A.019-sanační systém</t>
  </si>
  <si>
    <t>3,26*2,82</t>
  </si>
  <si>
    <t>A.021 sanační systém</t>
  </si>
  <si>
    <t>3,93*2,82</t>
  </si>
  <si>
    <t>A.022 sanační systém</t>
  </si>
  <si>
    <t>6,86*2,95</t>
  </si>
  <si>
    <t>A.025 sanační systém</t>
  </si>
  <si>
    <t>14,04*2,82</t>
  </si>
  <si>
    <t>A.028 sanační systém</t>
  </si>
  <si>
    <t>4,14*2,82</t>
  </si>
  <si>
    <t>A.029 sanační systém</t>
  </si>
  <si>
    <t>3,14*2,82</t>
  </si>
  <si>
    <t>A.030 sanační systém</t>
  </si>
  <si>
    <t>27</t>
  </si>
  <si>
    <t>613473115R00</t>
  </si>
  <si>
    <t>Příplatek za zabudované rohovníky, stěny, sloupy a pilíře</t>
  </si>
  <si>
    <t>6*2,65</t>
  </si>
  <si>
    <t>2*2,65</t>
  </si>
  <si>
    <t>A.003</t>
  </si>
  <si>
    <t>1*2,65</t>
  </si>
  <si>
    <t>A.05b</t>
  </si>
  <si>
    <t>3*2,65</t>
  </si>
  <si>
    <t>A.006</t>
  </si>
  <si>
    <t>5*2,65</t>
  </si>
  <si>
    <t>A.007</t>
  </si>
  <si>
    <t>A.009</t>
  </si>
  <si>
    <t>A.010</t>
  </si>
  <si>
    <t>A.013</t>
  </si>
  <si>
    <t>7*2,85</t>
  </si>
  <si>
    <t>A.019,A.021, A.022</t>
  </si>
  <si>
    <t>A.028</t>
  </si>
  <si>
    <t>měří se v metrech délky hran</t>
  </si>
  <si>
    <t>28</t>
  </si>
  <si>
    <t>612434114RT1</t>
  </si>
  <si>
    <t>Omítkový sanační systém, vnitřní, čtyřvrstvý</t>
  </si>
  <si>
    <t>sanační postřik, jádrová sanační omítky 2x, štuková sanační omítka</t>
  </si>
  <si>
    <t>8,75*2,65</t>
  </si>
  <si>
    <t>2,24*2,55</t>
  </si>
  <si>
    <t>A.02c - omítka sanační</t>
  </si>
  <si>
    <t>6,63*2,84</t>
  </si>
  <si>
    <t>Sanační systém je určen pro střední až vysoké zasolení. Systém je tvořen sanačním podhozem tl. 5 mm, jádrovou omítkou tl. 20 mm, druhou jádrovou omítkou tl. 30 mm a štukovou omítkou tl. 2,5 mm. Na systém je možné aplikovat povrchovou úpravu (penetraci a nátěr). Systém splňuje požadavky WTA</t>
  </si>
  <si>
    <t>29</t>
  </si>
  <si>
    <t>776995</t>
  </si>
  <si>
    <t>Lepení rohových profilů</t>
  </si>
  <si>
    <t>54</t>
  </si>
  <si>
    <t>30</t>
  </si>
  <si>
    <t>55342946</t>
  </si>
  <si>
    <t>Ochranný rohový nerezový profil - 45x45 tl.0,8</t>
  </si>
  <si>
    <t>62</t>
  </si>
  <si>
    <t>Úprava povrchů vnější</t>
  </si>
  <si>
    <t>622326163R00</t>
  </si>
  <si>
    <t>Zateplovací systém, parapet, XPS tl. 20-30 mm</t>
  </si>
  <si>
    <t>62_</t>
  </si>
  <si>
    <t>1,82*0,185*4</t>
  </si>
  <si>
    <t>Položka obsahuje řezání desek, nanesení lepicího tmelu na izolační desky, nalepení desek, natažení stěrky, vtlačení výztužné tkaniny (1,68 m2), osazení parapetní lišty (5m/m2) a přehlazení stěrky. Součinitel tepelné vodivosti izolantu 0,035 W/m K Včetně dodávek materiálu</t>
  </si>
  <si>
    <t>32</t>
  </si>
  <si>
    <t>622412223R00</t>
  </si>
  <si>
    <t>Nátěr stěn vnějších, slož. 3-4 , PCI-paropropustný</t>
  </si>
  <si>
    <t>Penetrace podkladu v jedné vrstvě a nátěr silikonový ve dvou vrstvách. Vhodný pro zateplovací systémy. Bez nákladů na lešení</t>
  </si>
  <si>
    <t>63</t>
  </si>
  <si>
    <t>Podlahy a podlahové konstrukce</t>
  </si>
  <si>
    <t>33</t>
  </si>
  <si>
    <t>63241512</t>
  </si>
  <si>
    <t>Potěr samonivelační ručně tl. 25 mm vč.dilatačního pásku</t>
  </si>
  <si>
    <t>63_</t>
  </si>
  <si>
    <t>podkladový</t>
  </si>
  <si>
    <t>15,79</t>
  </si>
  <si>
    <t>A.001 nivelační hmota, SDK podhled</t>
  </si>
  <si>
    <t>2,61</t>
  </si>
  <si>
    <t>A.02a dlažba+podhled</t>
  </si>
  <si>
    <t>1,89</t>
  </si>
  <si>
    <t>A.02b dlažba+podhled</t>
  </si>
  <si>
    <t>5,20</t>
  </si>
  <si>
    <t>A.02c dlažba+podhled</t>
  </si>
  <si>
    <t>4,73</t>
  </si>
  <si>
    <t>A.05a obvod, plocha</t>
  </si>
  <si>
    <t>4,42</t>
  </si>
  <si>
    <t>A.05b obvod, plocha</t>
  </si>
  <si>
    <t>5,34</t>
  </si>
  <si>
    <t>A.08a plocha+obvod</t>
  </si>
  <si>
    <t>5,21</t>
  </si>
  <si>
    <t>A.08b plocha+obvod</t>
  </si>
  <si>
    <t>5,63</t>
  </si>
  <si>
    <t>A.010a obvod a plocha</t>
  </si>
  <si>
    <t>16,84</t>
  </si>
  <si>
    <t>A.012 obvod a plocha</t>
  </si>
  <si>
    <t>9,55</t>
  </si>
  <si>
    <t>A.019 obvod, plocha</t>
  </si>
  <si>
    <t>8,50</t>
  </si>
  <si>
    <t>1,86</t>
  </si>
  <si>
    <t>6,51</t>
  </si>
  <si>
    <t>A.025 obvod, plocha</t>
  </si>
  <si>
    <t>4,93</t>
  </si>
  <si>
    <t>4,87</t>
  </si>
  <si>
    <t xml:space="preserve"> A.028b obvod, plocha PU.3</t>
  </si>
  <si>
    <t xml:space="preserve">Položka obsahuje jednonásobnou penetraci podkladu, rozmíchání suché směsi s vodou podle receptury výrobce a rozprostření směsi. </t>
  </si>
  <si>
    <t>632415120</t>
  </si>
  <si>
    <t>Potěr  samonivelační ručně tl. 20 mm vč.dilatačního pásku</t>
  </si>
  <si>
    <t>22,20</t>
  </si>
  <si>
    <t>A.003 plocha+obvod</t>
  </si>
  <si>
    <t>21,64</t>
  </si>
  <si>
    <t>A.004 obvod plocha</t>
  </si>
  <si>
    <t>20,81</t>
  </si>
  <si>
    <t>A.006 obvod a plocha</t>
  </si>
  <si>
    <t>21,75</t>
  </si>
  <si>
    <t>A.007 obvod+plocha</t>
  </si>
  <si>
    <t>19,22</t>
  </si>
  <si>
    <t>A.009 obvod, plocha</t>
  </si>
  <si>
    <t>20,36</t>
  </si>
  <si>
    <t>A.010 obvod a plocha</t>
  </si>
  <si>
    <t>7,30</t>
  </si>
  <si>
    <t>A.011 obvod, plocha</t>
  </si>
  <si>
    <t>29,33</t>
  </si>
  <si>
    <t>A.013 obvod, plocha</t>
  </si>
  <si>
    <t>154,38</t>
  </si>
  <si>
    <t>36,67</t>
  </si>
  <si>
    <t>A.028 obvod, plocha</t>
  </si>
  <si>
    <t>25,08</t>
  </si>
  <si>
    <t>A.029 obvod, plocha</t>
  </si>
  <si>
    <t>18,89</t>
  </si>
  <si>
    <t>A.030 obvod, plocha</t>
  </si>
  <si>
    <t>35</t>
  </si>
  <si>
    <t>632415104RT2</t>
  </si>
  <si>
    <t>Potěr samonivelační ručně tl. 3 mm</t>
  </si>
  <si>
    <t>vyrovnávací</t>
  </si>
  <si>
    <t>36</t>
  </si>
  <si>
    <t>631313711RT7</t>
  </si>
  <si>
    <t>Mazanina betonová tl. 8 - 12 cm C 25/30-doplnění podlahy ležaté potrubí</t>
  </si>
  <si>
    <t>s rozptýlenou výztuží 20 kg/m3</t>
  </si>
  <si>
    <t>63,04*0,6*0,1</t>
  </si>
  <si>
    <t>Stupeň vlivu prostředí X0, XC1, XC2, XC3. Frakce kameniva Dmax 22. Čerpatelnost S3. V položce jsou zakalkulovány i náklady na vytvoření dilatačních spár v mazanině bez zaplnění. Tyto náklady se oceňují položkami souboru 63460 Zaplnění dilatačních spár v mazaninách.</t>
  </si>
  <si>
    <t>37</t>
  </si>
  <si>
    <t>634601111R00</t>
  </si>
  <si>
    <t>Zaplnění dilatačních spár mazanin asfaltem,š.10 mm</t>
  </si>
  <si>
    <t>63,04*2</t>
  </si>
  <si>
    <t>Položka je určena pro zaplnění dilatačních spár v mazaninách tl. do 100 mm (50 % zasypání pískem a 50% zalití asfaltem).</t>
  </si>
  <si>
    <t>38</t>
  </si>
  <si>
    <t>63245106</t>
  </si>
  <si>
    <t>Potěr pískocementový, min. 25 MPa, tl. 95 mm</t>
  </si>
  <si>
    <t>63,04</t>
  </si>
  <si>
    <t>Položka je určena pro potěr pískocementový na mazaninách nebo betonových podkladech běžný (krycí nášlapný) anebo pod tenkovrstvé podlahoviny hlazený ocelovým hladítkem nebo litý (samonivelační). V položkách litých potěrů (dvouvrstvých) pískocementových s plastifikátory, anhydritových apod. je zakalkulováno utěsnění spár v podkladu, trhlin (fólií), prostupů (např. hrázkami z písku) a odstranění nerovností (výčnělků) nad rovinu potěru. Není zakalkulována případná izolační vrstva (PSV), krycí podložka (PSV), vyztužující pletivo (63248) nebo síť (41136) pokud byly projektovány pod plovoucí potěr.</t>
  </si>
  <si>
    <t>39</t>
  </si>
  <si>
    <t>631313621RM25</t>
  </si>
  <si>
    <t>Mazanina betonová tl. 8 - 12 cm C 20/25-rychletuhnoucí, přísada pro vysychání</t>
  </si>
  <si>
    <t>z betonu rychletuhnoucího s přísadou pro rychlé vysychání</t>
  </si>
  <si>
    <t>510*0,09</t>
  </si>
  <si>
    <t>Položka je určena pro mazaninu hlazenou dřevěným hladítkem a to pro mazaninu krycí, popř. podkladní nebo vyrovnávací nebo plovoucí, pod potěry, vlýsky do asfaltu, pod podlahy. Položka je určena i pro betonový okapový chodníček budovy. Jeho podloží se oceňuje samostatně. V položce jsou zakalkulovány i náklady na vytvoření dilatačních spár v mazanině bez zaplnění. Tyto náklady se oceňují položkami souboru 63460 Zaplnění dilatačních spár v mazaninách</t>
  </si>
  <si>
    <t>40</t>
  </si>
  <si>
    <t>713121118RU1</t>
  </si>
  <si>
    <t>Montáž dilatačního pásku podél stěn</t>
  </si>
  <si>
    <t>včetně dodávky</t>
  </si>
  <si>
    <t>474,15</t>
  </si>
  <si>
    <t>dilatace</t>
  </si>
  <si>
    <t>41</t>
  </si>
  <si>
    <t>736322411R00</t>
  </si>
  <si>
    <t>Podkladní kari síť 100x100x6</t>
  </si>
  <si>
    <t>510</t>
  </si>
  <si>
    <t>64</t>
  </si>
  <si>
    <t>Výplně otvorů</t>
  </si>
  <si>
    <t>42</t>
  </si>
  <si>
    <t>642944121RU4</t>
  </si>
  <si>
    <t>Osazení ocelových zárubní dodatečně do 2,5 m2</t>
  </si>
  <si>
    <t>64_</t>
  </si>
  <si>
    <t>včetně dodávky zárubně 800 x 1970</t>
  </si>
  <si>
    <t>A.001-A.030</t>
  </si>
  <si>
    <t>A.001-A.002a</t>
  </si>
  <si>
    <t>43</t>
  </si>
  <si>
    <t>642942111RT3</t>
  </si>
  <si>
    <t>Osazení zárubní dveřních ocelových, pl. do 2,5 m2</t>
  </si>
  <si>
    <t>včetně dodávky zárubně 700 x 1970 x 100 mm</t>
  </si>
  <si>
    <t>A.02a-A.02b</t>
  </si>
  <si>
    <t>Položka je určena pro osazování zárubní bez dveřních křídel na jakoukoliv cementovou maltu s vybetonováním prahu v zárubni a s osazením špalíků nebo latí pro dřevěný práh. Položka je určena také pro osazování zárubní a rámů do stěn z prefa dílců, které se provádí současně nebo bezprostředně po osazení stěnových dílců; podobně je určena pro konstrukce zděné nad 150 mm tloušťky, kde se osazování provádí převážně až po jejich vyzdění. Položka kryje vybetonování nadvýšeného prahu u balkónových dveří. V položce jsou zakalkulovány náklady na kotvení rámů do zdiva a platí pro jakýkoliv způsob provádění (např. bodovým přivařením k výztuži, uklínováním, zalitím pracen apod.). V položce jsou zakalkulovány i náklady na dodávku zárubní. Volba položky se řídí plochou otvoru.  12.10.2021 Změna v tloušťce zárubně ze 110 na 100 mm</t>
  </si>
  <si>
    <t>44</t>
  </si>
  <si>
    <t>642942111RT6</t>
  </si>
  <si>
    <t>včetně dodávky zárubně 1000-1200 x 1970 x 100 mm</t>
  </si>
  <si>
    <t>711</t>
  </si>
  <si>
    <t>Izolace proti vodě</t>
  </si>
  <si>
    <t>45</t>
  </si>
  <si>
    <t>711212015RT1</t>
  </si>
  <si>
    <t>Hydroizolační stěrka dvouvrstvá vč.penetrace</t>
  </si>
  <si>
    <t>711_</t>
  </si>
  <si>
    <t>_71_</t>
  </si>
  <si>
    <t>hydroizolace tl. 4 mm, penetrace</t>
  </si>
  <si>
    <t>Stěrka tl. 4 mm ve dvou vrstvách. Aplikace pomocí hladítka. Položka je určena pro izolaci proti stojaté prosakující vody a tlakové vodě.  Položka obsahuje penetraci podkladu z naředěné stěrkové hmoty vodou, 2 vrstvy stěrky.</t>
  </si>
  <si>
    <t>46</t>
  </si>
  <si>
    <t>711212601RT5</t>
  </si>
  <si>
    <t>Utěsnění detailů při stěrkových hydroizolacích, těsnicí pás do spoje podlaha - stěna</t>
  </si>
  <si>
    <t>šířka 120 mm</t>
  </si>
  <si>
    <t>18,08</t>
  </si>
  <si>
    <t>7,16</t>
  </si>
  <si>
    <t>6,08</t>
  </si>
  <si>
    <t>9,43</t>
  </si>
  <si>
    <t>8,84</t>
  </si>
  <si>
    <t>9,01</t>
  </si>
  <si>
    <t>9,29</t>
  </si>
  <si>
    <t>9,18</t>
  </si>
  <si>
    <t>9,70</t>
  </si>
  <si>
    <t>17,92</t>
  </si>
  <si>
    <t>12,65</t>
  </si>
  <si>
    <t>12,05</t>
  </si>
  <si>
    <t>5,79</t>
  </si>
  <si>
    <t>12,15</t>
  </si>
  <si>
    <t>8,90</t>
  </si>
  <si>
    <t>8,85</t>
  </si>
  <si>
    <t>47</t>
  </si>
  <si>
    <t>711212602RT2</t>
  </si>
  <si>
    <t>Utěsnění detailů při stěrkových hydroizolacích, těsnicí roh vnější, vnitřní do spoje podlaha-stěna</t>
  </si>
  <si>
    <t>A.001 vnitřní, vnější rohy</t>
  </si>
  <si>
    <t>A.02a,b,c</t>
  </si>
  <si>
    <t>A.05a,b</t>
  </si>
  <si>
    <t>A.08a,b</t>
  </si>
  <si>
    <t>A.010a</t>
  </si>
  <si>
    <t>A.012</t>
  </si>
  <si>
    <t>A.019</t>
  </si>
  <si>
    <t>A.021</t>
  </si>
  <si>
    <t>A.032</t>
  </si>
  <si>
    <t>A.025</t>
  </si>
  <si>
    <t>A.028a,b</t>
  </si>
  <si>
    <t>48</t>
  </si>
  <si>
    <t>711212000RU1</t>
  </si>
  <si>
    <t>Penetrace podkladu pod hydroizolační hmoty, včetně dodávky</t>
  </si>
  <si>
    <t>3,50*1,8</t>
  </si>
  <si>
    <t>A.02a - obklad-hydroizlace</t>
  </si>
  <si>
    <t>6,09*2,55-0,7*1,97</t>
  </si>
  <si>
    <t>A.02b obklad-hydroizolace</t>
  </si>
  <si>
    <t>A.02c</t>
  </si>
  <si>
    <t>9,29*2,55-1*1,97</t>
  </si>
  <si>
    <t>9,18*2,55-1*1,97</t>
  </si>
  <si>
    <t>9,70*2,55-1*1,97</t>
  </si>
  <si>
    <t>17,92*2,65-0,8*2</t>
  </si>
  <si>
    <t>8,68*2,4-1*1,97</t>
  </si>
  <si>
    <t>12,15*2,55-0,8*1,97</t>
  </si>
  <si>
    <t>-18,12*2,55</t>
  </si>
  <si>
    <t>obklad sanační omítka odečet</t>
  </si>
  <si>
    <t>Penetrace podkladů pod hydroizolační nátěry</t>
  </si>
  <si>
    <t>49</t>
  </si>
  <si>
    <t>711212002RT3</t>
  </si>
  <si>
    <t>Stěrka hydroizolační, vč. dodávky HI hmoty</t>
  </si>
  <si>
    <t>tl. 2 mm</t>
  </si>
  <si>
    <t>Dvousložková hydroizolační stěrka proti vlhkosti. Aplikace pomocí stěrky v jedné vrstvě  tl. 2 mm.  Velmi pružná hydroizolační stěrka, která se používá k vodotěsnému ošetření a ochraně betonových konstrukcí vystavených nebezpečí vzniku trhlin. Do sprchový koutů, koupelen, betonových nádrží. Na opěrné zdi, sádrokartonové stěny, voděvzdorné překližky atd. Pro vnitřní a venkovní použití pod obklady a dlažb</t>
  </si>
  <si>
    <t>50</t>
  </si>
  <si>
    <t>711212611RT2</t>
  </si>
  <si>
    <t>Utěsnění detailů při stěrkových hydroizolacích, těsnicí pás do svislých koutů</t>
  </si>
  <si>
    <t>šířka 100 mm</t>
  </si>
  <si>
    <t>2*1,8</t>
  </si>
  <si>
    <t>A.02a</t>
  </si>
  <si>
    <t>4*2,55</t>
  </si>
  <si>
    <t>A.02b</t>
  </si>
  <si>
    <t>5*2,55</t>
  </si>
  <si>
    <t>10*2,55</t>
  </si>
  <si>
    <t>8*2,5</t>
  </si>
  <si>
    <t>6*2,55</t>
  </si>
  <si>
    <t>12*2,65</t>
  </si>
  <si>
    <t>A.014</t>
  </si>
  <si>
    <t>2*2,55</t>
  </si>
  <si>
    <t>8*2,55</t>
  </si>
  <si>
    <t>Položka je určena pro těsnicí pás umístěný ve svislém rohu</t>
  </si>
  <si>
    <t>51</t>
  </si>
  <si>
    <t>711111001RZ1</t>
  </si>
  <si>
    <t>Provedení izolace proti vlhkosti na ploše vodorovné, 1x asfaltovým penetračním nátěrem</t>
  </si>
  <si>
    <t>včetně dodávky asfaltového penetračního laku</t>
  </si>
  <si>
    <t>Plochy izolací jednotlivě menší než 10 m2 se oceňují s příplatkem položka číslo 711 19 - 9095. Při stanovení množství izolace se z celkového množství neodečítají otvory nebo neizolované plochy menší než 2 m2.  V položce jsou zakalkulovány i náklady na dodávku asfalt.penetrace v množství 0,33 kg/m2</t>
  </si>
  <si>
    <t>52</t>
  </si>
  <si>
    <t>711141559RT2</t>
  </si>
  <si>
    <t>Provedení izolace proti vlhkosti na ploše vodorovné, asfaltovými pásy přitavením</t>
  </si>
  <si>
    <t>2 vrstvy - pásy ve specifikaci</t>
  </si>
  <si>
    <t>63,04*1</t>
  </si>
  <si>
    <t>Plochy izolací jednotlivě menší než 10 m2 se oceňují s příplatkem položka číslo 711 19 - 9097.Při stanovení množství izolace se z celkového množství neodečítají otvory nebo neizolované plochy menší než 2 m2</t>
  </si>
  <si>
    <t>53</t>
  </si>
  <si>
    <t>62852254</t>
  </si>
  <si>
    <t>Pás z SBS modifikovaného asfaltu, nosná vložka z polyesterové rohože</t>
  </si>
  <si>
    <t>75</t>
  </si>
  <si>
    <t>;ztratné 10%; 58,5</t>
  </si>
  <si>
    <t xml:space="preserve">Pás special mineral - jako spodní asfaltový pás ve skladbách vícevrstvých vodotěsných izolací střech. Jednovrstvý proti zemní vlhkosti, nebo asfaltový pás ve vícevrstvých izolacích spodní stavby proti tlakové vodě i proti radonu. Možnost použít také jako parozábranu.  Horní povrch: jemnozrnný minerální posyp Nosná vložka: polyesterová 200 g/m2 (obal směs asfaltu modifikovaného SBS elastomery) Dolní povrch: spalitelná PE fólie  Typ S natavitelný plamenem hořáku, nebo mechanicky kotvený.  Balení: role 1 x 7,5 </t>
  </si>
  <si>
    <t>62852265</t>
  </si>
  <si>
    <t>Pás z SBS modifikovaného asfaltu, nosná vložka ze skleněné tkaniny natavovací, kotvicí</t>
  </si>
  <si>
    <t xml:space="preserve">Použití jako spodní asfaltový pás ve skladbách vícevrstvých vodotěsných izolací střech. (jako vrchní v případě, kdy je krytý dalšími vrstvami). Jako součást izolace spodní stavby proti zemní vlhkosti, gravitační i tlakové vodě (v kombinaci s jedním nebo dvěma dalšími pásy) a radonu. Možnost použít také jako parozábranu.  Horní povrch: jemnozrnný minerální posyp Nosná vložka: skleněná tkanina 200 g/m2 (obal směs asfaltu modifikovaného SBS elastomery) Dolní povrch: spalitelná PE fólie  Pás se bodově nebo celoplošně natavuje na podklad, případně se kotví.  Balení: role 1 x 7,5 </t>
  </si>
  <si>
    <t>55</t>
  </si>
  <si>
    <t>711212000RW5</t>
  </si>
  <si>
    <t>Penetrace podkladu pod minerální hydroizolační hmoty, včetně dodávky</t>
  </si>
  <si>
    <t xml:space="preserve"> adhézní můstek</t>
  </si>
  <si>
    <t>56</t>
  </si>
  <si>
    <t>711212002RW4</t>
  </si>
  <si>
    <t>Stěrka minerální hydroizolační, vč. dodávky HI hmoty</t>
  </si>
  <si>
    <t>odolnost proti solím, 3mm</t>
  </si>
  <si>
    <t>Aplikace ve dvou vrstvách. Prašné a solí poškozené podklady je nutné opatřit penetrací. Položka neobsahuje přípravu podkladu</t>
  </si>
  <si>
    <t>57</t>
  </si>
  <si>
    <t>998711101R00</t>
  </si>
  <si>
    <t>Přesun hmot pro izolace proti vodě, výšky do 6 m</t>
  </si>
  <si>
    <t>722</t>
  </si>
  <si>
    <t>Vnitřní vodovod</t>
  </si>
  <si>
    <t>58</t>
  </si>
  <si>
    <t>722254126RT1</t>
  </si>
  <si>
    <t>Skříň hydrantová s výzbrojí C 52 + nástavec a klíč</t>
  </si>
  <si>
    <t>soubor</t>
  </si>
  <si>
    <t>722_</t>
  </si>
  <si>
    <t>_72_</t>
  </si>
  <si>
    <t>728</t>
  </si>
  <si>
    <t>Vzduchotechnika</t>
  </si>
  <si>
    <t>59</t>
  </si>
  <si>
    <t>728415113R00</t>
  </si>
  <si>
    <t>Montáž mřížky větrací nebo ventilační do 0,15 m2</t>
  </si>
  <si>
    <t>728_</t>
  </si>
  <si>
    <t>4287150005</t>
  </si>
  <si>
    <t>Mřížka větrací nerezová 150x150</t>
  </si>
  <si>
    <t>762</t>
  </si>
  <si>
    <t>Konstrukce tesařské</t>
  </si>
  <si>
    <t>76242113</t>
  </si>
  <si>
    <t>Montáž obložení stěn proti oděru deskami tl.do 50mm</t>
  </si>
  <si>
    <t>bm</t>
  </si>
  <si>
    <t>762_</t>
  </si>
  <si>
    <t>_76_</t>
  </si>
  <si>
    <t>42,3</t>
  </si>
  <si>
    <t>607151532</t>
  </si>
  <si>
    <t>Panel MDF 250x50 mm</t>
  </si>
  <si>
    <t>;ztratné 0%; 0</t>
  </si>
  <si>
    <t>998762102R00</t>
  </si>
  <si>
    <t>Přesun hmot pro tesařské konstrukce</t>
  </si>
  <si>
    <t>764</t>
  </si>
  <si>
    <t>Konstrukce klempířské</t>
  </si>
  <si>
    <t>764510410RAA</t>
  </si>
  <si>
    <t>Oplechování parapetů z TiZn plechu</t>
  </si>
  <si>
    <t>764_</t>
  </si>
  <si>
    <t>rš 250 mm</t>
  </si>
  <si>
    <t>1,82*4</t>
  </si>
  <si>
    <t>65</t>
  </si>
  <si>
    <t>998764101R00</t>
  </si>
  <si>
    <t>Přesun hmot pro klempířské konstr., výšky do 6 m</t>
  </si>
  <si>
    <t>766</t>
  </si>
  <si>
    <t>Konstrukce truhlářské</t>
  </si>
  <si>
    <t>66</t>
  </si>
  <si>
    <t>76666001</t>
  </si>
  <si>
    <t>Montáž dveří jednokřídlových šířky 60-120 cm-kování, dveřní zarážka</t>
  </si>
  <si>
    <t>766_</t>
  </si>
  <si>
    <t>Dodávka a montáž dveřní zarážky, montáž kování, bez dodávky dveří</t>
  </si>
  <si>
    <t>67</t>
  </si>
  <si>
    <t>611601203</t>
  </si>
  <si>
    <t>Dveře vnitřní  plné 1-křídlé 800 x 1970 mm vč.kování D8.1,2</t>
  </si>
  <si>
    <t>A.001-A.030   D8.2 a D8.1</t>
  </si>
  <si>
    <t>68</t>
  </si>
  <si>
    <t>611603316</t>
  </si>
  <si>
    <t>Dveře vnitřní hladké plné 700 x 1970 mm jednokřídlé vč.kování D7.1</t>
  </si>
  <si>
    <t>69</t>
  </si>
  <si>
    <t>6116033</t>
  </si>
  <si>
    <t>Dveře vnitřní hladké plné 1000 x 1970 mm  jednokřídlé-D.01</t>
  </si>
  <si>
    <t>D.01</t>
  </si>
  <si>
    <t>70</t>
  </si>
  <si>
    <t>61165605</t>
  </si>
  <si>
    <t>Dveře protipožární EI30 plné 1-křídlé 1000 x 1970 mm  vč.kování D0.2</t>
  </si>
  <si>
    <t xml:space="preserve">Dveře požárně odolné lze použít jako vchodové do bytu a všude tam, kde to z bezpečnostních důvodů požadují ČSN. Požární odolnost je EI30 (E30, EW30), to znamená, že odolají požáru 30 min.  </t>
  </si>
  <si>
    <t>71</t>
  </si>
  <si>
    <t>Dveře vnitřní hladké plné 1000 x 1970 mm jednokřídlé vč.kování D0.3</t>
  </si>
  <si>
    <t>72</t>
  </si>
  <si>
    <t>Dveře protipožární EI30 plné 1-křídlé 1100 x 1970 mm vč.kování D1.1</t>
  </si>
  <si>
    <t xml:space="preserve">Dveře požárně odolné lze použít jako vchodové do bytu a všude tam, kde to z bezpečnostních důvodů požadují ČSN. Požární odolnost je EI30 (E30, EW30), to znamená, že odolají požáru 30 min. </t>
  </si>
  <si>
    <t>73</t>
  </si>
  <si>
    <t>611656495</t>
  </si>
  <si>
    <t>Dveře protipožární EI45 plné 1-křídlé 1100 x 1970 mm RAL lak vč.kování D1.2</t>
  </si>
  <si>
    <t>Dveře požárně odolné lze použít jako vchodové do bytu a všude tam, kde to z bezpečnostních důvodů požadují ČSN. Požární odolnost je EI45 (E45, EW45), to znamená, že odolají požáru 45 min. lakované, 30 barev  Lakované, RAL Skupina A: bez příplatku 1013 perlová bílá, 1015 slonová kost světlá, 1018 zinková žlutá, 2002 rumělková, 2003 oranžová pastelová, 3005 vínová červená, 3011 čevenohnědá, 3020 dopravní červená, 4002 červenofalová, 5002 ultramarínová, 5005 signální modrá, 5007 brilantní modrá, 5015 nebeská modrá, 5024 pastelová modrá, 6000 zelená patina, 6005 mechová zelená, 6021 bledě zelená, 7004 sinální šedá, 7016 Antracitová šedá, 7032 štěrková šedá, 7043 dopravní šedá, 7047 televizní šedá 3, 8004 měděná hnědá, 8022 černohnědá, 8028 zemní hnědá, 9001 krémová, 9003 signální bílá, 9006 bílý hliník, 9010 bílá, 9016 dopravní bílá</t>
  </si>
  <si>
    <t>74</t>
  </si>
  <si>
    <t>6116034</t>
  </si>
  <si>
    <t>Dveře vnitřní hladké plné 1100 x 1970 mm  jednokřídlé vč.kování D1.3</t>
  </si>
  <si>
    <t>6116035</t>
  </si>
  <si>
    <t>Dveře vnitřní hladké plné 1200 x 2000 mm  jednokřídlé vč.kování D2.1</t>
  </si>
  <si>
    <t>76</t>
  </si>
  <si>
    <t>766810010RAE</t>
  </si>
  <si>
    <t>Kuchyňské linky dodávka a montáž N12a, N12b</t>
  </si>
  <si>
    <t>linka 240 cm</t>
  </si>
  <si>
    <t>77</t>
  </si>
  <si>
    <t>900001VD</t>
  </si>
  <si>
    <t>Lednice malá</t>
  </si>
  <si>
    <t>ks</t>
  </si>
  <si>
    <t>78</t>
  </si>
  <si>
    <t>900002VD</t>
  </si>
  <si>
    <t>Mikrovlná trouba</t>
  </si>
  <si>
    <t>79</t>
  </si>
  <si>
    <t>55149032</t>
  </si>
  <si>
    <t>Koš odpadkový nerezový obsah 20 l</t>
  </si>
  <si>
    <t xml:space="preserve">Nerezový koš 20 l </t>
  </si>
  <si>
    <t>80</t>
  </si>
  <si>
    <t>766810010RAA</t>
  </si>
  <si>
    <t>Kuchyňské linky dodávka a montáž</t>
  </si>
  <si>
    <t>linka 125 cm</t>
  </si>
  <si>
    <t>81</t>
  </si>
  <si>
    <t>592891060</t>
  </si>
  <si>
    <t>Stůl nerezový v. 900 mm, 1700 x 700 mm</t>
  </si>
  <si>
    <t>82</t>
  </si>
  <si>
    <t>7668100</t>
  </si>
  <si>
    <t>Kuchyňské linky dodávka a montáž N12d</t>
  </si>
  <si>
    <t>linka 360 cm</t>
  </si>
  <si>
    <t>83</t>
  </si>
  <si>
    <t>615290104</t>
  </si>
  <si>
    <t>Instrumentační škříň - uzamykatelná, sklad opiátů</t>
  </si>
  <si>
    <t>84</t>
  </si>
  <si>
    <t>85</t>
  </si>
  <si>
    <t>86</t>
  </si>
  <si>
    <t>76662732</t>
  </si>
  <si>
    <t>Vnitřní dělící okno, pevné, čiré zasklení, hliník, bezpeč.sklo 1500x1500-V.1</t>
  </si>
  <si>
    <t>87</t>
  </si>
  <si>
    <t>732199100R00</t>
  </si>
  <si>
    <t>Montáž orientačního štítku</t>
  </si>
  <si>
    <t>88</t>
  </si>
  <si>
    <t>28399901</t>
  </si>
  <si>
    <t>Orientační štítek</t>
  </si>
  <si>
    <t>kpl.</t>
  </si>
  <si>
    <t>89</t>
  </si>
  <si>
    <t>998766101R00</t>
  </si>
  <si>
    <t>Přesun hmot pro truhlářské konstr., výšky do 6 m</t>
  </si>
  <si>
    <t>767</t>
  </si>
  <si>
    <t>Konstrukce doplňkové stavební (zámečnické)</t>
  </si>
  <si>
    <t>90</t>
  </si>
  <si>
    <t>767130061RA0</t>
  </si>
  <si>
    <t>Podhled, desky akustické 600x600</t>
  </si>
  <si>
    <t>767_</t>
  </si>
  <si>
    <t>5,51</t>
  </si>
  <si>
    <t>10,40</t>
  </si>
  <si>
    <t>A.022 obvod, plocha</t>
  </si>
  <si>
    <t>91</t>
  </si>
  <si>
    <t>0000546</t>
  </si>
  <si>
    <t>Příplatek za snížení podhledu do 4m2</t>
  </si>
  <si>
    <t>92</t>
  </si>
  <si>
    <t>767640122RAA</t>
  </si>
  <si>
    <t>Dveře protipožární automaticé posuvné jednokřídlé šířky 140 cm vč.osazení DA.1</t>
  </si>
  <si>
    <t>výšky 197 cm, EI 30</t>
  </si>
  <si>
    <t>93</t>
  </si>
  <si>
    <t>998767101R00</t>
  </si>
  <si>
    <t>Přesun hmot pro zámečnické konstr., výšky do 6 m</t>
  </si>
  <si>
    <t>771</t>
  </si>
  <si>
    <t>Podlahy z dlaždic</t>
  </si>
  <si>
    <t>94</t>
  </si>
  <si>
    <t>771101210RT1</t>
  </si>
  <si>
    <t>Penetrace podkladu pod dlažby</t>
  </si>
  <si>
    <t>771_</t>
  </si>
  <si>
    <t>_77_</t>
  </si>
  <si>
    <t xml:space="preserve">Položka obsahuje montáž a dodávku penetračního nátěru pro zlepšení kontaktu s lepicím tmelem. </t>
  </si>
  <si>
    <t>95</t>
  </si>
  <si>
    <t>771570014RAI</t>
  </si>
  <si>
    <t>Dlažba z dlaždic keramických</t>
  </si>
  <si>
    <t>do tmele flexibilního vč.spárovací hmoty, dlažba ve specifikaci</t>
  </si>
  <si>
    <t>96</t>
  </si>
  <si>
    <t>597642030</t>
  </si>
  <si>
    <t>Dlažba keramická protiskluzná R10/B</t>
  </si>
  <si>
    <t>;ztratné 10%; 1,579</t>
  </si>
  <si>
    <t>protiskluz R10/B</t>
  </si>
  <si>
    <t>97</t>
  </si>
  <si>
    <t>771578014RT1</t>
  </si>
  <si>
    <t>Spára dilatační těsněná PE provazcem a silikonem</t>
  </si>
  <si>
    <t>přechod dlažba+obklad</t>
  </si>
  <si>
    <t>3,50</t>
  </si>
  <si>
    <t>A.02a - obklad, dilatace podlaha</t>
  </si>
  <si>
    <t>6,09-0,7</t>
  </si>
  <si>
    <t>A.02b obklad, dilatace</t>
  </si>
  <si>
    <t>9,43-1</t>
  </si>
  <si>
    <t>8,84-1</t>
  </si>
  <si>
    <t>9,01-1</t>
  </si>
  <si>
    <t>9,29-1</t>
  </si>
  <si>
    <t>9,18-1</t>
  </si>
  <si>
    <t>9,70-1</t>
  </si>
  <si>
    <t>17,92-0,8</t>
  </si>
  <si>
    <t>9,42-1</t>
  </si>
  <si>
    <t>12,65-1</t>
  </si>
  <si>
    <t>12,05-1</t>
  </si>
  <si>
    <t>5,79-0,8</t>
  </si>
  <si>
    <t>12,15-0,8</t>
  </si>
  <si>
    <t>8,90-0,8</t>
  </si>
  <si>
    <t>8,85-0,8</t>
  </si>
  <si>
    <t>98</t>
  </si>
  <si>
    <t>771101310R00</t>
  </si>
  <si>
    <t>Vyčištění keramické dlažby</t>
  </si>
  <si>
    <t xml:space="preserve">Položka je určena pro očištění a odmaštěšní keramické dlažby. Obsahuje nanesení čisticího přípravku, prokartáčování a umytí prostředku z povrchu dlažby včetně dodávky prostředku.. </t>
  </si>
  <si>
    <t>99</t>
  </si>
  <si>
    <t>771577113RT1</t>
  </si>
  <si>
    <t>Lišta hliníková přechodová, stejná výška dlaždic</t>
  </si>
  <si>
    <t>A001-A.010a</t>
  </si>
  <si>
    <t>0,8</t>
  </si>
  <si>
    <t>A.012-chodba</t>
  </si>
  <si>
    <t>A.014-A.013</t>
  </si>
  <si>
    <t>0,8*2</t>
  </si>
  <si>
    <t xml:space="preserve">Položka je určena pro dekorativní spojení podlah o stejné výšce např. dlažba/dlažba, dlažba/lamino, atd.  </t>
  </si>
  <si>
    <t>100</t>
  </si>
  <si>
    <t>998771101R00</t>
  </si>
  <si>
    <t>Přesun hmot pro podlahy z dlaždic, výšky do 6 m</t>
  </si>
  <si>
    <t>776</t>
  </si>
  <si>
    <t>Podlahy povlakové</t>
  </si>
  <si>
    <t>101</t>
  </si>
  <si>
    <t>776521100RT1</t>
  </si>
  <si>
    <t>Lepení povlak.podlah z pásů PVC na lepidlo</t>
  </si>
  <si>
    <t>776_</t>
  </si>
  <si>
    <t>pouze položení - PVC ve specifikaci</t>
  </si>
  <si>
    <t>102</t>
  </si>
  <si>
    <t>28412245</t>
  </si>
  <si>
    <t>Podlahovina PVC do interiéru pro nemocniční provoz</t>
  </si>
  <si>
    <t>;ztratné 15%; 3,33</t>
  </si>
  <si>
    <t>Skladba P.0.2-základní specifikace</t>
  </si>
  <si>
    <t>103</t>
  </si>
  <si>
    <t>776421100RU1</t>
  </si>
  <si>
    <t>Lepení podlahových soklíků z PVC a vinylu</t>
  </si>
  <si>
    <t>včetně dodávky soklíku PVC</t>
  </si>
  <si>
    <t>19,96-1-1,1</t>
  </si>
  <si>
    <t>19,48-1,1-1</t>
  </si>
  <si>
    <t>19,61-1,1-1</t>
  </si>
  <si>
    <t>19,64-1,1-1</t>
  </si>
  <si>
    <t>18,47-1,1-1</t>
  </si>
  <si>
    <t>18,61-1,1-1</t>
  </si>
  <si>
    <t>11,16-0,8</t>
  </si>
  <si>
    <t>28,65-1-1,1</t>
  </si>
  <si>
    <t>116,11</t>
  </si>
  <si>
    <t>28,14</t>
  </si>
  <si>
    <t>20,41</t>
  </si>
  <si>
    <t>18,34</t>
  </si>
  <si>
    <t>104</t>
  </si>
  <si>
    <t>998776101R00</t>
  </si>
  <si>
    <t>Přesun hmot pro podlahy povlakové, výšky do 6 m</t>
  </si>
  <si>
    <t>781</t>
  </si>
  <si>
    <t>Obklady (keramické)</t>
  </si>
  <si>
    <t>105</t>
  </si>
  <si>
    <t>781101210R00</t>
  </si>
  <si>
    <t>Penetrace podkladu pod obklady</t>
  </si>
  <si>
    <t>781_</t>
  </si>
  <si>
    <t>_78_</t>
  </si>
  <si>
    <t>2,4*0,6</t>
  </si>
  <si>
    <t>A.001 Kuchyňská linka</t>
  </si>
  <si>
    <t>3,5*2,55</t>
  </si>
  <si>
    <t>5,47*0,6</t>
  </si>
  <si>
    <t>A.021 PU3</t>
  </si>
  <si>
    <t>5,08*0,6</t>
  </si>
  <si>
    <t xml:space="preserve">Položka obsahuje provedení penetračního nátěru včetně dodávky materiálu. </t>
  </si>
  <si>
    <t>106</t>
  </si>
  <si>
    <t>781415013RT1</t>
  </si>
  <si>
    <t>Montáž obkladů stěn, porovin., do tmele, 15x15 cm</t>
  </si>
  <si>
    <t>flexibilní lepidlo, spárovací hmota bez dodávky obkladu</t>
  </si>
  <si>
    <t>107</t>
  </si>
  <si>
    <t>59781345</t>
  </si>
  <si>
    <t>Obkládačka 150 x 150 mm</t>
  </si>
  <si>
    <t>;ztratné 10%; 0,144</t>
  </si>
  <si>
    <t>glazované keramické obkladové prvk</t>
  </si>
  <si>
    <t>108</t>
  </si>
  <si>
    <t>781111115R00</t>
  </si>
  <si>
    <t>Otvor v obkladačce diamant.korunkou prům.do 30 mm</t>
  </si>
  <si>
    <t>A.030</t>
  </si>
  <si>
    <t>109</t>
  </si>
  <si>
    <t>781111116R00</t>
  </si>
  <si>
    <t>Otvor v obkladačce diamant.korunkou prům.do 90 mm</t>
  </si>
  <si>
    <t>A.001 kuchyňská linka</t>
  </si>
  <si>
    <t>2+2+2</t>
  </si>
  <si>
    <t>110</t>
  </si>
  <si>
    <t>781111131R00</t>
  </si>
  <si>
    <t>Vyplnění dilatačních spár tmelem, obklady</t>
  </si>
  <si>
    <t>A.02a - obklad, dilatace roh</t>
  </si>
  <si>
    <t>A.02b obklad, dilatace roh</t>
  </si>
  <si>
    <t>A.02c obkla dilatace roh</t>
  </si>
  <si>
    <t>A.02a - obklad, dilatace strop</t>
  </si>
  <si>
    <t>6,09</t>
  </si>
  <si>
    <t>A.02b obklad, dilatace strop</t>
  </si>
  <si>
    <t>A.02c obklad dilatace strop</t>
  </si>
  <si>
    <t>9*2,55</t>
  </si>
  <si>
    <t>A.05a,b dilatace roh</t>
  </si>
  <si>
    <t>A.08a,b dilatace roh</t>
  </si>
  <si>
    <t>A.05a,b PU.3strop dilatace</t>
  </si>
  <si>
    <t>16,50</t>
  </si>
  <si>
    <t>A.08a,b PU.3 strop dilatace</t>
  </si>
  <si>
    <t>6,99</t>
  </si>
  <si>
    <t>A.010a PU.3 strop dilatace</t>
  </si>
  <si>
    <t>A.010a dilatace roh</t>
  </si>
  <si>
    <t>8*2,65</t>
  </si>
  <si>
    <t>A.012 dilatace roh</t>
  </si>
  <si>
    <t>A.012 dilatace strop</t>
  </si>
  <si>
    <t>A.014 dilatace roh</t>
  </si>
  <si>
    <t>9,42</t>
  </si>
  <si>
    <t>A.014 dilatace strop</t>
  </si>
  <si>
    <t>4*2,4</t>
  </si>
  <si>
    <t>A.019 dilatace rohy</t>
  </si>
  <si>
    <t>5,47</t>
  </si>
  <si>
    <t>A.032 rohy</t>
  </si>
  <si>
    <t>7*2,55</t>
  </si>
  <si>
    <t>A.025 rohy</t>
  </si>
  <si>
    <t>A.028a,b rohy</t>
  </si>
  <si>
    <t>111</t>
  </si>
  <si>
    <t>781111121R00</t>
  </si>
  <si>
    <t>Montáž lišt rohových, ukončovacích</t>
  </si>
  <si>
    <t>PVC lišty</t>
  </si>
  <si>
    <t>2*2,25</t>
  </si>
  <si>
    <t>3*2,5</t>
  </si>
  <si>
    <t>0,6*2</t>
  </si>
  <si>
    <t>1*2,55</t>
  </si>
  <si>
    <t>2,55</t>
  </si>
  <si>
    <t>4*2,65</t>
  </si>
  <si>
    <t>8,68</t>
  </si>
  <si>
    <t>112</t>
  </si>
  <si>
    <t>781101310R00</t>
  </si>
  <si>
    <t>Vyčištění keramického obkladu</t>
  </si>
  <si>
    <t xml:space="preserve">Položka je určena pro očištění a odmaštěšní keramického obkladu. Obsahuje nanesení čisticího přípravku, prokartáčování a umytí prostředku z povrchu dlažby včetně dodávky prostředku.. </t>
  </si>
  <si>
    <t>113</t>
  </si>
  <si>
    <t>998781101R00</t>
  </si>
  <si>
    <t>Přesun hmot pro obklady keramické, výšky do 6 m</t>
  </si>
  <si>
    <t>783</t>
  </si>
  <si>
    <t>Nátěry</t>
  </si>
  <si>
    <t>114</t>
  </si>
  <si>
    <t>78312513</t>
  </si>
  <si>
    <t>Nátěr zárubní 2x</t>
  </si>
  <si>
    <t>783_</t>
  </si>
  <si>
    <t>784</t>
  </si>
  <si>
    <t>Malby</t>
  </si>
  <si>
    <t>115</t>
  </si>
  <si>
    <t>784011121R00</t>
  </si>
  <si>
    <t>Broušení štuků a nových omítek</t>
  </si>
  <si>
    <t>784_</t>
  </si>
  <si>
    <t>8,45*2,65</t>
  </si>
  <si>
    <t>A.001 sanační systém</t>
  </si>
  <si>
    <t>Provádí se za účelem odstranění veškerých nepřilnavých povrchových zrn a shluků zrn písku</t>
  </si>
  <si>
    <t>116</t>
  </si>
  <si>
    <t>784111101R00</t>
  </si>
  <si>
    <t>Penetrace podkladu nátěrem  1 x</t>
  </si>
  <si>
    <t>-2*0,97</t>
  </si>
  <si>
    <t>3,65*2,55-0,7*1,97-0,8*1,97</t>
  </si>
  <si>
    <t>19,96*2,65-1*1,97-1,1*2</t>
  </si>
  <si>
    <t>19,48*2,65-1,1*2-1*1,97</t>
  </si>
  <si>
    <t>19,61*2,65-1,1*2-1*1,97</t>
  </si>
  <si>
    <t>19,64*2,65-1,1*2-1*1,97</t>
  </si>
  <si>
    <t>18,47*2,65-1,1*2-1*1,97</t>
  </si>
  <si>
    <t>18,61*2,65-1*1,97-1,1*2</t>
  </si>
  <si>
    <t>11,16*2,65-0,8*2</t>
  </si>
  <si>
    <t>28,65*2,65-2*1,1*1,97</t>
  </si>
  <si>
    <t>14,09*2,65-1*1,97</t>
  </si>
  <si>
    <t>28,14*2,65-1,3*2,15</t>
  </si>
  <si>
    <t>Akrylátový základní nátěr na savé podklady</t>
  </si>
  <si>
    <t>117</t>
  </si>
  <si>
    <t>784165332R00</t>
  </si>
  <si>
    <t>Malba bílá, bez penetrace, 2x</t>
  </si>
  <si>
    <t>Interiérová malba Bílá malba (Bělost &gt;=95%), silikátová báze, Lesk dle ČSN EN 13300 – vysoce matná, vodou ředitelná, vysoká otěruvzdornost, nízký obsahem těkavých organických látek (VOC ?0,1g/l), bez změkčovadel, bez těžkých kovů, bez přídavku biocidů, formaldehydu či donorů formaldehydu, bez parfemace, bez foggingově aktivních substancí, minimálně dvě vrstvy</t>
  </si>
  <si>
    <t>Lešení a stavební výtahy</t>
  </si>
  <si>
    <t>118</t>
  </si>
  <si>
    <t>941955001R00</t>
  </si>
  <si>
    <t>Lešení lehké pomocné, výška podlahy do 1,2 m</t>
  </si>
  <si>
    <t>94_</t>
  </si>
  <si>
    <t>_9_</t>
  </si>
  <si>
    <t>Různé dokončovací konstrukce a práce na pozemních stavbách</t>
  </si>
  <si>
    <t>119</t>
  </si>
  <si>
    <t>952901111R00</t>
  </si>
  <si>
    <t>Vyčištění budov o výšce podlaží do 4 m</t>
  </si>
  <si>
    <t>95_</t>
  </si>
  <si>
    <t xml:space="preserve">Položka je určena pro vyčištění budov bytové nebo občanské výstavby - zametení a umytí podlah, dlažeb, obkladů, schodů v místnostech, chodbách a schodištích, vyčištění a umytí oken, dveří s rámy, zárubněmi, umytí a vyčistění jiných zasklených a natíraných ploch a zařizovacích předmětů před předáním do užívání. </t>
  </si>
  <si>
    <t>H01</t>
  </si>
  <si>
    <t>Budovy občanské výstavby</t>
  </si>
  <si>
    <t>120</t>
  </si>
  <si>
    <t>998011001R00</t>
  </si>
  <si>
    <t>Přesun hmot pro budovy zděné</t>
  </si>
  <si>
    <t>H01_</t>
  </si>
  <si>
    <t>M21</t>
  </si>
  <si>
    <t>Elektromontáže-VZT-ZTI-ÚT</t>
  </si>
  <si>
    <t>121</t>
  </si>
  <si>
    <t>000000001EL.Sil</t>
  </si>
  <si>
    <t>Elektroinstalace silnoproud - dle samostatného výkazu</t>
  </si>
  <si>
    <t>RTS II / 2020</t>
  </si>
  <si>
    <t>M21_</t>
  </si>
  <si>
    <t>122</t>
  </si>
  <si>
    <t>000000002EL.Sla</t>
  </si>
  <si>
    <t>Elektroinstalace slaboproud - dle samostatného výkazu</t>
  </si>
  <si>
    <t>RTS II / 2016</t>
  </si>
  <si>
    <t>123</t>
  </si>
  <si>
    <t>000000003ZTI</t>
  </si>
  <si>
    <t>ZTI - dle samostatného výkazu</t>
  </si>
  <si>
    <t>124</t>
  </si>
  <si>
    <t>000000004VZT</t>
  </si>
  <si>
    <t>VZT - dle samostatného výkazu</t>
  </si>
  <si>
    <t>125</t>
  </si>
  <si>
    <t>000000005UT</t>
  </si>
  <si>
    <t>ÚT - dle samostatného výkazu</t>
  </si>
  <si>
    <t>VORN</t>
  </si>
  <si>
    <t>01VRN</t>
  </si>
  <si>
    <t>Dokumentace</t>
  </si>
  <si>
    <t>126</t>
  </si>
  <si>
    <t>013002VRN</t>
  </si>
  <si>
    <t>Dokumentace skutečného provedení stavby</t>
  </si>
  <si>
    <t>Soubor</t>
  </si>
  <si>
    <t>01VRN_</t>
  </si>
  <si>
    <t>_ _</t>
  </si>
  <si>
    <t>03VRN</t>
  </si>
  <si>
    <t>127</t>
  </si>
  <si>
    <t>030001VRN</t>
  </si>
  <si>
    <t>03VRN_</t>
  </si>
  <si>
    <t>06VRN</t>
  </si>
  <si>
    <t>128</t>
  </si>
  <si>
    <t>065002VRN</t>
  </si>
  <si>
    <t>Mimostaveništní doprava</t>
  </si>
  <si>
    <t>06VRN_</t>
  </si>
  <si>
    <t>08VRN</t>
  </si>
  <si>
    <t>129</t>
  </si>
  <si>
    <t>081002VRN</t>
  </si>
  <si>
    <t>Doprava zaměstnanců</t>
  </si>
  <si>
    <t>08VRN_</t>
  </si>
  <si>
    <t>09VRN</t>
  </si>
  <si>
    <t>130</t>
  </si>
  <si>
    <t>090001VRN</t>
  </si>
  <si>
    <t>Ostatní náklady-vysušení objektu po realizaci mokrých procesů</t>
  </si>
  <si>
    <t>09VRN_</t>
  </si>
  <si>
    <t>vysušení objektu po realizaci mokrých procesů (omítky, podlaha-betonáže) za pomoci vysoušečů</t>
  </si>
  <si>
    <t xml:space="preserve">
DomusDesign
</t>
  </si>
  <si>
    <t>DNS03-03 Stavení úpravy v pavilonu A Nemocnice Nymburk s.r.o.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</si>
</sst>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Calibri"/>
      <charset val="1"/>
    </font>
    <font>
      <sz val="18"/>
      <color rgb="FF000000"/>
      <name val="Arial"/>
      <charset val="238"/>
    </font>
    <font>
      <sz val="10"/>
      <color rgb="FF000000"/>
      <name val="Arial"/>
      <charset val="238"/>
    </font>
    <font>
      <b/>
      <sz val="10"/>
      <color rgb="FF000000"/>
      <name val="Arial"/>
      <charset val="238"/>
    </font>
    <font>
      <b/>
      <sz val="18"/>
      <color rgb="FF000000"/>
      <name val="Arial"/>
      <charset val="238"/>
    </font>
    <font>
      <b/>
      <sz val="20"/>
      <color rgb="FF000000"/>
      <name val="Arial"/>
      <charset val="238"/>
    </font>
    <font>
      <b/>
      <sz val="11"/>
      <color rgb="FF000000"/>
      <name val="Arial"/>
      <charset val="238"/>
    </font>
    <font>
      <b/>
      <sz val="12"/>
      <color rgb="FF000000"/>
      <name val="Arial"/>
      <charset val="238"/>
    </font>
    <font>
      <sz val="12"/>
      <color rgb="FF000000"/>
      <name val="Arial"/>
      <charset val="238"/>
    </font>
    <font>
      <i/>
      <sz val="8"/>
      <color rgb="FF000000"/>
      <name val="Arial"/>
      <charset val="238"/>
    </font>
    <font>
      <i/>
      <sz val="10"/>
      <color rgb="FF800000"/>
      <name val="Arial"/>
      <charset val="238"/>
    </font>
    <font>
      <i/>
      <sz val="10"/>
      <color rgb="FF646464"/>
      <name val="Arial"/>
      <charset val="238"/>
    </font>
    <font>
      <i/>
      <sz val="10"/>
      <color rgb="FF000000"/>
      <name val="Arial"/>
      <charset val="238"/>
    </font>
    <font>
      <sz val="10"/>
      <color rgb="FF0000FF"/>
      <name val="Arial"/>
      <charset val="238"/>
    </font>
    <font>
      <i/>
      <sz val="10"/>
      <color rgb="FF0000FF"/>
      <name val="Arial"/>
      <charset val="238"/>
    </font>
  </fonts>
  <fills count="6">
    <fill>
      <patternFill patternType="none"/>
    </fill>
    <fill>
      <patternFill patternType="gray125"/>
    </fill>
    <fill>
      <patternFill patternType="solid">
        <fgColor rgb="FFC0C0C0"/>
        <bgColor rgb="FFC0C0C0"/>
      </patternFill>
    </fill>
    <fill>
      <patternFill patternType="solid">
        <fgColor rgb="FFCCFFFF"/>
        <bgColor rgb="FFCCFFFF"/>
      </patternFill>
    </fill>
    <fill>
      <patternFill patternType="solid">
        <fgColor rgb="FFEAEAEA"/>
        <bgColor rgb="FFEAEAEA"/>
      </patternFill>
    </fill>
    <fill>
      <patternFill patternType="solid">
        <fgColor rgb="FFCCFFFF"/>
        <bgColor rgb="FFCCFFFF"/>
      </patternFill>
    </fill>
  </fills>
  <borders count="7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bottom style="medium">
        <color rgb="FF000000"/>
      </bottom>
      <diagonal/>
    </border>
    <border>
      <left/>
      <right/>
      <top style="thin">
        <color rgb="FF000000"/>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style="thin">
        <color rgb="FF000000"/>
      </left>
      <right/>
      <top/>
      <bottom/>
      <diagonal/>
    </border>
    <border>
      <left/>
      <right style="thin">
        <color rgb="FF000000"/>
      </right>
      <top/>
      <bottom/>
      <diagonal/>
    </border>
    <border>
      <left/>
      <right/>
      <top/>
      <bottom/>
      <diagonal/>
    </border>
  </borders>
  <cellStyleXfs count="1">
    <xf numFmtId="0" fontId="0" fillId="0" borderId="0"/>
  </cellStyleXfs>
  <cellXfs count="181">
    <xf numFmtId="0" fontId="0" fillId="0" borderId="0" xfId="0"/>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xf>
    <xf numFmtId="0" fontId="7" fillId="0" borderId="15" xfId="0" applyFont="1" applyBorder="1" applyAlignment="1">
      <alignment horizontal="left" vertical="center"/>
    </xf>
    <xf numFmtId="0" fontId="8" fillId="0" borderId="16" xfId="0" applyFont="1" applyBorder="1" applyAlignment="1">
      <alignment horizontal="left" vertical="center"/>
    </xf>
    <xf numFmtId="4" fontId="8" fillId="0" borderId="16" xfId="0" applyNumberFormat="1" applyFont="1" applyBorder="1" applyAlignment="1">
      <alignment horizontal="right" vertical="center"/>
    </xf>
    <xf numFmtId="0" fontId="8" fillId="0" borderId="16" xfId="0" applyFont="1" applyBorder="1" applyAlignment="1">
      <alignment horizontal="right" vertical="center"/>
    </xf>
    <xf numFmtId="0" fontId="7" fillId="0" borderId="19" xfId="0" applyFont="1" applyBorder="1" applyAlignment="1">
      <alignment horizontal="left" vertical="center"/>
    </xf>
    <xf numFmtId="4" fontId="8" fillId="0" borderId="23" xfId="0" applyNumberFormat="1" applyFont="1" applyBorder="1" applyAlignment="1">
      <alignment horizontal="right" vertical="center"/>
    </xf>
    <xf numFmtId="0" fontId="8" fillId="0" borderId="23" xfId="0" applyFont="1" applyBorder="1" applyAlignment="1">
      <alignment horizontal="right" vertical="center"/>
    </xf>
    <xf numFmtId="4" fontId="8" fillId="0" borderId="14" xfId="0" applyNumberFormat="1" applyFont="1" applyBorder="1" applyAlignment="1">
      <alignment horizontal="right" vertical="center"/>
    </xf>
    <xf numFmtId="4" fontId="8" fillId="0" borderId="26" xfId="0" applyNumberFormat="1" applyFont="1" applyBorder="1" applyAlignment="1">
      <alignment horizontal="right" vertical="center"/>
    </xf>
    <xf numFmtId="4" fontId="7" fillId="2" borderId="13" xfId="0" applyNumberFormat="1" applyFont="1" applyFill="1" applyBorder="1" applyAlignment="1">
      <alignment horizontal="right" vertical="center"/>
    </xf>
    <xf numFmtId="4" fontId="7" fillId="2" borderId="18" xfId="0" applyNumberFormat="1" applyFont="1" applyFill="1" applyBorder="1" applyAlignment="1">
      <alignment horizontal="right" vertical="center"/>
    </xf>
    <xf numFmtId="0" fontId="9" fillId="0" borderId="40" xfId="0" applyFont="1" applyBorder="1" applyAlignment="1">
      <alignment horizontal="left" vertical="center"/>
    </xf>
    <xf numFmtId="0" fontId="3" fillId="0" borderId="45" xfId="0" applyFont="1" applyBorder="1" applyAlignment="1">
      <alignment horizontal="right" vertical="center"/>
    </xf>
    <xf numFmtId="4" fontId="2" fillId="0" borderId="16" xfId="0" applyNumberFormat="1" applyFont="1" applyBorder="1" applyAlignment="1">
      <alignment horizontal="right" vertical="center"/>
    </xf>
    <xf numFmtId="0" fontId="2" fillId="0" borderId="16" xfId="0" applyFont="1" applyBorder="1" applyAlignment="1">
      <alignment horizontal="left" vertical="center"/>
    </xf>
    <xf numFmtId="4" fontId="2" fillId="0" borderId="49" xfId="0" applyNumberFormat="1" applyFont="1" applyBorder="1" applyAlignment="1">
      <alignment horizontal="right" vertical="center"/>
    </xf>
    <xf numFmtId="0" fontId="2" fillId="0" borderId="49" xfId="0" applyFont="1" applyBorder="1" applyAlignment="1">
      <alignment horizontal="left" vertical="center"/>
    </xf>
    <xf numFmtId="0" fontId="3" fillId="0" borderId="53" xfId="0" applyFont="1" applyBorder="1" applyAlignment="1">
      <alignment horizontal="left" vertical="center"/>
    </xf>
    <xf numFmtId="0" fontId="3" fillId="0" borderId="53" xfId="0" applyFont="1" applyBorder="1" applyAlignment="1">
      <alignment horizontal="right" vertical="center"/>
    </xf>
    <xf numFmtId="4" fontId="3" fillId="0" borderId="53" xfId="0" applyNumberFormat="1" applyFont="1" applyBorder="1" applyAlignment="1">
      <alignment horizontal="right" vertical="center"/>
    </xf>
    <xf numFmtId="4" fontId="3" fillId="2" borderId="0" xfId="0" applyNumberFormat="1" applyFont="1" applyFill="1" applyAlignment="1">
      <alignment horizontal="right" vertical="center"/>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58" xfId="0" applyFont="1" applyBorder="1" applyAlignment="1">
      <alignment horizontal="center" vertical="center"/>
    </xf>
    <xf numFmtId="0" fontId="3" fillId="3" borderId="61" xfId="0" applyFont="1" applyFill="1" applyBorder="1" applyAlignment="1" applyProtection="1">
      <alignment horizontal="center" vertical="center"/>
      <protection locked="0"/>
    </xf>
    <xf numFmtId="0" fontId="3" fillId="0" borderId="62" xfId="0" applyFont="1" applyBorder="1" applyAlignment="1">
      <alignment horizontal="center" vertical="center"/>
    </xf>
    <xf numFmtId="0" fontId="3" fillId="0" borderId="65" xfId="0" applyFont="1" applyBorder="1" applyAlignment="1">
      <alignment horizontal="center" vertical="center"/>
    </xf>
    <xf numFmtId="0" fontId="3" fillId="2" borderId="0" xfId="0" applyFont="1" applyFill="1" applyAlignment="1">
      <alignment horizontal="right" vertical="center"/>
    </xf>
    <xf numFmtId="0" fontId="3" fillId="0" borderId="0" xfId="0" applyFont="1" applyAlignment="1">
      <alignment horizontal="right" vertical="center"/>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3" fillId="3" borderId="67" xfId="0" applyFont="1" applyFill="1" applyBorder="1" applyAlignment="1" applyProtection="1">
      <alignment horizontal="center" vertical="center"/>
      <protection locked="0"/>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26"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2" fillId="4" borderId="74" xfId="0" applyFont="1" applyFill="1" applyBorder="1" applyAlignment="1">
      <alignment horizontal="left" vertical="center"/>
    </xf>
    <xf numFmtId="0" fontId="3" fillId="4" borderId="40" xfId="0" applyFont="1" applyFill="1" applyBorder="1" applyAlignment="1">
      <alignment horizontal="left" vertical="center"/>
    </xf>
    <xf numFmtId="0" fontId="2" fillId="4" borderId="40" xfId="0" applyFont="1" applyFill="1" applyBorder="1" applyAlignment="1">
      <alignment horizontal="left" vertical="center"/>
    </xf>
    <xf numFmtId="0" fontId="2" fillId="5" borderId="40" xfId="0" applyFont="1" applyFill="1" applyBorder="1" applyAlignment="1" applyProtection="1">
      <alignment horizontal="left" vertical="center"/>
      <protection locked="0"/>
    </xf>
    <xf numFmtId="4" fontId="3" fillId="4" borderId="40" xfId="0" applyNumberFormat="1" applyFont="1" applyFill="1" applyBorder="1" applyAlignment="1">
      <alignment horizontal="right" vertical="center"/>
    </xf>
    <xf numFmtId="0" fontId="3" fillId="4" borderId="40" xfId="0" applyFont="1" applyFill="1" applyBorder="1" applyAlignment="1">
      <alignment horizontal="right" vertical="center"/>
    </xf>
    <xf numFmtId="0" fontId="3" fillId="4" borderId="75" xfId="0" applyFont="1" applyFill="1" applyBorder="1" applyAlignment="1">
      <alignment horizontal="right" vertical="center"/>
    </xf>
    <xf numFmtId="0" fontId="2" fillId="2" borderId="5" xfId="0" applyFont="1" applyFill="1" applyBorder="1" applyAlignment="1">
      <alignment horizontal="left" vertical="center"/>
    </xf>
    <xf numFmtId="0" fontId="3" fillId="2" borderId="0" xfId="0" applyFont="1" applyFill="1" applyAlignment="1">
      <alignment horizontal="left" vertical="center"/>
    </xf>
    <xf numFmtId="0" fontId="2" fillId="2" borderId="0" xfId="0" applyFont="1" applyFill="1" applyAlignment="1">
      <alignment horizontal="left" vertical="center"/>
    </xf>
    <xf numFmtId="0" fontId="2" fillId="5" borderId="0" xfId="0" applyFont="1" applyFill="1" applyAlignment="1" applyProtection="1">
      <alignment horizontal="left" vertical="center"/>
      <protection locked="0"/>
    </xf>
    <xf numFmtId="0" fontId="3" fillId="2" borderId="6" xfId="0" applyFont="1" applyFill="1" applyBorder="1" applyAlignment="1">
      <alignment horizontal="right" vertical="center"/>
    </xf>
    <xf numFmtId="4" fontId="2" fillId="0" borderId="0" xfId="0" applyNumberFormat="1" applyFont="1" applyAlignment="1">
      <alignment horizontal="right" vertical="center"/>
    </xf>
    <xf numFmtId="4" fontId="2" fillId="3" borderId="0" xfId="0" applyNumberFormat="1" applyFont="1" applyFill="1" applyAlignment="1" applyProtection="1">
      <alignment horizontal="right" vertical="center"/>
      <protection locked="0"/>
    </xf>
    <xf numFmtId="0" fontId="2" fillId="0" borderId="6" xfId="0" applyFont="1" applyBorder="1" applyAlignment="1">
      <alignment horizontal="right" vertical="center"/>
    </xf>
    <xf numFmtId="0" fontId="2" fillId="0" borderId="0" xfId="0" applyFont="1" applyAlignment="1">
      <alignment horizontal="right" vertical="center"/>
    </xf>
    <xf numFmtId="1" fontId="3" fillId="2" borderId="0" xfId="0" applyNumberFormat="1" applyFont="1" applyFill="1" applyAlignment="1">
      <alignment horizontal="right" vertical="center"/>
    </xf>
    <xf numFmtId="0" fontId="0" fillId="0" borderId="5" xfId="0" applyBorder="1"/>
    <xf numFmtId="0" fontId="10" fillId="0" borderId="0" xfId="0" applyFont="1" applyAlignment="1">
      <alignment horizontal="left" vertical="center"/>
    </xf>
    <xf numFmtId="4" fontId="10" fillId="0" borderId="0" xfId="0" applyNumberFormat="1" applyFont="1" applyAlignment="1">
      <alignment horizontal="right" vertical="center"/>
    </xf>
    <xf numFmtId="0" fontId="0" fillId="0" borderId="6" xfId="0" applyBorder="1"/>
    <xf numFmtId="0" fontId="11" fillId="0" borderId="0" xfId="0" applyFont="1" applyAlignment="1">
      <alignment horizontal="right" vertical="center"/>
    </xf>
    <xf numFmtId="0" fontId="12" fillId="0" borderId="0" xfId="0" applyFont="1" applyAlignment="1">
      <alignment horizontal="left" vertical="center" wrapText="1"/>
    </xf>
    <xf numFmtId="0" fontId="13" fillId="0" borderId="5" xfId="0" applyFont="1" applyBorder="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4" fontId="13" fillId="0" borderId="0" xfId="0" applyNumberFormat="1" applyFont="1" applyAlignment="1">
      <alignment horizontal="right" vertical="center"/>
    </xf>
    <xf numFmtId="4" fontId="13" fillId="3" borderId="0" xfId="0" applyNumberFormat="1" applyFont="1" applyFill="1" applyAlignment="1" applyProtection="1">
      <alignment horizontal="right" vertical="center"/>
      <protection locked="0"/>
    </xf>
    <xf numFmtId="0" fontId="13" fillId="0" borderId="6" xfId="0" applyFont="1" applyBorder="1" applyAlignment="1">
      <alignment horizontal="right" vertical="center"/>
    </xf>
    <xf numFmtId="0" fontId="13" fillId="0" borderId="0" xfId="0" applyFont="1" applyAlignment="1">
      <alignment horizontal="right" vertical="center"/>
    </xf>
    <xf numFmtId="0" fontId="14" fillId="0" borderId="0" xfId="0" applyFont="1" applyAlignment="1">
      <alignment horizontal="left" vertical="center" wrapText="1"/>
    </xf>
    <xf numFmtId="0" fontId="0" fillId="0" borderId="7" xfId="0" applyBorder="1"/>
    <xf numFmtId="0" fontId="0" fillId="0" borderId="8" xfId="0" applyBorder="1"/>
    <xf numFmtId="0" fontId="10" fillId="0" borderId="8" xfId="0" applyFont="1" applyBorder="1" applyAlignment="1">
      <alignment horizontal="left" vertical="center"/>
    </xf>
    <xf numFmtId="4" fontId="10" fillId="0" borderId="8" xfId="0" applyNumberFormat="1" applyFont="1" applyBorder="1" applyAlignment="1">
      <alignment horizontal="right" vertical="center"/>
    </xf>
    <xf numFmtId="0" fontId="0" fillId="3" borderId="8" xfId="0" applyFill="1" applyBorder="1" applyProtection="1">
      <protection locked="0"/>
    </xf>
    <xf numFmtId="0" fontId="0" fillId="0" borderId="9" xfId="0" applyBorder="1"/>
    <xf numFmtId="4" fontId="3" fillId="0" borderId="76" xfId="0" applyNumberFormat="1" applyFont="1" applyBorder="1" applyAlignment="1">
      <alignment horizontal="right" vertical="center"/>
    </xf>
    <xf numFmtId="0" fontId="9"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8" fillId="0" borderId="32" xfId="0" applyFont="1" applyBorder="1" applyAlignment="1">
      <alignment horizontal="lef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8" fillId="0" borderId="35" xfId="0" applyFont="1" applyBorder="1" applyAlignment="1">
      <alignment horizontal="left" vertical="center"/>
    </xf>
    <xf numFmtId="0" fontId="8" fillId="0" borderId="0" xfId="0" applyFont="1" applyAlignment="1">
      <alignment horizontal="left" vertical="center"/>
    </xf>
    <xf numFmtId="0" fontId="8" fillId="0" borderId="34" xfId="0" applyFont="1" applyBorder="1" applyAlignment="1">
      <alignment horizontal="left" vertical="center"/>
    </xf>
    <xf numFmtId="0" fontId="8" fillId="0" borderId="39" xfId="0" applyFont="1" applyBorder="1" applyAlignment="1">
      <alignment horizontal="left" vertical="center"/>
    </xf>
    <xf numFmtId="0" fontId="8" fillId="0" borderId="37" xfId="0" applyFont="1" applyBorder="1" applyAlignment="1">
      <alignment horizontal="left" vertical="center"/>
    </xf>
    <xf numFmtId="0" fontId="8" fillId="0" borderId="38" xfId="0" applyFont="1" applyBorder="1" applyAlignment="1">
      <alignment horizontal="left" vertical="center"/>
    </xf>
    <xf numFmtId="0" fontId="8" fillId="0" borderId="29" xfId="0" applyFont="1" applyBorder="1" applyAlignment="1">
      <alignment horizontal="left" vertical="center"/>
    </xf>
    <xf numFmtId="0" fontId="8" fillId="0" borderId="33" xfId="0" applyFont="1" applyBorder="1" applyAlignment="1">
      <alignment horizontal="left" vertical="center"/>
    </xf>
    <xf numFmtId="0" fontId="8" fillId="0" borderId="36" xfId="0" applyFont="1" applyBorder="1" applyAlignment="1">
      <alignment horizontal="left" vertical="center"/>
    </xf>
    <xf numFmtId="0" fontId="7" fillId="0" borderId="20" xfId="0" applyFont="1" applyBorder="1" applyAlignment="1">
      <alignment horizontal="left" vertical="center"/>
    </xf>
    <xf numFmtId="0" fontId="7" fillId="0" borderId="18" xfId="0" applyFont="1" applyBorder="1" applyAlignment="1">
      <alignment horizontal="left" vertical="center"/>
    </xf>
    <xf numFmtId="0" fontId="7" fillId="2" borderId="25" xfId="0" applyFont="1" applyFill="1" applyBorder="1" applyAlignment="1">
      <alignment horizontal="left" vertical="center"/>
    </xf>
    <xf numFmtId="0" fontId="7" fillId="2" borderId="27" xfId="0" applyFont="1" applyFill="1" applyBorder="1" applyAlignment="1">
      <alignment horizontal="left" vertical="center"/>
    </xf>
    <xf numFmtId="0" fontId="7" fillId="2" borderId="20" xfId="0" applyFont="1" applyFill="1" applyBorder="1" applyAlignment="1">
      <alignment horizontal="left" vertical="center"/>
    </xf>
    <xf numFmtId="0" fontId="7" fillId="2" borderId="28" xfId="0" applyFont="1" applyFill="1" applyBorder="1" applyAlignment="1">
      <alignment horizontal="left" vertical="center"/>
    </xf>
    <xf numFmtId="0" fontId="7" fillId="2" borderId="12" xfId="0" applyFont="1" applyFill="1" applyBorder="1" applyAlignment="1">
      <alignment horizontal="left" vertical="center"/>
    </xf>
    <xf numFmtId="0" fontId="7" fillId="2" borderId="17" xfId="0" applyFont="1" applyFill="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24" xfId="0" applyFont="1" applyBorder="1" applyAlignment="1">
      <alignment horizontal="left" vertical="center"/>
    </xf>
    <xf numFmtId="0" fontId="8" fillId="0" borderId="22"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7"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5" xfId="0" applyFont="1" applyBorder="1" applyAlignment="1">
      <alignment horizontal="left" vertical="center"/>
    </xf>
    <xf numFmtId="0" fontId="2" fillId="0" borderId="6" xfId="0" applyFont="1" applyBorder="1" applyAlignment="1">
      <alignment horizontal="left" vertical="center" wrapText="1"/>
    </xf>
    <xf numFmtId="0" fontId="2" fillId="0" borderId="9" xfId="0" applyFont="1" applyBorder="1" applyAlignment="1">
      <alignment horizontal="left" vertical="center"/>
    </xf>
    <xf numFmtId="0" fontId="4" fillId="0" borderId="10" xfId="0" applyFont="1" applyBorder="1" applyAlignment="1">
      <alignment horizontal="center"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3"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1" fontId="2" fillId="0" borderId="6" xfId="0" applyNumberFormat="1" applyFont="1" applyBorder="1" applyAlignment="1">
      <alignment horizontal="left" vertical="center"/>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0" fontId="3" fillId="0" borderId="0" xfId="0" applyFont="1" applyAlignment="1">
      <alignment horizontal="left" vertical="center"/>
    </xf>
    <xf numFmtId="0" fontId="2" fillId="0" borderId="20" xfId="0" applyFont="1" applyBorder="1" applyAlignment="1">
      <alignment horizontal="left" vertical="center"/>
    </xf>
    <xf numFmtId="0" fontId="2" fillId="0" borderId="28" xfId="0" applyFont="1" applyBorder="1" applyAlignment="1">
      <alignment horizontal="left" vertical="center"/>
    </xf>
    <xf numFmtId="0" fontId="2" fillId="0" borderId="18"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7" fillId="0" borderId="52" xfId="0" applyFont="1" applyBorder="1" applyAlignment="1">
      <alignment horizontal="left" vertical="center"/>
    </xf>
    <xf numFmtId="4" fontId="7" fillId="0" borderId="54" xfId="0" applyNumberFormat="1" applyFont="1" applyBorder="1" applyAlignment="1">
      <alignment horizontal="right" vertical="center"/>
    </xf>
    <xf numFmtId="0" fontId="7" fillId="0" borderId="51" xfId="0" applyFont="1" applyBorder="1" applyAlignment="1">
      <alignment horizontal="right" vertical="center"/>
    </xf>
    <xf numFmtId="0" fontId="7" fillId="0" borderId="52" xfId="0" applyFont="1" applyBorder="1" applyAlignment="1">
      <alignment horizontal="right" vertical="center"/>
    </xf>
    <xf numFmtId="0" fontId="7" fillId="0" borderId="41" xfId="0" applyFont="1"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2" fillId="3" borderId="0" xfId="0" applyFont="1" applyFill="1" applyAlignment="1" applyProtection="1">
      <alignment horizontal="left" vertical="center"/>
      <protection locked="0"/>
    </xf>
    <xf numFmtId="0" fontId="12" fillId="0" borderId="6" xfId="0" applyFont="1" applyBorder="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1" fillId="3" borderId="0" xfId="0" applyFont="1" applyFill="1" applyAlignment="1" applyProtection="1">
      <alignment horizontal="left" vertical="center"/>
      <protection locked="0"/>
    </xf>
    <xf numFmtId="0" fontId="11" fillId="0" borderId="6" xfId="0" applyFont="1" applyBorder="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63" xfId="0" applyFont="1" applyBorder="1" applyAlignment="1">
      <alignment horizontal="center" vertical="center"/>
    </xf>
    <xf numFmtId="0" fontId="3" fillId="0" borderId="43" xfId="0" applyFont="1" applyBorder="1" applyAlignment="1">
      <alignment horizontal="center" vertical="center"/>
    </xf>
    <xf numFmtId="0" fontId="3" fillId="0" borderId="64" xfId="0" applyFont="1" applyBorder="1" applyAlignment="1">
      <alignment horizontal="center" vertical="center"/>
    </xf>
    <xf numFmtId="0" fontId="3" fillId="4" borderId="40" xfId="0" applyFont="1" applyFill="1" applyBorder="1" applyAlignment="1">
      <alignment horizontal="left" vertical="center" wrapText="1"/>
    </xf>
    <xf numFmtId="0" fontId="3" fillId="4" borderId="40" xfId="0" applyFont="1" applyFill="1" applyBorder="1" applyAlignment="1">
      <alignment horizontal="lef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2" fillId="0" borderId="41" xfId="0" applyFont="1" applyBorder="1" applyAlignment="1">
      <alignment horizontal="left" vertical="center"/>
    </xf>
    <xf numFmtId="0" fontId="2" fillId="3" borderId="3" xfId="0" applyFont="1" applyFill="1" applyBorder="1" applyAlignment="1" applyProtection="1">
      <alignment horizontal="left" vertical="center"/>
      <protection locked="0"/>
    </xf>
    <xf numFmtId="0" fontId="2" fillId="3" borderId="0" xfId="0" applyFont="1" applyFill="1" applyAlignment="1" applyProtection="1">
      <alignment horizontal="left" vertical="center"/>
      <protection locked="0"/>
    </xf>
    <xf numFmtId="0" fontId="2" fillId="3" borderId="41" xfId="0" applyFont="1" applyFill="1" applyBorder="1" applyAlignment="1" applyProtection="1">
      <alignment horizontal="left" vertical="center"/>
      <protection locked="0"/>
    </xf>
    <xf numFmtId="0" fontId="2" fillId="0" borderId="55" xfId="0" applyFont="1" applyBorder="1" applyAlignment="1">
      <alignment horizontal="left" vertical="center"/>
    </xf>
    <xf numFmtId="0" fontId="2" fillId="3" borderId="6" xfId="0" applyFont="1" applyFill="1" applyBorder="1" applyAlignment="1" applyProtection="1">
      <alignment horizontal="left" vertical="center"/>
      <protection locked="0"/>
    </xf>
    <xf numFmtId="0" fontId="2" fillId="3" borderId="56" xfId="0" applyFont="1" applyFill="1" applyBorder="1" applyAlignment="1" applyProtection="1">
      <alignment horizontal="left" vertic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666750" cy="666750"/>
        </a:xfrm>
        <a:prstGeom prst="rect">
          <a:avLst/>
        </a:prstGeom>
        <a:noFill/>
        <a:ln w="9525">
          <a:noFill/>
        </a:ln>
      </xdr:spPr>
    </xdr:pic>
    <xdr:clientData/>
  </xdr:absolute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7"/>
  <sheetViews>
    <sheetView tabSelected="1" workbookViewId="0">
      <selection activeCell="C2" sqref="C2:D3"/>
    </sheetView>
  </sheetViews>
  <sheetFormatPr defaultColWidth="12.140625" defaultRowHeight="15" customHeight="1" x14ac:dyDescent="0.25"/>
  <cols>
    <col min="1" max="1" width="9.140625" customWidth="1"/>
    <col min="2" max="2" width="12.85546875" customWidth="1"/>
    <col min="3" max="3" width="27.140625" customWidth="1"/>
    <col min="4" max="4" width="10" customWidth="1"/>
    <col min="5" max="5" width="14" customWidth="1"/>
    <col min="6" max="6" width="27.140625" customWidth="1"/>
    <col min="7" max="7" width="9.140625" customWidth="1"/>
    <col min="8" max="8" width="12.85546875" customWidth="1"/>
    <col min="9" max="9" width="27.140625" customWidth="1"/>
  </cols>
  <sheetData>
    <row r="1" spans="1:9" ht="54.75" customHeight="1" x14ac:dyDescent="0.25">
      <c r="A1" s="123" t="s">
        <v>0</v>
      </c>
      <c r="B1" s="124"/>
      <c r="C1" s="124"/>
      <c r="D1" s="124"/>
      <c r="E1" s="124"/>
      <c r="F1" s="124"/>
      <c r="G1" s="124"/>
      <c r="H1" s="124"/>
      <c r="I1" s="124"/>
    </row>
    <row r="2" spans="1:9" x14ac:dyDescent="0.25">
      <c r="A2" s="125" t="s">
        <v>1</v>
      </c>
      <c r="B2" s="126"/>
      <c r="C2" s="131" t="str">
        <f>'Stavební rozpočet'!D2</f>
        <v>DNS03-03 Stavení úpravy v pavilonu A Nemocnice Nymburk s.r.o.</v>
      </c>
      <c r="D2" s="132"/>
      <c r="E2" s="122" t="s">
        <v>2</v>
      </c>
      <c r="F2" s="122" t="str">
        <f>'Stavební rozpočet'!J2</f>
        <v> </v>
      </c>
      <c r="G2" s="126"/>
      <c r="H2" s="122" t="s">
        <v>3</v>
      </c>
      <c r="I2" s="128" t="s">
        <v>4</v>
      </c>
    </row>
    <row r="3" spans="1:9" ht="15" customHeight="1" x14ac:dyDescent="0.25">
      <c r="A3" s="127"/>
      <c r="B3" s="83"/>
      <c r="C3" s="133"/>
      <c r="D3" s="133"/>
      <c r="E3" s="83"/>
      <c r="F3" s="83"/>
      <c r="G3" s="83"/>
      <c r="H3" s="83"/>
      <c r="I3" s="129"/>
    </row>
    <row r="4" spans="1:9" x14ac:dyDescent="0.25">
      <c r="A4" s="120" t="s">
        <v>5</v>
      </c>
      <c r="B4" s="83"/>
      <c r="C4" s="82" t="str">
        <f>'Stavební rozpočet'!D4</f>
        <v>Rekonstrukce ORL</v>
      </c>
      <c r="D4" s="83"/>
      <c r="E4" s="82" t="s">
        <v>6</v>
      </c>
      <c r="F4" s="82" t="str">
        <f>'Stavební rozpočet'!J4</f>
        <v xml:space="preserve">
DomusDesign
</v>
      </c>
      <c r="G4" s="83"/>
      <c r="H4" s="82" t="s">
        <v>3</v>
      </c>
      <c r="I4" s="129" t="s">
        <v>4</v>
      </c>
    </row>
    <row r="5" spans="1:9" ht="15" customHeight="1" x14ac:dyDescent="0.25">
      <c r="A5" s="127"/>
      <c r="B5" s="83"/>
      <c r="C5" s="83"/>
      <c r="D5" s="83"/>
      <c r="E5" s="83"/>
      <c r="F5" s="83"/>
      <c r="G5" s="83"/>
      <c r="H5" s="83"/>
      <c r="I5" s="129"/>
    </row>
    <row r="6" spans="1:9" x14ac:dyDescent="0.25">
      <c r="A6" s="120" t="s">
        <v>7</v>
      </c>
      <c r="B6" s="83"/>
      <c r="C6" s="82" t="str">
        <f>'Stavební rozpočet'!D6</f>
        <v>nemocnice Nymburk</v>
      </c>
      <c r="D6" s="83"/>
      <c r="E6" s="82" t="s">
        <v>8</v>
      </c>
      <c r="F6" s="82">
        <f>'Stavební rozpočet'!J6</f>
        <v>0</v>
      </c>
      <c r="G6" s="83"/>
      <c r="H6" s="82" t="s">
        <v>3</v>
      </c>
      <c r="I6" s="129" t="s">
        <v>4</v>
      </c>
    </row>
    <row r="7" spans="1:9" ht="15" customHeight="1" x14ac:dyDescent="0.25">
      <c r="A7" s="127"/>
      <c r="B7" s="83"/>
      <c r="C7" s="83"/>
      <c r="D7" s="83"/>
      <c r="E7" s="83"/>
      <c r="F7" s="83"/>
      <c r="G7" s="83"/>
      <c r="H7" s="83"/>
      <c r="I7" s="129"/>
    </row>
    <row r="8" spans="1:9" x14ac:dyDescent="0.25">
      <c r="A8" s="120" t="s">
        <v>9</v>
      </c>
      <c r="B8" s="83"/>
      <c r="C8" s="82" t="str">
        <f>'Stavební rozpočet'!H4</f>
        <v xml:space="preserve"> </v>
      </c>
      <c r="D8" s="83"/>
      <c r="E8" s="82" t="s">
        <v>10</v>
      </c>
      <c r="F8" s="82" t="str">
        <f>'Stavební rozpočet'!H6</f>
        <v xml:space="preserve"> </v>
      </c>
      <c r="G8" s="83"/>
      <c r="H8" s="83" t="s">
        <v>11</v>
      </c>
      <c r="I8" s="130">
        <v>130</v>
      </c>
    </row>
    <row r="9" spans="1:9" x14ac:dyDescent="0.25">
      <c r="A9" s="127"/>
      <c r="B9" s="83"/>
      <c r="C9" s="83"/>
      <c r="D9" s="83"/>
      <c r="E9" s="83"/>
      <c r="F9" s="83"/>
      <c r="G9" s="83"/>
      <c r="H9" s="83"/>
      <c r="I9" s="129"/>
    </row>
    <row r="10" spans="1:9" x14ac:dyDescent="0.25">
      <c r="A10" s="120" t="s">
        <v>12</v>
      </c>
      <c r="B10" s="83"/>
      <c r="C10" s="82" t="str">
        <f>'Stavební rozpočet'!D8</f>
        <v xml:space="preserve"> </v>
      </c>
      <c r="D10" s="83"/>
      <c r="E10" s="82" t="s">
        <v>13</v>
      </c>
      <c r="F10" s="82" t="str">
        <f>'Stavební rozpočet'!J8</f>
        <v> </v>
      </c>
      <c r="G10" s="83"/>
      <c r="H10" s="83" t="s">
        <v>14</v>
      </c>
      <c r="I10" s="114" t="str">
        <f>'Stavební rozpočet'!H8</f>
        <v>30.08.2024</v>
      </c>
    </row>
    <row r="11" spans="1:9" x14ac:dyDescent="0.25">
      <c r="A11" s="121"/>
      <c r="B11" s="119"/>
      <c r="C11" s="119"/>
      <c r="D11" s="119"/>
      <c r="E11" s="119"/>
      <c r="F11" s="119"/>
      <c r="G11" s="119"/>
      <c r="H11" s="119"/>
      <c r="I11" s="115"/>
    </row>
    <row r="12" spans="1:9" ht="23.25" x14ac:dyDescent="0.25">
      <c r="A12" s="116" t="s">
        <v>15</v>
      </c>
      <c r="B12" s="116"/>
      <c r="C12" s="116"/>
      <c r="D12" s="116"/>
      <c r="E12" s="116"/>
      <c r="F12" s="116"/>
      <c r="G12" s="116"/>
      <c r="H12" s="116"/>
      <c r="I12" s="116"/>
    </row>
    <row r="13" spans="1:9" ht="26.25" customHeight="1" x14ac:dyDescent="0.25">
      <c r="A13" s="4" t="s">
        <v>16</v>
      </c>
      <c r="B13" s="117" t="s">
        <v>17</v>
      </c>
      <c r="C13" s="118"/>
      <c r="D13" s="5" t="s">
        <v>18</v>
      </c>
      <c r="E13" s="117" t="s">
        <v>19</v>
      </c>
      <c r="F13" s="118"/>
      <c r="G13" s="5" t="s">
        <v>20</v>
      </c>
      <c r="H13" s="117" t="s">
        <v>21</v>
      </c>
      <c r="I13" s="118"/>
    </row>
    <row r="14" spans="1:9" ht="15.75" x14ac:dyDescent="0.25">
      <c r="A14" s="6" t="s">
        <v>22</v>
      </c>
      <c r="B14" s="7" t="s">
        <v>23</v>
      </c>
      <c r="C14" s="8">
        <f>SUM('Stavební rozpočet'!AB12:AB1094)</f>
        <v>0</v>
      </c>
      <c r="D14" s="104" t="s">
        <v>24</v>
      </c>
      <c r="E14" s="105"/>
      <c r="F14" s="8">
        <f>VORN!I15</f>
        <v>0</v>
      </c>
      <c r="G14" s="104" t="s">
        <v>25</v>
      </c>
      <c r="H14" s="105"/>
      <c r="I14" s="9">
        <f>VORN!I21</f>
        <v>0</v>
      </c>
    </row>
    <row r="15" spans="1:9" ht="15.75" x14ac:dyDescent="0.25">
      <c r="A15" s="10" t="s">
        <v>4</v>
      </c>
      <c r="B15" s="7" t="s">
        <v>26</v>
      </c>
      <c r="C15" s="8">
        <f>SUM('Stavební rozpočet'!AC12:AC1094)</f>
        <v>0</v>
      </c>
      <c r="D15" s="104" t="s">
        <v>27</v>
      </c>
      <c r="E15" s="105"/>
      <c r="F15" s="8">
        <f>VORN!I16</f>
        <v>0</v>
      </c>
      <c r="G15" s="104" t="s">
        <v>28</v>
      </c>
      <c r="H15" s="105"/>
      <c r="I15" s="9">
        <f>VORN!I22</f>
        <v>0</v>
      </c>
    </row>
    <row r="16" spans="1:9" ht="15.75" x14ac:dyDescent="0.25">
      <c r="A16" s="6" t="s">
        <v>29</v>
      </c>
      <c r="B16" s="7" t="s">
        <v>23</v>
      </c>
      <c r="C16" s="8">
        <f>SUM('Stavební rozpočet'!AD12:AD1094)</f>
        <v>0</v>
      </c>
      <c r="D16" s="104" t="s">
        <v>30</v>
      </c>
      <c r="E16" s="105"/>
      <c r="F16" s="8">
        <f>VORN!I17</f>
        <v>0</v>
      </c>
      <c r="G16" s="104" t="s">
        <v>31</v>
      </c>
      <c r="H16" s="105"/>
      <c r="I16" s="9">
        <f>VORN!I23</f>
        <v>0</v>
      </c>
    </row>
    <row r="17" spans="1:9" ht="15.75" x14ac:dyDescent="0.25">
      <c r="A17" s="10" t="s">
        <v>4</v>
      </c>
      <c r="B17" s="7" t="s">
        <v>26</v>
      </c>
      <c r="C17" s="8">
        <f>SUM('Stavební rozpočet'!AE12:AE1094)</f>
        <v>0</v>
      </c>
      <c r="D17" s="104" t="s">
        <v>4</v>
      </c>
      <c r="E17" s="105"/>
      <c r="F17" s="9" t="s">
        <v>4</v>
      </c>
      <c r="G17" s="104" t="s">
        <v>32</v>
      </c>
      <c r="H17" s="105"/>
      <c r="I17" s="9">
        <f>VORN!I24</f>
        <v>0</v>
      </c>
    </row>
    <row r="18" spans="1:9" ht="15.75" x14ac:dyDescent="0.25">
      <c r="A18" s="6" t="s">
        <v>33</v>
      </c>
      <c r="B18" s="7" t="s">
        <v>23</v>
      </c>
      <c r="C18" s="8">
        <f>SUM('Stavební rozpočet'!AF12:AF1094)</f>
        <v>0</v>
      </c>
      <c r="D18" s="104" t="s">
        <v>4</v>
      </c>
      <c r="E18" s="105"/>
      <c r="F18" s="9" t="s">
        <v>4</v>
      </c>
      <c r="G18" s="104" t="s">
        <v>34</v>
      </c>
      <c r="H18" s="105"/>
      <c r="I18" s="9">
        <f>VORN!I25</f>
        <v>0</v>
      </c>
    </row>
    <row r="19" spans="1:9" ht="15.75" x14ac:dyDescent="0.25">
      <c r="A19" s="10" t="s">
        <v>4</v>
      </c>
      <c r="B19" s="7" t="s">
        <v>26</v>
      </c>
      <c r="C19" s="8">
        <f>SUM('Stavební rozpočet'!AG12:AG1094)</f>
        <v>0</v>
      </c>
      <c r="D19" s="104" t="s">
        <v>4</v>
      </c>
      <c r="E19" s="105"/>
      <c r="F19" s="9" t="s">
        <v>4</v>
      </c>
      <c r="G19" s="104" t="s">
        <v>35</v>
      </c>
      <c r="H19" s="105"/>
      <c r="I19" s="9">
        <f>VORN!I26</f>
        <v>0</v>
      </c>
    </row>
    <row r="20" spans="1:9" ht="15.75" x14ac:dyDescent="0.25">
      <c r="A20" s="96" t="s">
        <v>36</v>
      </c>
      <c r="B20" s="97"/>
      <c r="C20" s="8">
        <f>SUM('Stavební rozpočet'!AH12:AH1094)</f>
        <v>0</v>
      </c>
      <c r="D20" s="104" t="s">
        <v>4</v>
      </c>
      <c r="E20" s="105"/>
      <c r="F20" s="9" t="s">
        <v>4</v>
      </c>
      <c r="G20" s="104" t="s">
        <v>4</v>
      </c>
      <c r="H20" s="105"/>
      <c r="I20" s="9" t="s">
        <v>4</v>
      </c>
    </row>
    <row r="21" spans="1:9" ht="15.75" x14ac:dyDescent="0.25">
      <c r="A21" s="111" t="s">
        <v>37</v>
      </c>
      <c r="B21" s="112"/>
      <c r="C21" s="11">
        <f>SUM('Stavební rozpočet'!Z12:Z1094)</f>
        <v>0</v>
      </c>
      <c r="D21" s="106" t="s">
        <v>4</v>
      </c>
      <c r="E21" s="107"/>
      <c r="F21" s="12" t="s">
        <v>4</v>
      </c>
      <c r="G21" s="106" t="s">
        <v>4</v>
      </c>
      <c r="H21" s="107"/>
      <c r="I21" s="12" t="s">
        <v>4</v>
      </c>
    </row>
    <row r="22" spans="1:9" ht="16.5" customHeight="1" x14ac:dyDescent="0.25">
      <c r="A22" s="113" t="s">
        <v>38</v>
      </c>
      <c r="B22" s="109"/>
      <c r="C22" s="13">
        <f>SUM(C14:C21)</f>
        <v>0</v>
      </c>
      <c r="D22" s="108" t="s">
        <v>39</v>
      </c>
      <c r="E22" s="109"/>
      <c r="F22" s="13">
        <f>SUM(F14:F21)</f>
        <v>0</v>
      </c>
      <c r="G22" s="108" t="s">
        <v>40</v>
      </c>
      <c r="H22" s="109"/>
      <c r="I22" s="13">
        <f>SUM(I14:I21)</f>
        <v>0</v>
      </c>
    </row>
    <row r="23" spans="1:9" ht="15.75" x14ac:dyDescent="0.25">
      <c r="D23" s="96" t="s">
        <v>41</v>
      </c>
      <c r="E23" s="97"/>
      <c r="F23" s="14">
        <v>0</v>
      </c>
      <c r="G23" s="110" t="s">
        <v>42</v>
      </c>
      <c r="H23" s="97"/>
      <c r="I23" s="8">
        <v>0</v>
      </c>
    </row>
    <row r="24" spans="1:9" ht="15.75" x14ac:dyDescent="0.25">
      <c r="G24" s="96" t="s">
        <v>43</v>
      </c>
      <c r="H24" s="97"/>
      <c r="I24" s="11">
        <f>vorn_sum</f>
        <v>0</v>
      </c>
    </row>
    <row r="25" spans="1:9" ht="15.75" x14ac:dyDescent="0.25">
      <c r="G25" s="96" t="s">
        <v>44</v>
      </c>
      <c r="H25" s="97"/>
      <c r="I25" s="13">
        <v>0</v>
      </c>
    </row>
    <row r="27" spans="1:9" ht="15.75" x14ac:dyDescent="0.25">
      <c r="A27" s="98" t="s">
        <v>45</v>
      </c>
      <c r="B27" s="99"/>
      <c r="C27" s="15">
        <f>SUM('Stavební rozpočet'!AJ12:AJ1094)</f>
        <v>0</v>
      </c>
    </row>
    <row r="28" spans="1:9" ht="15.75" x14ac:dyDescent="0.25">
      <c r="A28" s="100" t="s">
        <v>46</v>
      </c>
      <c r="B28" s="101"/>
      <c r="C28" s="16">
        <f>SUM('Stavební rozpočet'!AK12:AK1094)</f>
        <v>0</v>
      </c>
      <c r="D28" s="102" t="s">
        <v>47</v>
      </c>
      <c r="E28" s="99"/>
      <c r="F28" s="15">
        <f>ROUND(C28*(12/100),2)</f>
        <v>0</v>
      </c>
      <c r="G28" s="102" t="s">
        <v>48</v>
      </c>
      <c r="H28" s="99"/>
      <c r="I28" s="15">
        <f>SUM(C27:C29)</f>
        <v>0</v>
      </c>
    </row>
    <row r="29" spans="1:9" ht="15.75" x14ac:dyDescent="0.25">
      <c r="A29" s="100" t="s">
        <v>49</v>
      </c>
      <c r="B29" s="101"/>
      <c r="C29" s="16">
        <f>SUM('Stavební rozpočet'!AL12:AL1094)</f>
        <v>0</v>
      </c>
      <c r="D29" s="103" t="s">
        <v>50</v>
      </c>
      <c r="E29" s="101"/>
      <c r="F29" s="16">
        <f>ROUND(C29*(21/100),2)</f>
        <v>0</v>
      </c>
      <c r="G29" s="103" t="s">
        <v>51</v>
      </c>
      <c r="H29" s="101"/>
      <c r="I29" s="16">
        <f>SUM(F28:F29)+I28</f>
        <v>0</v>
      </c>
    </row>
    <row r="31" spans="1:9" x14ac:dyDescent="0.25">
      <c r="A31" s="93" t="s">
        <v>52</v>
      </c>
      <c r="B31" s="85"/>
      <c r="C31" s="86"/>
      <c r="D31" s="84" t="s">
        <v>53</v>
      </c>
      <c r="E31" s="85"/>
      <c r="F31" s="86"/>
      <c r="G31" s="84" t="s">
        <v>54</v>
      </c>
      <c r="H31" s="85"/>
      <c r="I31" s="86"/>
    </row>
    <row r="32" spans="1:9" x14ac:dyDescent="0.25">
      <c r="A32" s="94" t="s">
        <v>4</v>
      </c>
      <c r="B32" s="88"/>
      <c r="C32" s="89"/>
      <c r="D32" s="87" t="s">
        <v>4</v>
      </c>
      <c r="E32" s="88"/>
      <c r="F32" s="89"/>
      <c r="G32" s="87" t="s">
        <v>4</v>
      </c>
      <c r="H32" s="88"/>
      <c r="I32" s="89"/>
    </row>
    <row r="33" spans="1:9" x14ac:dyDescent="0.25">
      <c r="A33" s="94" t="s">
        <v>4</v>
      </c>
      <c r="B33" s="88"/>
      <c r="C33" s="89"/>
      <c r="D33" s="87" t="s">
        <v>4</v>
      </c>
      <c r="E33" s="88"/>
      <c r="F33" s="89"/>
      <c r="G33" s="87" t="s">
        <v>4</v>
      </c>
      <c r="H33" s="88"/>
      <c r="I33" s="89"/>
    </row>
    <row r="34" spans="1:9" x14ac:dyDescent="0.25">
      <c r="A34" s="94" t="s">
        <v>4</v>
      </c>
      <c r="B34" s="88"/>
      <c r="C34" s="89"/>
      <c r="D34" s="87" t="s">
        <v>4</v>
      </c>
      <c r="E34" s="88"/>
      <c r="F34" s="89"/>
      <c r="G34" s="87" t="s">
        <v>4</v>
      </c>
      <c r="H34" s="88"/>
      <c r="I34" s="89"/>
    </row>
    <row r="35" spans="1:9" x14ac:dyDescent="0.25">
      <c r="A35" s="95" t="s">
        <v>55</v>
      </c>
      <c r="B35" s="91"/>
      <c r="C35" s="92"/>
      <c r="D35" s="90" t="s">
        <v>55</v>
      </c>
      <c r="E35" s="91"/>
      <c r="F35" s="92"/>
      <c r="G35" s="90" t="s">
        <v>55</v>
      </c>
      <c r="H35" s="91"/>
      <c r="I35" s="92"/>
    </row>
    <row r="36" spans="1:9" x14ac:dyDescent="0.25">
      <c r="A36" s="17" t="s">
        <v>56</v>
      </c>
    </row>
    <row r="37" spans="1:9" ht="12.75" customHeight="1" x14ac:dyDescent="0.25">
      <c r="A37" s="82" t="s">
        <v>4</v>
      </c>
      <c r="B37" s="83"/>
      <c r="C37" s="83"/>
      <c r="D37" s="83"/>
      <c r="E37" s="83"/>
      <c r="F37" s="83"/>
      <c r="G37" s="83"/>
      <c r="H37" s="83"/>
      <c r="I37" s="83"/>
    </row>
  </sheetData>
  <mergeCells count="83">
    <mergeCell ref="A1:I1"/>
    <mergeCell ref="A2:B3"/>
    <mergeCell ref="A4:B5"/>
    <mergeCell ref="A6:B7"/>
    <mergeCell ref="A8:B9"/>
    <mergeCell ref="F2:G3"/>
    <mergeCell ref="F4:G5"/>
    <mergeCell ref="F6:G7"/>
    <mergeCell ref="F8:G9"/>
    <mergeCell ref="I2:I3"/>
    <mergeCell ref="I4:I5"/>
    <mergeCell ref="I6:I7"/>
    <mergeCell ref="I8:I9"/>
    <mergeCell ref="C2:D3"/>
    <mergeCell ref="C4:D5"/>
    <mergeCell ref="C6:D7"/>
    <mergeCell ref="C8:D9"/>
    <mergeCell ref="C10:D11"/>
    <mergeCell ref="E2:E3"/>
    <mergeCell ref="E4:E5"/>
    <mergeCell ref="E6:E7"/>
    <mergeCell ref="E8:E9"/>
    <mergeCell ref="E10:E11"/>
    <mergeCell ref="H2:H3"/>
    <mergeCell ref="H4:H5"/>
    <mergeCell ref="H6:H7"/>
    <mergeCell ref="H8:H9"/>
    <mergeCell ref="H10:H11"/>
    <mergeCell ref="I10:I11"/>
    <mergeCell ref="A12:I12"/>
    <mergeCell ref="B13:C13"/>
    <mergeCell ref="E13:F13"/>
    <mergeCell ref="H13:I13"/>
    <mergeCell ref="F10:G11"/>
    <mergeCell ref="A10:B11"/>
    <mergeCell ref="A20:B20"/>
    <mergeCell ref="A21:B21"/>
    <mergeCell ref="A22:B22"/>
    <mergeCell ref="D14:E14"/>
    <mergeCell ref="D15:E15"/>
    <mergeCell ref="D16:E16"/>
    <mergeCell ref="D17:E17"/>
    <mergeCell ref="D18:E18"/>
    <mergeCell ref="D19:E19"/>
    <mergeCell ref="D20:E20"/>
    <mergeCell ref="D21:E21"/>
    <mergeCell ref="D22:E22"/>
    <mergeCell ref="D23:E23"/>
    <mergeCell ref="G14:H14"/>
    <mergeCell ref="G15:H15"/>
    <mergeCell ref="G16:H16"/>
    <mergeCell ref="G17:H17"/>
    <mergeCell ref="G18:H18"/>
    <mergeCell ref="G19:H19"/>
    <mergeCell ref="G20:H20"/>
    <mergeCell ref="G21:H21"/>
    <mergeCell ref="G22:H22"/>
    <mergeCell ref="G23:H23"/>
    <mergeCell ref="G24:H24"/>
    <mergeCell ref="G25:H25"/>
    <mergeCell ref="A27:B27"/>
    <mergeCell ref="A28:B28"/>
    <mergeCell ref="A29:B29"/>
    <mergeCell ref="D28:E28"/>
    <mergeCell ref="D29:E29"/>
    <mergeCell ref="G28:H28"/>
    <mergeCell ref="G29:H29"/>
    <mergeCell ref="A37:I37"/>
    <mergeCell ref="G31:I31"/>
    <mergeCell ref="G32:I32"/>
    <mergeCell ref="G33:I33"/>
    <mergeCell ref="G34:I34"/>
    <mergeCell ref="G35:I35"/>
    <mergeCell ref="D31:F31"/>
    <mergeCell ref="D32:F32"/>
    <mergeCell ref="D33:F33"/>
    <mergeCell ref="D34:F34"/>
    <mergeCell ref="D35:F35"/>
    <mergeCell ref="A31:C31"/>
    <mergeCell ref="A32:C32"/>
    <mergeCell ref="A33:C33"/>
    <mergeCell ref="A34:C34"/>
    <mergeCell ref="A35:C35"/>
  </mergeCells>
  <pageMargins left="0.393999993801117" right="0.393999993801117" top="0.59100002050399802" bottom="0.59100002050399802"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5"/>
  <sheetViews>
    <sheetView workbookViewId="0">
      <selection activeCell="A45" sqref="A45:E45"/>
    </sheetView>
  </sheetViews>
  <sheetFormatPr defaultColWidth="12.140625" defaultRowHeight="15" customHeight="1" x14ac:dyDescent="0.25"/>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7.140625" customWidth="1"/>
    <col min="9" max="9" width="22.85546875" customWidth="1"/>
  </cols>
  <sheetData>
    <row r="1" spans="1:9" ht="54.75" customHeight="1" x14ac:dyDescent="0.25">
      <c r="A1" s="123" t="s">
        <v>57</v>
      </c>
      <c r="B1" s="124"/>
      <c r="C1" s="124"/>
      <c r="D1" s="124"/>
      <c r="E1" s="124"/>
      <c r="F1" s="124"/>
      <c r="G1" s="124"/>
      <c r="H1" s="124"/>
      <c r="I1" s="124"/>
    </row>
    <row r="2" spans="1:9" x14ac:dyDescent="0.25">
      <c r="A2" s="125" t="s">
        <v>1</v>
      </c>
      <c r="B2" s="126"/>
      <c r="C2" s="131" t="str">
        <f>'Stavební rozpočet'!D2</f>
        <v>DNS03-03 Stavení úpravy v pavilonu A Nemocnice Nymburk s.r.o.</v>
      </c>
      <c r="D2" s="132"/>
      <c r="E2" s="122" t="s">
        <v>2</v>
      </c>
      <c r="F2" s="122" t="str">
        <f>'Stavební rozpočet'!J2</f>
        <v> </v>
      </c>
      <c r="G2" s="126"/>
      <c r="H2" s="122" t="s">
        <v>3</v>
      </c>
      <c r="I2" s="128" t="s">
        <v>4</v>
      </c>
    </row>
    <row r="3" spans="1:9" ht="15" customHeight="1" x14ac:dyDescent="0.25">
      <c r="A3" s="127"/>
      <c r="B3" s="83"/>
      <c r="C3" s="133"/>
      <c r="D3" s="133"/>
      <c r="E3" s="83"/>
      <c r="F3" s="83"/>
      <c r="G3" s="83"/>
      <c r="H3" s="83"/>
      <c r="I3" s="129"/>
    </row>
    <row r="4" spans="1:9" x14ac:dyDescent="0.25">
      <c r="A4" s="120" t="s">
        <v>5</v>
      </c>
      <c r="B4" s="83"/>
      <c r="C4" s="82" t="str">
        <f>'Stavební rozpočet'!D4</f>
        <v>Rekonstrukce ORL</v>
      </c>
      <c r="D4" s="83"/>
      <c r="E4" s="82" t="s">
        <v>6</v>
      </c>
      <c r="F4" s="82" t="str">
        <f>'Stavební rozpočet'!J4</f>
        <v xml:space="preserve">
DomusDesign
</v>
      </c>
      <c r="G4" s="83"/>
      <c r="H4" s="82" t="s">
        <v>3</v>
      </c>
      <c r="I4" s="129" t="s">
        <v>4</v>
      </c>
    </row>
    <row r="5" spans="1:9" ht="15" customHeight="1" x14ac:dyDescent="0.25">
      <c r="A5" s="127"/>
      <c r="B5" s="83"/>
      <c r="C5" s="83"/>
      <c r="D5" s="83"/>
      <c r="E5" s="83"/>
      <c r="F5" s="83"/>
      <c r="G5" s="83"/>
      <c r="H5" s="83"/>
      <c r="I5" s="129"/>
    </row>
    <row r="6" spans="1:9" x14ac:dyDescent="0.25">
      <c r="A6" s="120" t="s">
        <v>7</v>
      </c>
      <c r="B6" s="83"/>
      <c r="C6" s="82" t="str">
        <f>'Stavební rozpočet'!D6</f>
        <v>nemocnice Nymburk</v>
      </c>
      <c r="D6" s="83"/>
      <c r="E6" s="82" t="s">
        <v>8</v>
      </c>
      <c r="F6" s="82">
        <f>'Stavební rozpočet'!J6</f>
        <v>0</v>
      </c>
      <c r="G6" s="83"/>
      <c r="H6" s="82" t="s">
        <v>3</v>
      </c>
      <c r="I6" s="129" t="s">
        <v>4</v>
      </c>
    </row>
    <row r="7" spans="1:9" ht="15" customHeight="1" x14ac:dyDescent="0.25">
      <c r="A7" s="127"/>
      <c r="B7" s="83"/>
      <c r="C7" s="83"/>
      <c r="D7" s="83"/>
      <c r="E7" s="83"/>
      <c r="F7" s="83"/>
      <c r="G7" s="83"/>
      <c r="H7" s="83"/>
      <c r="I7" s="129"/>
    </row>
    <row r="8" spans="1:9" x14ac:dyDescent="0.25">
      <c r="A8" s="120" t="s">
        <v>9</v>
      </c>
      <c r="B8" s="83"/>
      <c r="C8" s="82" t="str">
        <f>'Stavební rozpočet'!H4</f>
        <v xml:space="preserve"> </v>
      </c>
      <c r="D8" s="83"/>
      <c r="E8" s="82" t="s">
        <v>10</v>
      </c>
      <c r="F8" s="82" t="str">
        <f>'Stavební rozpočet'!H6</f>
        <v xml:space="preserve"> </v>
      </c>
      <c r="G8" s="83"/>
      <c r="H8" s="83" t="s">
        <v>11</v>
      </c>
      <c r="I8" s="130">
        <v>130</v>
      </c>
    </row>
    <row r="9" spans="1:9" x14ac:dyDescent="0.25">
      <c r="A9" s="127"/>
      <c r="B9" s="83"/>
      <c r="C9" s="83"/>
      <c r="D9" s="83"/>
      <c r="E9" s="83"/>
      <c r="F9" s="83"/>
      <c r="G9" s="83"/>
      <c r="H9" s="83"/>
      <c r="I9" s="129"/>
    </row>
    <row r="10" spans="1:9" x14ac:dyDescent="0.25">
      <c r="A10" s="120" t="s">
        <v>12</v>
      </c>
      <c r="B10" s="83"/>
      <c r="C10" s="82" t="str">
        <f>'Stavební rozpočet'!D8</f>
        <v xml:space="preserve"> </v>
      </c>
      <c r="D10" s="83"/>
      <c r="E10" s="82" t="s">
        <v>13</v>
      </c>
      <c r="F10" s="82" t="str">
        <f>'Stavební rozpočet'!J8</f>
        <v> </v>
      </c>
      <c r="G10" s="83"/>
      <c r="H10" s="83" t="s">
        <v>14</v>
      </c>
      <c r="I10" s="114" t="str">
        <f>'Stavební rozpočet'!H8</f>
        <v>30.08.2024</v>
      </c>
    </row>
    <row r="11" spans="1:9" x14ac:dyDescent="0.25">
      <c r="A11" s="121"/>
      <c r="B11" s="119"/>
      <c r="C11" s="119"/>
      <c r="D11" s="119"/>
      <c r="E11" s="119"/>
      <c r="F11" s="119"/>
      <c r="G11" s="119"/>
      <c r="H11" s="119"/>
      <c r="I11" s="115"/>
    </row>
    <row r="13" spans="1:9" ht="15.75" x14ac:dyDescent="0.25">
      <c r="A13" s="149" t="s">
        <v>58</v>
      </c>
      <c r="B13" s="149"/>
      <c r="C13" s="149"/>
      <c r="D13" s="149"/>
      <c r="E13" s="149"/>
    </row>
    <row r="14" spans="1:9" x14ac:dyDescent="0.25">
      <c r="A14" s="150" t="s">
        <v>59</v>
      </c>
      <c r="B14" s="151"/>
      <c r="C14" s="151"/>
      <c r="D14" s="151"/>
      <c r="E14" s="152"/>
      <c r="F14" s="18" t="s">
        <v>60</v>
      </c>
      <c r="G14" s="18" t="s">
        <v>61</v>
      </c>
      <c r="H14" s="18" t="s">
        <v>62</v>
      </c>
      <c r="I14" s="18" t="s">
        <v>60</v>
      </c>
    </row>
    <row r="15" spans="1:9" x14ac:dyDescent="0.25">
      <c r="A15" s="134" t="s">
        <v>24</v>
      </c>
      <c r="B15" s="135"/>
      <c r="C15" s="135"/>
      <c r="D15" s="135"/>
      <c r="E15" s="136"/>
      <c r="F15" s="19">
        <v>0</v>
      </c>
      <c r="G15" s="20" t="s">
        <v>4</v>
      </c>
      <c r="H15" s="20" t="s">
        <v>4</v>
      </c>
      <c r="I15" s="19">
        <f>F15</f>
        <v>0</v>
      </c>
    </row>
    <row r="16" spans="1:9" x14ac:dyDescent="0.25">
      <c r="A16" s="134" t="s">
        <v>27</v>
      </c>
      <c r="B16" s="135"/>
      <c r="C16" s="135"/>
      <c r="D16" s="135"/>
      <c r="E16" s="136"/>
      <c r="F16" s="19">
        <v>0</v>
      </c>
      <c r="G16" s="20" t="s">
        <v>4</v>
      </c>
      <c r="H16" s="20" t="s">
        <v>4</v>
      </c>
      <c r="I16" s="19">
        <f>F16</f>
        <v>0</v>
      </c>
    </row>
    <row r="17" spans="1:9" x14ac:dyDescent="0.25">
      <c r="A17" s="137" t="s">
        <v>30</v>
      </c>
      <c r="B17" s="138"/>
      <c r="C17" s="138"/>
      <c r="D17" s="138"/>
      <c r="E17" s="139"/>
      <c r="F17" s="21">
        <v>0</v>
      </c>
      <c r="G17" s="22" t="s">
        <v>4</v>
      </c>
      <c r="H17" s="22" t="s">
        <v>4</v>
      </c>
      <c r="I17" s="21">
        <f>F17</f>
        <v>0</v>
      </c>
    </row>
    <row r="18" spans="1:9" x14ac:dyDescent="0.25">
      <c r="A18" s="140" t="s">
        <v>63</v>
      </c>
      <c r="B18" s="141"/>
      <c r="C18" s="141"/>
      <c r="D18" s="141"/>
      <c r="E18" s="142"/>
      <c r="F18" s="23" t="s">
        <v>4</v>
      </c>
      <c r="G18" s="24" t="s">
        <v>4</v>
      </c>
      <c r="H18" s="24" t="s">
        <v>4</v>
      </c>
      <c r="I18" s="25">
        <f>SUM(I15:I17)</f>
        <v>0</v>
      </c>
    </row>
    <row r="20" spans="1:9" x14ac:dyDescent="0.25">
      <c r="A20" s="150" t="s">
        <v>21</v>
      </c>
      <c r="B20" s="151"/>
      <c r="C20" s="151"/>
      <c r="D20" s="151"/>
      <c r="E20" s="152"/>
      <c r="F20" s="18" t="s">
        <v>60</v>
      </c>
      <c r="G20" s="18" t="s">
        <v>61</v>
      </c>
      <c r="H20" s="18" t="s">
        <v>62</v>
      </c>
      <c r="I20" s="18" t="s">
        <v>60</v>
      </c>
    </row>
    <row r="21" spans="1:9" x14ac:dyDescent="0.25">
      <c r="A21" s="134" t="s">
        <v>25</v>
      </c>
      <c r="B21" s="135"/>
      <c r="C21" s="135"/>
      <c r="D21" s="135"/>
      <c r="E21" s="136"/>
      <c r="F21" s="19">
        <v>0</v>
      </c>
      <c r="G21" s="20" t="s">
        <v>4</v>
      </c>
      <c r="H21" s="20" t="s">
        <v>4</v>
      </c>
      <c r="I21" s="19">
        <f t="shared" ref="I21:I26" si="0">F21</f>
        <v>0</v>
      </c>
    </row>
    <row r="22" spans="1:9" x14ac:dyDescent="0.25">
      <c r="A22" s="134" t="s">
        <v>28</v>
      </c>
      <c r="B22" s="135"/>
      <c r="C22" s="135"/>
      <c r="D22" s="135"/>
      <c r="E22" s="136"/>
      <c r="F22" s="19">
        <v>0</v>
      </c>
      <c r="G22" s="20" t="s">
        <v>4</v>
      </c>
      <c r="H22" s="20" t="s">
        <v>4</v>
      </c>
      <c r="I22" s="19">
        <f t="shared" si="0"/>
        <v>0</v>
      </c>
    </row>
    <row r="23" spans="1:9" x14ac:dyDescent="0.25">
      <c r="A23" s="134" t="s">
        <v>31</v>
      </c>
      <c r="B23" s="135"/>
      <c r="C23" s="135"/>
      <c r="D23" s="135"/>
      <c r="E23" s="136"/>
      <c r="F23" s="19">
        <v>0</v>
      </c>
      <c r="G23" s="20" t="s">
        <v>4</v>
      </c>
      <c r="H23" s="20" t="s">
        <v>4</v>
      </c>
      <c r="I23" s="19">
        <f t="shared" si="0"/>
        <v>0</v>
      </c>
    </row>
    <row r="24" spans="1:9" x14ac:dyDescent="0.25">
      <c r="A24" s="134" t="s">
        <v>32</v>
      </c>
      <c r="B24" s="135"/>
      <c r="C24" s="135"/>
      <c r="D24" s="135"/>
      <c r="E24" s="136"/>
      <c r="F24" s="19">
        <v>0</v>
      </c>
      <c r="G24" s="20" t="s">
        <v>4</v>
      </c>
      <c r="H24" s="20" t="s">
        <v>4</v>
      </c>
      <c r="I24" s="19">
        <f t="shared" si="0"/>
        <v>0</v>
      </c>
    </row>
    <row r="25" spans="1:9" x14ac:dyDescent="0.25">
      <c r="A25" s="134" t="s">
        <v>34</v>
      </c>
      <c r="B25" s="135"/>
      <c r="C25" s="135"/>
      <c r="D25" s="135"/>
      <c r="E25" s="136"/>
      <c r="F25" s="19">
        <v>0</v>
      </c>
      <c r="G25" s="20" t="s">
        <v>4</v>
      </c>
      <c r="H25" s="20" t="s">
        <v>4</v>
      </c>
      <c r="I25" s="19">
        <f t="shared" si="0"/>
        <v>0</v>
      </c>
    </row>
    <row r="26" spans="1:9" x14ac:dyDescent="0.25">
      <c r="A26" s="137" t="s">
        <v>35</v>
      </c>
      <c r="B26" s="138"/>
      <c r="C26" s="138"/>
      <c r="D26" s="138"/>
      <c r="E26" s="139"/>
      <c r="F26" s="21">
        <v>0</v>
      </c>
      <c r="G26" s="22" t="s">
        <v>4</v>
      </c>
      <c r="H26" s="22" t="s">
        <v>4</v>
      </c>
      <c r="I26" s="21">
        <f t="shared" si="0"/>
        <v>0</v>
      </c>
    </row>
    <row r="27" spans="1:9" x14ac:dyDescent="0.25">
      <c r="A27" s="140" t="s">
        <v>64</v>
      </c>
      <c r="B27" s="141"/>
      <c r="C27" s="141"/>
      <c r="D27" s="141"/>
      <c r="E27" s="142"/>
      <c r="F27" s="23" t="s">
        <v>4</v>
      </c>
      <c r="G27" s="24" t="s">
        <v>4</v>
      </c>
      <c r="H27" s="24" t="s">
        <v>4</v>
      </c>
      <c r="I27" s="25">
        <f>SUM(I21:I26)</f>
        <v>0</v>
      </c>
    </row>
    <row r="29" spans="1:9" ht="15.75" x14ac:dyDescent="0.25">
      <c r="A29" s="143" t="s">
        <v>65</v>
      </c>
      <c r="B29" s="144"/>
      <c r="C29" s="144"/>
      <c r="D29" s="144"/>
      <c r="E29" s="145"/>
      <c r="F29" s="146">
        <f>I18+I27</f>
        <v>0</v>
      </c>
      <c r="G29" s="147"/>
      <c r="H29" s="147"/>
      <c r="I29" s="148"/>
    </row>
    <row r="33" spans="1:9" ht="15.75" x14ac:dyDescent="0.25">
      <c r="A33" s="149" t="s">
        <v>66</v>
      </c>
      <c r="B33" s="149"/>
      <c r="C33" s="149"/>
      <c r="D33" s="149"/>
      <c r="E33" s="149"/>
    </row>
    <row r="34" spans="1:9" x14ac:dyDescent="0.25">
      <c r="A34" s="150" t="s">
        <v>67</v>
      </c>
      <c r="B34" s="151"/>
      <c r="C34" s="151"/>
      <c r="D34" s="151"/>
      <c r="E34" s="152"/>
      <c r="F34" s="18" t="s">
        <v>60</v>
      </c>
      <c r="G34" s="18" t="s">
        <v>61</v>
      </c>
      <c r="H34" s="18" t="s">
        <v>62</v>
      </c>
      <c r="I34" s="18" t="s">
        <v>60</v>
      </c>
    </row>
    <row r="35" spans="1:9" x14ac:dyDescent="0.25">
      <c r="A35" s="134" t="s">
        <v>68</v>
      </c>
      <c r="B35" s="135"/>
      <c r="C35" s="135"/>
      <c r="D35" s="135"/>
      <c r="E35" s="136"/>
      <c r="F35" s="19">
        <f>SUM('Stavební rozpočet'!BM12:BM1094)</f>
        <v>0</v>
      </c>
      <c r="G35" s="20" t="s">
        <v>4</v>
      </c>
      <c r="H35" s="20" t="s">
        <v>4</v>
      </c>
      <c r="I35" s="19">
        <f t="shared" ref="I35:I44" si="1">F35</f>
        <v>0</v>
      </c>
    </row>
    <row r="36" spans="1:9" x14ac:dyDescent="0.25">
      <c r="A36" s="134" t="s">
        <v>69</v>
      </c>
      <c r="B36" s="135"/>
      <c r="C36" s="135"/>
      <c r="D36" s="135"/>
      <c r="E36" s="136"/>
      <c r="F36" s="19">
        <f>SUM('Stavební rozpočet'!BN12:BN1094)</f>
        <v>0</v>
      </c>
      <c r="G36" s="20" t="s">
        <v>4</v>
      </c>
      <c r="H36" s="20" t="s">
        <v>4</v>
      </c>
      <c r="I36" s="19">
        <f t="shared" si="1"/>
        <v>0</v>
      </c>
    </row>
    <row r="37" spans="1:9" x14ac:dyDescent="0.25">
      <c r="A37" s="134" t="s">
        <v>25</v>
      </c>
      <c r="B37" s="135"/>
      <c r="C37" s="135"/>
      <c r="D37" s="135"/>
      <c r="E37" s="136"/>
      <c r="F37" s="19">
        <f>SUM('Stavební rozpočet'!BO12:BO1094)</f>
        <v>0</v>
      </c>
      <c r="G37" s="20" t="s">
        <v>4</v>
      </c>
      <c r="H37" s="20" t="s">
        <v>4</v>
      </c>
      <c r="I37" s="19">
        <f t="shared" si="1"/>
        <v>0</v>
      </c>
    </row>
    <row r="38" spans="1:9" x14ac:dyDescent="0.25">
      <c r="A38" s="134" t="s">
        <v>70</v>
      </c>
      <c r="B38" s="135"/>
      <c r="C38" s="135"/>
      <c r="D38" s="135"/>
      <c r="E38" s="136"/>
      <c r="F38" s="19">
        <f>SUM('Stavební rozpočet'!BP12:BP1094)</f>
        <v>0</v>
      </c>
      <c r="G38" s="20" t="s">
        <v>4</v>
      </c>
      <c r="H38" s="20" t="s">
        <v>4</v>
      </c>
      <c r="I38" s="19">
        <f t="shared" si="1"/>
        <v>0</v>
      </c>
    </row>
    <row r="39" spans="1:9" x14ac:dyDescent="0.25">
      <c r="A39" s="134" t="s">
        <v>71</v>
      </c>
      <c r="B39" s="135"/>
      <c r="C39" s="135"/>
      <c r="D39" s="135"/>
      <c r="E39" s="136"/>
      <c r="F39" s="19">
        <f>SUM('Stavební rozpočet'!BQ12:BQ1094)</f>
        <v>0</v>
      </c>
      <c r="G39" s="20" t="s">
        <v>4</v>
      </c>
      <c r="H39" s="20" t="s">
        <v>4</v>
      </c>
      <c r="I39" s="19">
        <f t="shared" si="1"/>
        <v>0</v>
      </c>
    </row>
    <row r="40" spans="1:9" x14ac:dyDescent="0.25">
      <c r="A40" s="134" t="s">
        <v>31</v>
      </c>
      <c r="B40" s="135"/>
      <c r="C40" s="135"/>
      <c r="D40" s="135"/>
      <c r="E40" s="136"/>
      <c r="F40" s="19">
        <f>SUM('Stavební rozpočet'!BR12:BR1094)</f>
        <v>0</v>
      </c>
      <c r="G40" s="20" t="s">
        <v>4</v>
      </c>
      <c r="H40" s="20" t="s">
        <v>4</v>
      </c>
      <c r="I40" s="19">
        <f t="shared" si="1"/>
        <v>0</v>
      </c>
    </row>
    <row r="41" spans="1:9" x14ac:dyDescent="0.25">
      <c r="A41" s="134" t="s">
        <v>32</v>
      </c>
      <c r="B41" s="135"/>
      <c r="C41" s="135"/>
      <c r="D41" s="135"/>
      <c r="E41" s="136"/>
      <c r="F41" s="19">
        <f>SUM('Stavební rozpočet'!BS12:BS1094)</f>
        <v>0</v>
      </c>
      <c r="G41" s="20" t="s">
        <v>4</v>
      </c>
      <c r="H41" s="20" t="s">
        <v>4</v>
      </c>
      <c r="I41" s="19">
        <f t="shared" si="1"/>
        <v>0</v>
      </c>
    </row>
    <row r="42" spans="1:9" x14ac:dyDescent="0.25">
      <c r="A42" s="134" t="s">
        <v>72</v>
      </c>
      <c r="B42" s="135"/>
      <c r="C42" s="135"/>
      <c r="D42" s="135"/>
      <c r="E42" s="136"/>
      <c r="F42" s="19">
        <f>SUM('Stavební rozpočet'!BT12:BT1094)</f>
        <v>0</v>
      </c>
      <c r="G42" s="20" t="s">
        <v>4</v>
      </c>
      <c r="H42" s="20" t="s">
        <v>4</v>
      </c>
      <c r="I42" s="19">
        <f t="shared" si="1"/>
        <v>0</v>
      </c>
    </row>
    <row r="43" spans="1:9" x14ac:dyDescent="0.25">
      <c r="A43" s="134" t="s">
        <v>73</v>
      </c>
      <c r="B43" s="135"/>
      <c r="C43" s="135"/>
      <c r="D43" s="135"/>
      <c r="E43" s="136"/>
      <c r="F43" s="19">
        <f>SUM('Stavební rozpočet'!BU12:BU1094)</f>
        <v>0</v>
      </c>
      <c r="G43" s="20" t="s">
        <v>4</v>
      </c>
      <c r="H43" s="20" t="s">
        <v>4</v>
      </c>
      <c r="I43" s="19">
        <f t="shared" si="1"/>
        <v>0</v>
      </c>
    </row>
    <row r="44" spans="1:9" x14ac:dyDescent="0.25">
      <c r="A44" s="137" t="s">
        <v>74</v>
      </c>
      <c r="B44" s="138"/>
      <c r="C44" s="138"/>
      <c r="D44" s="138"/>
      <c r="E44" s="139"/>
      <c r="F44" s="21">
        <f>SUM('Stavební rozpočet'!BV12:BV1094)</f>
        <v>0</v>
      </c>
      <c r="G44" s="22" t="s">
        <v>4</v>
      </c>
      <c r="H44" s="22" t="s">
        <v>4</v>
      </c>
      <c r="I44" s="21">
        <f t="shared" si="1"/>
        <v>0</v>
      </c>
    </row>
    <row r="45" spans="1:9" x14ac:dyDescent="0.25">
      <c r="A45" s="140" t="s">
        <v>75</v>
      </c>
      <c r="B45" s="141"/>
      <c r="C45" s="141"/>
      <c r="D45" s="141"/>
      <c r="E45" s="142"/>
      <c r="F45" s="23" t="s">
        <v>4</v>
      </c>
      <c r="G45" s="24" t="s">
        <v>4</v>
      </c>
      <c r="H45" s="24" t="s">
        <v>4</v>
      </c>
      <c r="I45" s="25">
        <f>SUM(I35:I44)</f>
        <v>0</v>
      </c>
    </row>
  </sheetData>
  <sheetProtection password="CC2B" sheet="1"/>
  <mergeCells count="60">
    <mergeCell ref="A1:I1"/>
    <mergeCell ref="A2:B3"/>
    <mergeCell ref="A4:B5"/>
    <mergeCell ref="A6:B7"/>
    <mergeCell ref="A8:B9"/>
    <mergeCell ref="H2:H3"/>
    <mergeCell ref="H4:H5"/>
    <mergeCell ref="H6:H7"/>
    <mergeCell ref="H8:H9"/>
    <mergeCell ref="I2:I3"/>
    <mergeCell ref="I4:I5"/>
    <mergeCell ref="I6:I7"/>
    <mergeCell ref="I8:I9"/>
    <mergeCell ref="E2:E3"/>
    <mergeCell ref="E4:E5"/>
    <mergeCell ref="E6:E7"/>
    <mergeCell ref="E8:E9"/>
    <mergeCell ref="E10:E11"/>
    <mergeCell ref="F2:G3"/>
    <mergeCell ref="F4:G5"/>
    <mergeCell ref="F6:G7"/>
    <mergeCell ref="F8:G9"/>
    <mergeCell ref="F10:G11"/>
    <mergeCell ref="C2:D3"/>
    <mergeCell ref="C4:D5"/>
    <mergeCell ref="C6:D7"/>
    <mergeCell ref="C8:D9"/>
    <mergeCell ref="C10:D11"/>
    <mergeCell ref="I10:I11"/>
    <mergeCell ref="A13:E13"/>
    <mergeCell ref="A14:E14"/>
    <mergeCell ref="A15:E15"/>
    <mergeCell ref="A16:E16"/>
    <mergeCell ref="H10:H11"/>
    <mergeCell ref="A10:B11"/>
    <mergeCell ref="A17:E17"/>
    <mergeCell ref="A18:E18"/>
    <mergeCell ref="A20:E20"/>
    <mergeCell ref="A21:E21"/>
    <mergeCell ref="A22:E22"/>
    <mergeCell ref="A23:E23"/>
    <mergeCell ref="A24:E24"/>
    <mergeCell ref="A25:E25"/>
    <mergeCell ref="A26:E26"/>
    <mergeCell ref="A27:E27"/>
    <mergeCell ref="A29:E29"/>
    <mergeCell ref="F29:I29"/>
    <mergeCell ref="A33:E33"/>
    <mergeCell ref="A34:E34"/>
    <mergeCell ref="A35:E35"/>
    <mergeCell ref="A36:E36"/>
    <mergeCell ref="A37:E37"/>
    <mergeCell ref="A38:E38"/>
    <mergeCell ref="A39:E39"/>
    <mergeCell ref="A40:E40"/>
    <mergeCell ref="A41:E41"/>
    <mergeCell ref="A42:E42"/>
    <mergeCell ref="A43:E43"/>
    <mergeCell ref="A44:E44"/>
    <mergeCell ref="A45:E45"/>
  </mergeCells>
  <pageMargins left="0.393999993801117" right="0.393999993801117" top="0.59100002050399802" bottom="0.59100002050399802" header="0" footer="0"/>
  <pageSetup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Z1097"/>
  <sheetViews>
    <sheetView workbookViewId="0">
      <pane ySplit="11" topLeftCell="A12" activePane="bottomLeft" state="frozen"/>
      <selection pane="bottomLeft" activeCell="A12" sqref="A12"/>
    </sheetView>
  </sheetViews>
  <sheetFormatPr defaultColWidth="12.140625" defaultRowHeight="15" customHeight="1" x14ac:dyDescent="0.25"/>
  <cols>
    <col min="1" max="1" width="3.140625" customWidth="1"/>
    <col min="2" max="2" width="7.5703125" customWidth="1"/>
    <col min="3" max="3" width="17.85546875" customWidth="1"/>
    <col min="4" max="4" width="42.85546875" customWidth="1"/>
    <col min="5" max="5" width="35.7109375" customWidth="1"/>
    <col min="6" max="6" width="6.7109375" customWidth="1"/>
    <col min="7" max="7" width="12.85546875" customWidth="1"/>
    <col min="8" max="8" width="12" customWidth="1"/>
    <col min="9" max="9" width="15.7109375" customWidth="1"/>
    <col min="10" max="12" width="11.7109375" customWidth="1"/>
    <col min="13" max="13" width="13.42578125" customWidth="1"/>
    <col min="25" max="75" width="12.140625" hidden="1"/>
    <col min="76" max="76" width="78.5703125" hidden="1" customWidth="1"/>
    <col min="77" max="78" width="12.140625" hidden="1"/>
  </cols>
  <sheetData>
    <row r="1" spans="1:76" ht="54.75" customHeight="1" x14ac:dyDescent="0.25">
      <c r="A1" s="124" t="s">
        <v>76</v>
      </c>
      <c r="B1" s="124"/>
      <c r="C1" s="124"/>
      <c r="D1" s="124"/>
      <c r="E1" s="124"/>
      <c r="F1" s="124"/>
      <c r="G1" s="124"/>
      <c r="H1" s="124"/>
      <c r="I1" s="124"/>
      <c r="J1" s="124"/>
      <c r="K1" s="124"/>
      <c r="L1" s="124"/>
      <c r="M1" s="124"/>
      <c r="AS1" s="26">
        <f>SUM(AJ1:AJ2)</f>
        <v>0</v>
      </c>
      <c r="AT1" s="26">
        <f>SUM(AK1:AK2)</f>
        <v>0</v>
      </c>
      <c r="AU1" s="26">
        <f>SUM(AL1:AL2)</f>
        <v>0</v>
      </c>
    </row>
    <row r="2" spans="1:76" x14ac:dyDescent="0.25">
      <c r="A2" s="125" t="s">
        <v>1</v>
      </c>
      <c r="B2" s="126"/>
      <c r="C2" s="126"/>
      <c r="D2" s="131" t="s">
        <v>1132</v>
      </c>
      <c r="E2" s="132"/>
      <c r="F2" s="126" t="s">
        <v>77</v>
      </c>
      <c r="G2" s="126"/>
      <c r="H2" s="175" t="s">
        <v>78</v>
      </c>
      <c r="I2" s="122" t="s">
        <v>2</v>
      </c>
      <c r="J2" s="126" t="s">
        <v>79</v>
      </c>
      <c r="K2" s="126"/>
      <c r="L2" s="126"/>
      <c r="M2" s="128"/>
    </row>
    <row r="3" spans="1:76" x14ac:dyDescent="0.25">
      <c r="A3" s="127"/>
      <c r="B3" s="83"/>
      <c r="C3" s="83"/>
      <c r="D3" s="133"/>
      <c r="E3" s="133"/>
      <c r="F3" s="83"/>
      <c r="G3" s="83"/>
      <c r="H3" s="176"/>
      <c r="I3" s="83"/>
      <c r="J3" s="83"/>
      <c r="K3" s="83"/>
      <c r="L3" s="83"/>
      <c r="M3" s="129"/>
    </row>
    <row r="4" spans="1:76" x14ac:dyDescent="0.25">
      <c r="A4" s="120" t="s">
        <v>5</v>
      </c>
      <c r="B4" s="83"/>
      <c r="C4" s="83"/>
      <c r="D4" s="82" t="s">
        <v>80</v>
      </c>
      <c r="E4" s="83"/>
      <c r="F4" s="83" t="s">
        <v>9</v>
      </c>
      <c r="G4" s="83"/>
      <c r="H4" s="176" t="s">
        <v>78</v>
      </c>
      <c r="I4" s="82" t="s">
        <v>6</v>
      </c>
      <c r="J4" s="82" t="s">
        <v>1131</v>
      </c>
      <c r="K4" s="83"/>
      <c r="L4" s="83"/>
      <c r="M4" s="129"/>
    </row>
    <row r="5" spans="1:76" x14ac:dyDescent="0.25">
      <c r="A5" s="127"/>
      <c r="B5" s="83"/>
      <c r="C5" s="83"/>
      <c r="D5" s="83"/>
      <c r="E5" s="83"/>
      <c r="F5" s="83"/>
      <c r="G5" s="83"/>
      <c r="H5" s="176"/>
      <c r="I5" s="83"/>
      <c r="J5" s="83"/>
      <c r="K5" s="83"/>
      <c r="L5" s="83"/>
      <c r="M5" s="129"/>
    </row>
    <row r="6" spans="1:76" x14ac:dyDescent="0.25">
      <c r="A6" s="120" t="s">
        <v>7</v>
      </c>
      <c r="B6" s="83"/>
      <c r="C6" s="83"/>
      <c r="D6" s="82" t="s">
        <v>81</v>
      </c>
      <c r="E6" s="83"/>
      <c r="F6" s="83" t="s">
        <v>10</v>
      </c>
      <c r="G6" s="83"/>
      <c r="H6" s="176" t="s">
        <v>78</v>
      </c>
      <c r="I6" s="82" t="s">
        <v>8</v>
      </c>
      <c r="J6" s="176"/>
      <c r="K6" s="176"/>
      <c r="L6" s="176"/>
      <c r="M6" s="179"/>
    </row>
    <row r="7" spans="1:76" x14ac:dyDescent="0.25">
      <c r="A7" s="127"/>
      <c r="B7" s="83"/>
      <c r="C7" s="83"/>
      <c r="D7" s="83"/>
      <c r="E7" s="83"/>
      <c r="F7" s="83"/>
      <c r="G7" s="83"/>
      <c r="H7" s="176"/>
      <c r="I7" s="83"/>
      <c r="J7" s="176"/>
      <c r="K7" s="176"/>
      <c r="L7" s="176"/>
      <c r="M7" s="179"/>
    </row>
    <row r="8" spans="1:76" x14ac:dyDescent="0.25">
      <c r="A8" s="120" t="s">
        <v>12</v>
      </c>
      <c r="B8" s="83"/>
      <c r="C8" s="83"/>
      <c r="D8" s="82" t="s">
        <v>78</v>
      </c>
      <c r="E8" s="83"/>
      <c r="F8" s="83" t="s">
        <v>82</v>
      </c>
      <c r="G8" s="83"/>
      <c r="H8" s="176" t="s">
        <v>83</v>
      </c>
      <c r="I8" s="82" t="s">
        <v>13</v>
      </c>
      <c r="J8" s="176" t="s">
        <v>79</v>
      </c>
      <c r="K8" s="176"/>
      <c r="L8" s="176"/>
      <c r="M8" s="179"/>
    </row>
    <row r="9" spans="1:76" x14ac:dyDescent="0.25">
      <c r="A9" s="178"/>
      <c r="B9" s="174"/>
      <c r="C9" s="174"/>
      <c r="D9" s="174"/>
      <c r="E9" s="174"/>
      <c r="F9" s="174"/>
      <c r="G9" s="174"/>
      <c r="H9" s="177"/>
      <c r="I9" s="174"/>
      <c r="J9" s="177"/>
      <c r="K9" s="177"/>
      <c r="L9" s="177"/>
      <c r="M9" s="180"/>
    </row>
    <row r="10" spans="1:76" x14ac:dyDescent="0.25">
      <c r="A10" s="27" t="s">
        <v>84</v>
      </c>
      <c r="B10" s="28" t="s">
        <v>85</v>
      </c>
      <c r="C10" s="28" t="s">
        <v>86</v>
      </c>
      <c r="D10" s="172" t="s">
        <v>87</v>
      </c>
      <c r="E10" s="173"/>
      <c r="F10" s="28" t="s">
        <v>88</v>
      </c>
      <c r="G10" s="29" t="s">
        <v>89</v>
      </c>
      <c r="H10" s="30" t="s">
        <v>90</v>
      </c>
      <c r="I10" s="31" t="s">
        <v>91</v>
      </c>
      <c r="J10" s="167" t="s">
        <v>92</v>
      </c>
      <c r="K10" s="168"/>
      <c r="L10" s="169"/>
      <c r="M10" s="32" t="s">
        <v>93</v>
      </c>
      <c r="BK10" s="33" t="s">
        <v>94</v>
      </c>
      <c r="BL10" s="34" t="s">
        <v>95</v>
      </c>
      <c r="BW10" s="34" t="s">
        <v>96</v>
      </c>
    </row>
    <row r="11" spans="1:76" x14ac:dyDescent="0.25">
      <c r="A11" s="35" t="s">
        <v>78</v>
      </c>
      <c r="B11" s="36" t="s">
        <v>78</v>
      </c>
      <c r="C11" s="36" t="s">
        <v>78</v>
      </c>
      <c r="D11" s="165" t="s">
        <v>97</v>
      </c>
      <c r="E11" s="166"/>
      <c r="F11" s="36" t="s">
        <v>78</v>
      </c>
      <c r="G11" s="36" t="s">
        <v>78</v>
      </c>
      <c r="H11" s="37" t="s">
        <v>98</v>
      </c>
      <c r="I11" s="38" t="s">
        <v>99</v>
      </c>
      <c r="J11" s="39" t="s">
        <v>100</v>
      </c>
      <c r="K11" s="40" t="s">
        <v>101</v>
      </c>
      <c r="L11" s="41" t="s">
        <v>99</v>
      </c>
      <c r="M11" s="42" t="s">
        <v>102</v>
      </c>
      <c r="Z11" s="33" t="s">
        <v>103</v>
      </c>
      <c r="AA11" s="33" t="s">
        <v>104</v>
      </c>
      <c r="AB11" s="33" t="s">
        <v>105</v>
      </c>
      <c r="AC11" s="33" t="s">
        <v>106</v>
      </c>
      <c r="AD11" s="33" t="s">
        <v>107</v>
      </c>
      <c r="AE11" s="33" t="s">
        <v>108</v>
      </c>
      <c r="AF11" s="33" t="s">
        <v>109</v>
      </c>
      <c r="AG11" s="33" t="s">
        <v>110</v>
      </c>
      <c r="AH11" s="33" t="s">
        <v>111</v>
      </c>
      <c r="BH11" s="33" t="s">
        <v>112</v>
      </c>
      <c r="BI11" s="33" t="s">
        <v>113</v>
      </c>
      <c r="BJ11" s="33" t="s">
        <v>114</v>
      </c>
    </row>
    <row r="12" spans="1:76" x14ac:dyDescent="0.25">
      <c r="A12" s="43" t="s">
        <v>4</v>
      </c>
      <c r="B12" s="44" t="s">
        <v>4</v>
      </c>
      <c r="C12" s="44" t="s">
        <v>4</v>
      </c>
      <c r="D12" s="170" t="s">
        <v>115</v>
      </c>
      <c r="E12" s="171"/>
      <c r="F12" s="45" t="s">
        <v>78</v>
      </c>
      <c r="G12" s="45" t="s">
        <v>78</v>
      </c>
      <c r="H12" s="46" t="s">
        <v>78</v>
      </c>
      <c r="I12" s="47">
        <f>I13+I22+I50+I97+I258+I346+I353+I422+I435+I564+I567+I572+I579+I584+I638+I676+I767+I801+I931+I934+I1000+I1032+I1065+I1067+I1079+I1082+I1085+I1088+I1091</f>
        <v>0</v>
      </c>
      <c r="J12" s="48" t="s">
        <v>4</v>
      </c>
      <c r="K12" s="48" t="s">
        <v>4</v>
      </c>
      <c r="L12" s="47">
        <f>L13+L22+L50+L97+L258+L346+L353+L422+L435+L564+L567+L572+L579+L584+L638+L676+L767+L801+L931+L934+L1000+L1032+L1065+L1067+L1079+L1082+L1085+L1088+L1091</f>
        <v>310.37317621740004</v>
      </c>
      <c r="M12" s="49" t="s">
        <v>4</v>
      </c>
    </row>
    <row r="13" spans="1:76" x14ac:dyDescent="0.25">
      <c r="A13" s="50" t="s">
        <v>4</v>
      </c>
      <c r="B13" s="51" t="s">
        <v>4</v>
      </c>
      <c r="C13" s="51" t="s">
        <v>116</v>
      </c>
      <c r="D13" s="153" t="s">
        <v>117</v>
      </c>
      <c r="E13" s="154"/>
      <c r="F13" s="52" t="s">
        <v>78</v>
      </c>
      <c r="G13" s="52" t="s">
        <v>78</v>
      </c>
      <c r="H13" s="53" t="s">
        <v>78</v>
      </c>
      <c r="I13" s="26">
        <f>SUM(I14:I20)</f>
        <v>0</v>
      </c>
      <c r="J13" s="33" t="s">
        <v>4</v>
      </c>
      <c r="K13" s="33" t="s">
        <v>4</v>
      </c>
      <c r="L13" s="26">
        <f>SUM(L14:L20)</f>
        <v>48.414720000000003</v>
      </c>
      <c r="M13" s="54" t="s">
        <v>4</v>
      </c>
      <c r="AI13" s="33" t="s">
        <v>4</v>
      </c>
      <c r="AS13" s="26">
        <f>SUM(AJ14:AJ20)</f>
        <v>0</v>
      </c>
      <c r="AT13" s="26">
        <f>SUM(AK14:AK20)</f>
        <v>0</v>
      </c>
      <c r="AU13" s="26">
        <f>SUM(AL14:AL20)</f>
        <v>0</v>
      </c>
    </row>
    <row r="14" spans="1:76" x14ac:dyDescent="0.25">
      <c r="A14" s="1" t="s">
        <v>118</v>
      </c>
      <c r="B14" s="2" t="s">
        <v>4</v>
      </c>
      <c r="C14" s="2" t="s">
        <v>119</v>
      </c>
      <c r="D14" s="82" t="s">
        <v>120</v>
      </c>
      <c r="E14" s="83"/>
      <c r="F14" s="2" t="s">
        <v>121</v>
      </c>
      <c r="G14" s="55">
        <v>40.345599999999997</v>
      </c>
      <c r="H14" s="56">
        <v>0</v>
      </c>
      <c r="I14" s="55">
        <f>G14*H14</f>
        <v>0</v>
      </c>
      <c r="J14" s="55">
        <v>0</v>
      </c>
      <c r="K14" s="55">
        <v>0</v>
      </c>
      <c r="L14" s="55">
        <f>G14*K14</f>
        <v>0</v>
      </c>
      <c r="M14" s="57" t="s">
        <v>122</v>
      </c>
      <c r="Z14" s="55">
        <f>IF(AQ14="5",BJ14,0)</f>
        <v>0</v>
      </c>
      <c r="AB14" s="55">
        <f>IF(AQ14="1",BH14,0)</f>
        <v>0</v>
      </c>
      <c r="AC14" s="55">
        <f>IF(AQ14="1",BI14,0)</f>
        <v>0</v>
      </c>
      <c r="AD14" s="55">
        <f>IF(AQ14="7",BH14,0)</f>
        <v>0</v>
      </c>
      <c r="AE14" s="55">
        <f>IF(AQ14="7",BI14,0)</f>
        <v>0</v>
      </c>
      <c r="AF14" s="55">
        <f>IF(AQ14="2",BH14,0)</f>
        <v>0</v>
      </c>
      <c r="AG14" s="55">
        <f>IF(AQ14="2",BI14,0)</f>
        <v>0</v>
      </c>
      <c r="AH14" s="55">
        <f>IF(AQ14="0",BJ14,0)</f>
        <v>0</v>
      </c>
      <c r="AI14" s="33" t="s">
        <v>4</v>
      </c>
      <c r="AJ14" s="55">
        <f>IF(AN14=0,I14,0)</f>
        <v>0</v>
      </c>
      <c r="AK14" s="55">
        <f>IF(AN14=12,I14,0)</f>
        <v>0</v>
      </c>
      <c r="AL14" s="55">
        <f>IF(AN14=21,I14,0)</f>
        <v>0</v>
      </c>
      <c r="AN14" s="55">
        <v>21</v>
      </c>
      <c r="AO14" s="55">
        <f>H14*0</f>
        <v>0</v>
      </c>
      <c r="AP14" s="55">
        <f>H14*(1-0)</f>
        <v>0</v>
      </c>
      <c r="AQ14" s="58" t="s">
        <v>118</v>
      </c>
      <c r="AV14" s="55">
        <f>AW14+AX14</f>
        <v>0</v>
      </c>
      <c r="AW14" s="55">
        <f>G14*AO14</f>
        <v>0</v>
      </c>
      <c r="AX14" s="55">
        <f>G14*AP14</f>
        <v>0</v>
      </c>
      <c r="AY14" s="58" t="s">
        <v>123</v>
      </c>
      <c r="AZ14" s="58" t="s">
        <v>124</v>
      </c>
      <c r="BA14" s="33" t="s">
        <v>125</v>
      </c>
      <c r="BB14" s="59">
        <v>100039</v>
      </c>
      <c r="BC14" s="55">
        <f>AW14+AX14</f>
        <v>0</v>
      </c>
      <c r="BD14" s="55">
        <f>H14/(100-BE14)*100</f>
        <v>0</v>
      </c>
      <c r="BE14" s="55">
        <v>0</v>
      </c>
      <c r="BF14" s="55">
        <f>L14</f>
        <v>0</v>
      </c>
      <c r="BH14" s="55">
        <f>G14*AO14</f>
        <v>0</v>
      </c>
      <c r="BI14" s="55">
        <f>G14*AP14</f>
        <v>0</v>
      </c>
      <c r="BJ14" s="55">
        <f>G14*H14</f>
        <v>0</v>
      </c>
      <c r="BK14" s="55"/>
      <c r="BL14" s="55">
        <v>17</v>
      </c>
      <c r="BW14" s="55">
        <v>21</v>
      </c>
      <c r="BX14" s="3" t="s">
        <v>120</v>
      </c>
    </row>
    <row r="15" spans="1:76" x14ac:dyDescent="0.25">
      <c r="A15" s="60"/>
      <c r="D15" s="61" t="s">
        <v>126</v>
      </c>
      <c r="E15" s="61" t="s">
        <v>4</v>
      </c>
      <c r="G15" s="62">
        <v>40.345599999999997</v>
      </c>
      <c r="M15" s="63"/>
    </row>
    <row r="16" spans="1:76" ht="51" x14ac:dyDescent="0.25">
      <c r="A16" s="60"/>
      <c r="C16" s="64" t="s">
        <v>127</v>
      </c>
      <c r="D16" s="159" t="s">
        <v>128</v>
      </c>
      <c r="E16" s="160"/>
      <c r="F16" s="160"/>
      <c r="G16" s="160"/>
      <c r="H16" s="161"/>
      <c r="I16" s="160"/>
      <c r="J16" s="160"/>
      <c r="K16" s="160"/>
      <c r="L16" s="160"/>
      <c r="M16" s="162"/>
      <c r="BX16" s="65" t="s">
        <v>128</v>
      </c>
    </row>
    <row r="17" spans="1:76" x14ac:dyDescent="0.25">
      <c r="A17" s="66" t="s">
        <v>129</v>
      </c>
      <c r="B17" s="67" t="s">
        <v>4</v>
      </c>
      <c r="C17" s="67" t="s">
        <v>130</v>
      </c>
      <c r="D17" s="163" t="s">
        <v>131</v>
      </c>
      <c r="E17" s="164"/>
      <c r="F17" s="67" t="s">
        <v>132</v>
      </c>
      <c r="G17" s="69">
        <v>48.414720000000003</v>
      </c>
      <c r="H17" s="70">
        <v>0</v>
      </c>
      <c r="I17" s="69">
        <f>G17*H17</f>
        <v>0</v>
      </c>
      <c r="J17" s="69">
        <v>0</v>
      </c>
      <c r="K17" s="69">
        <v>1</v>
      </c>
      <c r="L17" s="69">
        <f>G17*K17</f>
        <v>48.414720000000003</v>
      </c>
      <c r="M17" s="71" t="s">
        <v>122</v>
      </c>
      <c r="Z17" s="55">
        <f>IF(AQ17="5",BJ17,0)</f>
        <v>0</v>
      </c>
      <c r="AB17" s="55">
        <f>IF(AQ17="1",BH17,0)</f>
        <v>0</v>
      </c>
      <c r="AC17" s="55">
        <f>IF(AQ17="1",BI17,0)</f>
        <v>0</v>
      </c>
      <c r="AD17" s="55">
        <f>IF(AQ17="7",BH17,0)</f>
        <v>0</v>
      </c>
      <c r="AE17" s="55">
        <f>IF(AQ17="7",BI17,0)</f>
        <v>0</v>
      </c>
      <c r="AF17" s="55">
        <f>IF(AQ17="2",BH17,0)</f>
        <v>0</v>
      </c>
      <c r="AG17" s="55">
        <f>IF(AQ17="2",BI17,0)</f>
        <v>0</v>
      </c>
      <c r="AH17" s="55">
        <f>IF(AQ17="0",BJ17,0)</f>
        <v>0</v>
      </c>
      <c r="AI17" s="33" t="s">
        <v>4</v>
      </c>
      <c r="AJ17" s="69">
        <f>IF(AN17=0,I17,0)</f>
        <v>0</v>
      </c>
      <c r="AK17" s="69">
        <f>IF(AN17=12,I17,0)</f>
        <v>0</v>
      </c>
      <c r="AL17" s="69">
        <f>IF(AN17=21,I17,0)</f>
        <v>0</v>
      </c>
      <c r="AN17" s="55">
        <v>21</v>
      </c>
      <c r="AO17" s="55">
        <f>H17*1</f>
        <v>0</v>
      </c>
      <c r="AP17" s="55">
        <f>H17*(1-1)</f>
        <v>0</v>
      </c>
      <c r="AQ17" s="72" t="s">
        <v>118</v>
      </c>
      <c r="AV17" s="55">
        <f>AW17+AX17</f>
        <v>0</v>
      </c>
      <c r="AW17" s="55">
        <f>G17*AO17</f>
        <v>0</v>
      </c>
      <c r="AX17" s="55">
        <f>G17*AP17</f>
        <v>0</v>
      </c>
      <c r="AY17" s="58" t="s">
        <v>123</v>
      </c>
      <c r="AZ17" s="58" t="s">
        <v>124</v>
      </c>
      <c r="BA17" s="33" t="s">
        <v>125</v>
      </c>
      <c r="BC17" s="55">
        <f>AW17+AX17</f>
        <v>0</v>
      </c>
      <c r="BD17" s="55">
        <f>H17/(100-BE17)*100</f>
        <v>0</v>
      </c>
      <c r="BE17" s="55">
        <v>0</v>
      </c>
      <c r="BF17" s="55">
        <f>L17</f>
        <v>48.414720000000003</v>
      </c>
      <c r="BH17" s="69">
        <f>G17*AO17</f>
        <v>0</v>
      </c>
      <c r="BI17" s="69">
        <f>G17*AP17</f>
        <v>0</v>
      </c>
      <c r="BJ17" s="69">
        <f>G17*H17</f>
        <v>0</v>
      </c>
      <c r="BK17" s="69"/>
      <c r="BL17" s="55">
        <v>17</v>
      </c>
      <c r="BW17" s="55">
        <v>21</v>
      </c>
      <c r="BX17" s="68" t="s">
        <v>131</v>
      </c>
    </row>
    <row r="18" spans="1:76" x14ac:dyDescent="0.25">
      <c r="A18" s="60"/>
      <c r="D18" s="61" t="s">
        <v>133</v>
      </c>
      <c r="E18" s="61" t="s">
        <v>4</v>
      </c>
      <c r="G18" s="62">
        <v>48.414720000000003</v>
      </c>
      <c r="M18" s="63"/>
    </row>
    <row r="19" spans="1:76" x14ac:dyDescent="0.25">
      <c r="A19" s="60"/>
      <c r="C19" s="64" t="s">
        <v>127</v>
      </c>
      <c r="D19" s="159" t="s">
        <v>134</v>
      </c>
      <c r="E19" s="160"/>
      <c r="F19" s="160"/>
      <c r="G19" s="160"/>
      <c r="H19" s="161"/>
      <c r="I19" s="160"/>
      <c r="J19" s="160"/>
      <c r="K19" s="160"/>
      <c r="L19" s="160"/>
      <c r="M19" s="162"/>
      <c r="BX19" s="73" t="s">
        <v>134</v>
      </c>
    </row>
    <row r="20" spans="1:76" x14ac:dyDescent="0.25">
      <c r="A20" s="1" t="s">
        <v>135</v>
      </c>
      <c r="B20" s="2" t="s">
        <v>4</v>
      </c>
      <c r="C20" s="2" t="s">
        <v>136</v>
      </c>
      <c r="D20" s="82" t="s">
        <v>137</v>
      </c>
      <c r="E20" s="83"/>
      <c r="F20" s="2" t="s">
        <v>138</v>
      </c>
      <c r="G20" s="55">
        <v>1</v>
      </c>
      <c r="H20" s="56">
        <v>0</v>
      </c>
      <c r="I20" s="55">
        <f>G20*H20</f>
        <v>0</v>
      </c>
      <c r="J20" s="55">
        <v>0</v>
      </c>
      <c r="K20" s="55">
        <v>0</v>
      </c>
      <c r="L20" s="55">
        <f>G20*K20</f>
        <v>0</v>
      </c>
      <c r="M20" s="57" t="s">
        <v>122</v>
      </c>
      <c r="Z20" s="55">
        <f>IF(AQ20="5",BJ20,0)</f>
        <v>0</v>
      </c>
      <c r="AB20" s="55">
        <f>IF(AQ20="1",BH20,0)</f>
        <v>0</v>
      </c>
      <c r="AC20" s="55">
        <f>IF(AQ20="1",BI20,0)</f>
        <v>0</v>
      </c>
      <c r="AD20" s="55">
        <f>IF(AQ20="7",BH20,0)</f>
        <v>0</v>
      </c>
      <c r="AE20" s="55">
        <f>IF(AQ20="7",BI20,0)</f>
        <v>0</v>
      </c>
      <c r="AF20" s="55">
        <f>IF(AQ20="2",BH20,0)</f>
        <v>0</v>
      </c>
      <c r="AG20" s="55">
        <f>IF(AQ20="2",BI20,0)</f>
        <v>0</v>
      </c>
      <c r="AH20" s="55">
        <f>IF(AQ20="0",BJ20,0)</f>
        <v>0</v>
      </c>
      <c r="AI20" s="33" t="s">
        <v>4</v>
      </c>
      <c r="AJ20" s="55">
        <f>IF(AN20=0,I20,0)</f>
        <v>0</v>
      </c>
      <c r="AK20" s="55">
        <f>IF(AN20=12,I20,0)</f>
        <v>0</v>
      </c>
      <c r="AL20" s="55">
        <f>IF(AN20=21,I20,0)</f>
        <v>0</v>
      </c>
      <c r="AN20" s="55">
        <v>21</v>
      </c>
      <c r="AO20" s="55">
        <f>H20*0</f>
        <v>0</v>
      </c>
      <c r="AP20" s="55">
        <f>H20*(1-0)</f>
        <v>0</v>
      </c>
      <c r="AQ20" s="58" t="s">
        <v>139</v>
      </c>
      <c r="AV20" s="55">
        <f>AW20+AX20</f>
        <v>0</v>
      </c>
      <c r="AW20" s="55">
        <f>G20*AO20</f>
        <v>0</v>
      </c>
      <c r="AX20" s="55">
        <f>G20*AP20</f>
        <v>0</v>
      </c>
      <c r="AY20" s="58" t="s">
        <v>123</v>
      </c>
      <c r="AZ20" s="58" t="s">
        <v>124</v>
      </c>
      <c r="BA20" s="33" t="s">
        <v>125</v>
      </c>
      <c r="BB20" s="59">
        <v>100039</v>
      </c>
      <c r="BC20" s="55">
        <f>AW20+AX20</f>
        <v>0</v>
      </c>
      <c r="BD20" s="55">
        <f>H20/(100-BE20)*100</f>
        <v>0</v>
      </c>
      <c r="BE20" s="55">
        <v>0</v>
      </c>
      <c r="BF20" s="55">
        <f>L20</f>
        <v>0</v>
      </c>
      <c r="BH20" s="55">
        <f>G20*AO20</f>
        <v>0</v>
      </c>
      <c r="BI20" s="55">
        <f>G20*AP20</f>
        <v>0</v>
      </c>
      <c r="BJ20" s="55">
        <f>G20*H20</f>
        <v>0</v>
      </c>
      <c r="BK20" s="55"/>
      <c r="BL20" s="55">
        <v>17</v>
      </c>
      <c r="BW20" s="55">
        <v>21</v>
      </c>
      <c r="BX20" s="3" t="s">
        <v>137</v>
      </c>
    </row>
    <row r="21" spans="1:76" x14ac:dyDescent="0.25">
      <c r="A21" s="60"/>
      <c r="D21" s="61" t="s">
        <v>118</v>
      </c>
      <c r="E21" s="61" t="s">
        <v>4</v>
      </c>
      <c r="G21" s="62">
        <v>1</v>
      </c>
      <c r="M21" s="63"/>
    </row>
    <row r="22" spans="1:76" x14ac:dyDescent="0.25">
      <c r="A22" s="50" t="s">
        <v>4</v>
      </c>
      <c r="B22" s="51" t="s">
        <v>4</v>
      </c>
      <c r="C22" s="51" t="s">
        <v>140</v>
      </c>
      <c r="D22" s="153" t="s">
        <v>141</v>
      </c>
      <c r="E22" s="154"/>
      <c r="F22" s="52" t="s">
        <v>78</v>
      </c>
      <c r="G22" s="52" t="s">
        <v>78</v>
      </c>
      <c r="H22" s="53" t="s">
        <v>78</v>
      </c>
      <c r="I22" s="26">
        <f>SUM(I23:I48)</f>
        <v>0</v>
      </c>
      <c r="J22" s="33" t="s">
        <v>4</v>
      </c>
      <c r="K22" s="33" t="s">
        <v>4</v>
      </c>
      <c r="L22" s="26">
        <f>SUM(L23:L48)</f>
        <v>2.243468784</v>
      </c>
      <c r="M22" s="54" t="s">
        <v>4</v>
      </c>
      <c r="AI22" s="33" t="s">
        <v>4</v>
      </c>
      <c r="AS22" s="26">
        <f>SUM(AJ23:AJ48)</f>
        <v>0</v>
      </c>
      <c r="AT22" s="26">
        <f>SUM(AK23:AK48)</f>
        <v>0</v>
      </c>
      <c r="AU22" s="26">
        <f>SUM(AL23:AL48)</f>
        <v>0</v>
      </c>
    </row>
    <row r="23" spans="1:76" x14ac:dyDescent="0.25">
      <c r="A23" s="1" t="s">
        <v>142</v>
      </c>
      <c r="B23" s="2" t="s">
        <v>4</v>
      </c>
      <c r="C23" s="2" t="s">
        <v>143</v>
      </c>
      <c r="D23" s="82" t="s">
        <v>144</v>
      </c>
      <c r="E23" s="83"/>
      <c r="F23" s="2" t="s">
        <v>145</v>
      </c>
      <c r="G23" s="55">
        <v>1</v>
      </c>
      <c r="H23" s="56">
        <v>0</v>
      </c>
      <c r="I23" s="55">
        <f>G23*H23</f>
        <v>0</v>
      </c>
      <c r="J23" s="55">
        <v>6.4000000000000001E-2</v>
      </c>
      <c r="K23" s="55">
        <v>0.14860000000000001</v>
      </c>
      <c r="L23" s="55">
        <f>G23*K23</f>
        <v>0.14860000000000001</v>
      </c>
      <c r="M23" s="57" t="s">
        <v>122</v>
      </c>
      <c r="Z23" s="55">
        <f>IF(AQ23="5",BJ23,0)</f>
        <v>0</v>
      </c>
      <c r="AB23" s="55">
        <f>IF(AQ23="1",BH23,0)</f>
        <v>0</v>
      </c>
      <c r="AC23" s="55">
        <f>IF(AQ23="1",BI23,0)</f>
        <v>0</v>
      </c>
      <c r="AD23" s="55">
        <f>IF(AQ23="7",BH23,0)</f>
        <v>0</v>
      </c>
      <c r="AE23" s="55">
        <f>IF(AQ23="7",BI23,0)</f>
        <v>0</v>
      </c>
      <c r="AF23" s="55">
        <f>IF(AQ23="2",BH23,0)</f>
        <v>0</v>
      </c>
      <c r="AG23" s="55">
        <f>IF(AQ23="2",BI23,0)</f>
        <v>0</v>
      </c>
      <c r="AH23" s="55">
        <f>IF(AQ23="0",BJ23,0)</f>
        <v>0</v>
      </c>
      <c r="AI23" s="33" t="s">
        <v>4</v>
      </c>
      <c r="AJ23" s="55">
        <f>IF(AN23=0,I23,0)</f>
        <v>0</v>
      </c>
      <c r="AK23" s="55">
        <f>IF(AN23=12,I23,0)</f>
        <v>0</v>
      </c>
      <c r="AL23" s="55">
        <f>IF(AN23=21,I23,0)</f>
        <v>0</v>
      </c>
      <c r="AN23" s="55">
        <v>21</v>
      </c>
      <c r="AO23" s="55">
        <f>H23*0.318110256</f>
        <v>0</v>
      </c>
      <c r="AP23" s="55">
        <f>H23*(1-0.318110256)</f>
        <v>0</v>
      </c>
      <c r="AQ23" s="58" t="s">
        <v>118</v>
      </c>
      <c r="AV23" s="55">
        <f>AW23+AX23</f>
        <v>0</v>
      </c>
      <c r="AW23" s="55">
        <f>G23*AO23</f>
        <v>0</v>
      </c>
      <c r="AX23" s="55">
        <f>G23*AP23</f>
        <v>0</v>
      </c>
      <c r="AY23" s="58" t="s">
        <v>146</v>
      </c>
      <c r="AZ23" s="58" t="s">
        <v>147</v>
      </c>
      <c r="BA23" s="33" t="s">
        <v>125</v>
      </c>
      <c r="BB23" s="59">
        <v>100035</v>
      </c>
      <c r="BC23" s="55">
        <f>AW23+AX23</f>
        <v>0</v>
      </c>
      <c r="BD23" s="55">
        <f>H23/(100-BE23)*100</f>
        <v>0</v>
      </c>
      <c r="BE23" s="55">
        <v>0</v>
      </c>
      <c r="BF23" s="55">
        <f>L23</f>
        <v>0.14860000000000001</v>
      </c>
      <c r="BH23" s="55">
        <f>G23*AO23</f>
        <v>0</v>
      </c>
      <c r="BI23" s="55">
        <f>G23*AP23</f>
        <v>0</v>
      </c>
      <c r="BJ23" s="55">
        <f>G23*H23</f>
        <v>0</v>
      </c>
      <c r="BK23" s="55"/>
      <c r="BL23" s="55">
        <v>31</v>
      </c>
      <c r="BW23" s="55">
        <v>21</v>
      </c>
      <c r="BX23" s="3" t="s">
        <v>144</v>
      </c>
    </row>
    <row r="24" spans="1:76" ht="13.5" customHeight="1" x14ac:dyDescent="0.25">
      <c r="A24" s="60"/>
      <c r="D24" s="155" t="s">
        <v>148</v>
      </c>
      <c r="E24" s="156"/>
      <c r="F24" s="156"/>
      <c r="G24" s="156"/>
      <c r="H24" s="157"/>
      <c r="I24" s="156"/>
      <c r="J24" s="156"/>
      <c r="K24" s="156"/>
      <c r="L24" s="156"/>
      <c r="M24" s="158"/>
    </row>
    <row r="25" spans="1:76" x14ac:dyDescent="0.25">
      <c r="A25" s="60"/>
      <c r="D25" s="61" t="s">
        <v>118</v>
      </c>
      <c r="E25" s="61" t="s">
        <v>149</v>
      </c>
      <c r="G25" s="62">
        <v>1</v>
      </c>
      <c r="M25" s="63"/>
    </row>
    <row r="26" spans="1:76" ht="38.25" x14ac:dyDescent="0.25">
      <c r="A26" s="60"/>
      <c r="C26" s="64" t="s">
        <v>127</v>
      </c>
      <c r="D26" s="159" t="s">
        <v>150</v>
      </c>
      <c r="E26" s="160"/>
      <c r="F26" s="160"/>
      <c r="G26" s="160"/>
      <c r="H26" s="161"/>
      <c r="I26" s="160"/>
      <c r="J26" s="160"/>
      <c r="K26" s="160"/>
      <c r="L26" s="160"/>
      <c r="M26" s="162"/>
      <c r="BX26" s="65" t="s">
        <v>150</v>
      </c>
    </row>
    <row r="27" spans="1:76" x14ac:dyDescent="0.25">
      <c r="A27" s="66" t="s">
        <v>139</v>
      </c>
      <c r="B27" s="67" t="s">
        <v>4</v>
      </c>
      <c r="C27" s="67" t="s">
        <v>151</v>
      </c>
      <c r="D27" s="163" t="s">
        <v>152</v>
      </c>
      <c r="E27" s="164"/>
      <c r="F27" s="67" t="s">
        <v>145</v>
      </c>
      <c r="G27" s="69">
        <v>1</v>
      </c>
      <c r="H27" s="70">
        <v>0</v>
      </c>
      <c r="I27" s="69">
        <f>G27*H27</f>
        <v>0</v>
      </c>
      <c r="J27" s="69">
        <v>0</v>
      </c>
      <c r="K27" s="69">
        <v>2.5999999999999999E-2</v>
      </c>
      <c r="L27" s="69">
        <f>G27*K27</f>
        <v>2.5999999999999999E-2</v>
      </c>
      <c r="M27" s="71" t="s">
        <v>122</v>
      </c>
      <c r="Z27" s="55">
        <f>IF(AQ27="5",BJ27,0)</f>
        <v>0</v>
      </c>
      <c r="AB27" s="55">
        <f>IF(AQ27="1",BH27,0)</f>
        <v>0</v>
      </c>
      <c r="AC27" s="55">
        <f>IF(AQ27="1",BI27,0)</f>
        <v>0</v>
      </c>
      <c r="AD27" s="55">
        <f>IF(AQ27="7",BH27,0)</f>
        <v>0</v>
      </c>
      <c r="AE27" s="55">
        <f>IF(AQ27="7",BI27,0)</f>
        <v>0</v>
      </c>
      <c r="AF27" s="55">
        <f>IF(AQ27="2",BH27,0)</f>
        <v>0</v>
      </c>
      <c r="AG27" s="55">
        <f>IF(AQ27="2",BI27,0)</f>
        <v>0</v>
      </c>
      <c r="AH27" s="55">
        <f>IF(AQ27="0",BJ27,0)</f>
        <v>0</v>
      </c>
      <c r="AI27" s="33" t="s">
        <v>4</v>
      </c>
      <c r="AJ27" s="69">
        <f>IF(AN27=0,I27,0)</f>
        <v>0</v>
      </c>
      <c r="AK27" s="69">
        <f>IF(AN27=12,I27,0)</f>
        <v>0</v>
      </c>
      <c r="AL27" s="69">
        <f>IF(AN27=21,I27,0)</f>
        <v>0</v>
      </c>
      <c r="AN27" s="55">
        <v>21</v>
      </c>
      <c r="AO27" s="55">
        <f>H27*1</f>
        <v>0</v>
      </c>
      <c r="AP27" s="55">
        <f>H27*(1-1)</f>
        <v>0</v>
      </c>
      <c r="AQ27" s="72" t="s">
        <v>118</v>
      </c>
      <c r="AV27" s="55">
        <f>AW27+AX27</f>
        <v>0</v>
      </c>
      <c r="AW27" s="55">
        <f>G27*AO27</f>
        <v>0</v>
      </c>
      <c r="AX27" s="55">
        <f>G27*AP27</f>
        <v>0</v>
      </c>
      <c r="AY27" s="58" t="s">
        <v>146</v>
      </c>
      <c r="AZ27" s="58" t="s">
        <v>147</v>
      </c>
      <c r="BA27" s="33" t="s">
        <v>125</v>
      </c>
      <c r="BC27" s="55">
        <f>AW27+AX27</f>
        <v>0</v>
      </c>
      <c r="BD27" s="55">
        <f>H27/(100-BE27)*100</f>
        <v>0</v>
      </c>
      <c r="BE27" s="55">
        <v>0</v>
      </c>
      <c r="BF27" s="55">
        <f>L27</f>
        <v>2.5999999999999999E-2</v>
      </c>
      <c r="BH27" s="69">
        <f>G27*AO27</f>
        <v>0</v>
      </c>
      <c r="BI27" s="69">
        <f>G27*AP27</f>
        <v>0</v>
      </c>
      <c r="BJ27" s="69">
        <f>G27*H27</f>
        <v>0</v>
      </c>
      <c r="BK27" s="69"/>
      <c r="BL27" s="55">
        <v>31</v>
      </c>
      <c r="BW27" s="55">
        <v>21</v>
      </c>
      <c r="BX27" s="68" t="s">
        <v>152</v>
      </c>
    </row>
    <row r="28" spans="1:76" x14ac:dyDescent="0.25">
      <c r="A28" s="60"/>
      <c r="D28" s="61" t="s">
        <v>118</v>
      </c>
      <c r="E28" s="61" t="s">
        <v>4</v>
      </c>
      <c r="G28" s="62">
        <v>1</v>
      </c>
      <c r="M28" s="63"/>
    </row>
    <row r="29" spans="1:76" ht="51" x14ac:dyDescent="0.25">
      <c r="A29" s="60"/>
      <c r="C29" s="64" t="s">
        <v>127</v>
      </c>
      <c r="D29" s="159" t="s">
        <v>153</v>
      </c>
      <c r="E29" s="160"/>
      <c r="F29" s="160"/>
      <c r="G29" s="160"/>
      <c r="H29" s="161"/>
      <c r="I29" s="160"/>
      <c r="J29" s="160"/>
      <c r="K29" s="160"/>
      <c r="L29" s="160"/>
      <c r="M29" s="162"/>
      <c r="BX29" s="73" t="s">
        <v>153</v>
      </c>
    </row>
    <row r="30" spans="1:76" x14ac:dyDescent="0.25">
      <c r="A30" s="1" t="s">
        <v>154</v>
      </c>
      <c r="B30" s="2" t="s">
        <v>4</v>
      </c>
      <c r="C30" s="2" t="s">
        <v>155</v>
      </c>
      <c r="D30" s="82" t="s">
        <v>156</v>
      </c>
      <c r="E30" s="83"/>
      <c r="F30" s="2" t="s">
        <v>157</v>
      </c>
      <c r="G30" s="55">
        <v>12.2776</v>
      </c>
      <c r="H30" s="56">
        <v>0</v>
      </c>
      <c r="I30" s="55">
        <f>G30*H30</f>
        <v>0</v>
      </c>
      <c r="J30" s="55">
        <v>0</v>
      </c>
      <c r="K30" s="55">
        <v>0.14704</v>
      </c>
      <c r="L30" s="55">
        <f>G30*K30</f>
        <v>1.8052983039999999</v>
      </c>
      <c r="M30" s="57" t="s">
        <v>122</v>
      </c>
      <c r="Z30" s="55">
        <f>IF(AQ30="5",BJ30,0)</f>
        <v>0</v>
      </c>
      <c r="AB30" s="55">
        <f>IF(AQ30="1",BH30,0)</f>
        <v>0</v>
      </c>
      <c r="AC30" s="55">
        <f>IF(AQ30="1",BI30,0)</f>
        <v>0</v>
      </c>
      <c r="AD30" s="55">
        <f>IF(AQ30="7",BH30,0)</f>
        <v>0</v>
      </c>
      <c r="AE30" s="55">
        <f>IF(AQ30="7",BI30,0)</f>
        <v>0</v>
      </c>
      <c r="AF30" s="55">
        <f>IF(AQ30="2",BH30,0)</f>
        <v>0</v>
      </c>
      <c r="AG30" s="55">
        <f>IF(AQ30="2",BI30,0)</f>
        <v>0</v>
      </c>
      <c r="AH30" s="55">
        <f>IF(AQ30="0",BJ30,0)</f>
        <v>0</v>
      </c>
      <c r="AI30" s="33" t="s">
        <v>4</v>
      </c>
      <c r="AJ30" s="55">
        <f>IF(AN30=0,I30,0)</f>
        <v>0</v>
      </c>
      <c r="AK30" s="55">
        <f>IF(AN30=12,I30,0)</f>
        <v>0</v>
      </c>
      <c r="AL30" s="55">
        <f>IF(AN30=21,I30,0)</f>
        <v>0</v>
      </c>
      <c r="AN30" s="55">
        <v>21</v>
      </c>
      <c r="AO30" s="55">
        <f>H30*0.771315702</f>
        <v>0</v>
      </c>
      <c r="AP30" s="55">
        <f>H30*(1-0.771315702)</f>
        <v>0</v>
      </c>
      <c r="AQ30" s="58" t="s">
        <v>118</v>
      </c>
      <c r="AV30" s="55">
        <f>AW30+AX30</f>
        <v>0</v>
      </c>
      <c r="AW30" s="55">
        <f>G30*AO30</f>
        <v>0</v>
      </c>
      <c r="AX30" s="55">
        <f>G30*AP30</f>
        <v>0</v>
      </c>
      <c r="AY30" s="58" t="s">
        <v>146</v>
      </c>
      <c r="AZ30" s="58" t="s">
        <v>147</v>
      </c>
      <c r="BA30" s="33" t="s">
        <v>125</v>
      </c>
      <c r="BB30" s="59">
        <v>100035</v>
      </c>
      <c r="BC30" s="55">
        <f>AW30+AX30</f>
        <v>0</v>
      </c>
      <c r="BD30" s="55">
        <f>H30/(100-BE30)*100</f>
        <v>0</v>
      </c>
      <c r="BE30" s="55">
        <v>0</v>
      </c>
      <c r="BF30" s="55">
        <f>L30</f>
        <v>1.8052983039999999</v>
      </c>
      <c r="BH30" s="55">
        <f>G30*AO30</f>
        <v>0</v>
      </c>
      <c r="BI30" s="55">
        <f>G30*AP30</f>
        <v>0</v>
      </c>
      <c r="BJ30" s="55">
        <f>G30*H30</f>
        <v>0</v>
      </c>
      <c r="BK30" s="55"/>
      <c r="BL30" s="55">
        <v>31</v>
      </c>
      <c r="BW30" s="55">
        <v>21</v>
      </c>
      <c r="BX30" s="3" t="s">
        <v>156</v>
      </c>
    </row>
    <row r="31" spans="1:76" ht="13.5" customHeight="1" x14ac:dyDescent="0.25">
      <c r="A31" s="60"/>
      <c r="D31" s="155" t="s">
        <v>158</v>
      </c>
      <c r="E31" s="156"/>
      <c r="F31" s="156"/>
      <c r="G31" s="156"/>
      <c r="H31" s="157"/>
      <c r="I31" s="156"/>
      <c r="J31" s="156"/>
      <c r="K31" s="156"/>
      <c r="L31" s="156"/>
      <c r="M31" s="158"/>
    </row>
    <row r="32" spans="1:76" x14ac:dyDescent="0.25">
      <c r="A32" s="60"/>
      <c r="D32" s="61" t="s">
        <v>159</v>
      </c>
      <c r="E32" s="61" t="s">
        <v>160</v>
      </c>
      <c r="G32" s="62">
        <v>12.2776</v>
      </c>
      <c r="M32" s="63"/>
    </row>
    <row r="33" spans="1:76" ht="25.5" x14ac:dyDescent="0.25">
      <c r="A33" s="60"/>
      <c r="C33" s="64" t="s">
        <v>127</v>
      </c>
      <c r="D33" s="159" t="s">
        <v>161</v>
      </c>
      <c r="E33" s="160"/>
      <c r="F33" s="160"/>
      <c r="G33" s="160"/>
      <c r="H33" s="161"/>
      <c r="I33" s="160"/>
      <c r="J33" s="160"/>
      <c r="K33" s="160"/>
      <c r="L33" s="160"/>
      <c r="M33" s="162"/>
      <c r="BX33" s="65" t="s">
        <v>161</v>
      </c>
    </row>
    <row r="34" spans="1:76" x14ac:dyDescent="0.25">
      <c r="A34" s="1" t="s">
        <v>162</v>
      </c>
      <c r="B34" s="2" t="s">
        <v>4</v>
      </c>
      <c r="C34" s="2" t="s">
        <v>163</v>
      </c>
      <c r="D34" s="82" t="s">
        <v>164</v>
      </c>
      <c r="E34" s="83"/>
      <c r="F34" s="2" t="s">
        <v>145</v>
      </c>
      <c r="G34" s="55">
        <v>16</v>
      </c>
      <c r="H34" s="56">
        <v>0</v>
      </c>
      <c r="I34" s="55">
        <f>G34*H34</f>
        <v>0</v>
      </c>
      <c r="J34" s="55">
        <v>0</v>
      </c>
      <c r="K34" s="55">
        <v>7.1300000000000001E-3</v>
      </c>
      <c r="L34" s="55">
        <f>G34*K34</f>
        <v>0.11408</v>
      </c>
      <c r="M34" s="57" t="s">
        <v>122</v>
      </c>
      <c r="Z34" s="55">
        <f>IF(AQ34="5",BJ34,0)</f>
        <v>0</v>
      </c>
      <c r="AB34" s="55">
        <f>IF(AQ34="1",BH34,0)</f>
        <v>0</v>
      </c>
      <c r="AC34" s="55">
        <f>IF(AQ34="1",BI34,0)</f>
        <v>0</v>
      </c>
      <c r="AD34" s="55">
        <f>IF(AQ34="7",BH34,0)</f>
        <v>0</v>
      </c>
      <c r="AE34" s="55">
        <f>IF(AQ34="7",BI34,0)</f>
        <v>0</v>
      </c>
      <c r="AF34" s="55">
        <f>IF(AQ34="2",BH34,0)</f>
        <v>0</v>
      </c>
      <c r="AG34" s="55">
        <f>IF(AQ34="2",BI34,0)</f>
        <v>0</v>
      </c>
      <c r="AH34" s="55">
        <f>IF(AQ34="0",BJ34,0)</f>
        <v>0</v>
      </c>
      <c r="AI34" s="33" t="s">
        <v>4</v>
      </c>
      <c r="AJ34" s="55">
        <f>IF(AN34=0,I34,0)</f>
        <v>0</v>
      </c>
      <c r="AK34" s="55">
        <f>IF(AN34=12,I34,0)</f>
        <v>0</v>
      </c>
      <c r="AL34" s="55">
        <f>IF(AN34=21,I34,0)</f>
        <v>0</v>
      </c>
      <c r="AN34" s="55">
        <v>21</v>
      </c>
      <c r="AO34" s="55">
        <f>H34*0.054716157</f>
        <v>0</v>
      </c>
      <c r="AP34" s="55">
        <f>H34*(1-0.054716157)</f>
        <v>0</v>
      </c>
      <c r="AQ34" s="58" t="s">
        <v>118</v>
      </c>
      <c r="AV34" s="55">
        <f>AW34+AX34</f>
        <v>0</v>
      </c>
      <c r="AW34" s="55">
        <f>G34*AO34</f>
        <v>0</v>
      </c>
      <c r="AX34" s="55">
        <f>G34*AP34</f>
        <v>0</v>
      </c>
      <c r="AY34" s="58" t="s">
        <v>146</v>
      </c>
      <c r="AZ34" s="58" t="s">
        <v>147</v>
      </c>
      <c r="BA34" s="33" t="s">
        <v>125</v>
      </c>
      <c r="BB34" s="59">
        <v>100035</v>
      </c>
      <c r="BC34" s="55">
        <f>AW34+AX34</f>
        <v>0</v>
      </c>
      <c r="BD34" s="55">
        <f>H34/(100-BE34)*100</f>
        <v>0</v>
      </c>
      <c r="BE34" s="55">
        <v>0</v>
      </c>
      <c r="BF34" s="55">
        <f>L34</f>
        <v>0.11408</v>
      </c>
      <c r="BH34" s="55">
        <f>G34*AO34</f>
        <v>0</v>
      </c>
      <c r="BI34" s="55">
        <f>G34*AP34</f>
        <v>0</v>
      </c>
      <c r="BJ34" s="55">
        <f>G34*H34</f>
        <v>0</v>
      </c>
      <c r="BK34" s="55"/>
      <c r="BL34" s="55">
        <v>31</v>
      </c>
      <c r="BW34" s="55">
        <v>21</v>
      </c>
      <c r="BX34" s="3" t="s">
        <v>164</v>
      </c>
    </row>
    <row r="35" spans="1:76" ht="13.5" customHeight="1" x14ac:dyDescent="0.25">
      <c r="A35" s="60"/>
      <c r="D35" s="155" t="s">
        <v>165</v>
      </c>
      <c r="E35" s="156"/>
      <c r="F35" s="156"/>
      <c r="G35" s="156"/>
      <c r="H35" s="157"/>
      <c r="I35" s="156"/>
      <c r="J35" s="156"/>
      <c r="K35" s="156"/>
      <c r="L35" s="156"/>
      <c r="M35" s="158"/>
    </row>
    <row r="36" spans="1:76" x14ac:dyDescent="0.25">
      <c r="A36" s="60"/>
      <c r="D36" s="61" t="s">
        <v>166</v>
      </c>
      <c r="E36" s="61" t="s">
        <v>167</v>
      </c>
      <c r="G36" s="62">
        <v>14</v>
      </c>
      <c r="M36" s="63"/>
    </row>
    <row r="37" spans="1:76" x14ac:dyDescent="0.25">
      <c r="A37" s="60"/>
      <c r="D37" s="61" t="s">
        <v>129</v>
      </c>
      <c r="E37" s="61" t="s">
        <v>168</v>
      </c>
      <c r="G37" s="62">
        <v>2</v>
      </c>
      <c r="M37" s="63"/>
    </row>
    <row r="38" spans="1:76" x14ac:dyDescent="0.25">
      <c r="A38" s="66" t="s">
        <v>169</v>
      </c>
      <c r="B38" s="67" t="s">
        <v>4</v>
      </c>
      <c r="C38" s="67" t="s">
        <v>170</v>
      </c>
      <c r="D38" s="163" t="s">
        <v>171</v>
      </c>
      <c r="E38" s="164"/>
      <c r="F38" s="67" t="s">
        <v>132</v>
      </c>
      <c r="G38" s="69">
        <v>5.5660000000000001E-2</v>
      </c>
      <c r="H38" s="70">
        <v>0</v>
      </c>
      <c r="I38" s="69">
        <f>G38*H38</f>
        <v>0</v>
      </c>
      <c r="J38" s="69">
        <v>0</v>
      </c>
      <c r="K38" s="69">
        <v>1</v>
      </c>
      <c r="L38" s="69">
        <f>G38*K38</f>
        <v>5.5660000000000001E-2</v>
      </c>
      <c r="M38" s="71" t="s">
        <v>122</v>
      </c>
      <c r="Z38" s="55">
        <f>IF(AQ38="5",BJ38,0)</f>
        <v>0</v>
      </c>
      <c r="AB38" s="55">
        <f>IF(AQ38="1",BH38,0)</f>
        <v>0</v>
      </c>
      <c r="AC38" s="55">
        <f>IF(AQ38="1",BI38,0)</f>
        <v>0</v>
      </c>
      <c r="AD38" s="55">
        <f>IF(AQ38="7",BH38,0)</f>
        <v>0</v>
      </c>
      <c r="AE38" s="55">
        <f>IF(AQ38="7",BI38,0)</f>
        <v>0</v>
      </c>
      <c r="AF38" s="55">
        <f>IF(AQ38="2",BH38,0)</f>
        <v>0</v>
      </c>
      <c r="AG38" s="55">
        <f>IF(AQ38="2",BI38,0)</f>
        <v>0</v>
      </c>
      <c r="AH38" s="55">
        <f>IF(AQ38="0",BJ38,0)</f>
        <v>0</v>
      </c>
      <c r="AI38" s="33" t="s">
        <v>4</v>
      </c>
      <c r="AJ38" s="69">
        <f>IF(AN38=0,I38,0)</f>
        <v>0</v>
      </c>
      <c r="AK38" s="69">
        <f>IF(AN38=12,I38,0)</f>
        <v>0</v>
      </c>
      <c r="AL38" s="69">
        <f>IF(AN38=21,I38,0)</f>
        <v>0</v>
      </c>
      <c r="AN38" s="55">
        <v>21</v>
      </c>
      <c r="AO38" s="55">
        <f>H38*1</f>
        <v>0</v>
      </c>
      <c r="AP38" s="55">
        <f>H38*(1-1)</f>
        <v>0</v>
      </c>
      <c r="AQ38" s="72" t="s">
        <v>118</v>
      </c>
      <c r="AV38" s="55">
        <f>AW38+AX38</f>
        <v>0</v>
      </c>
      <c r="AW38" s="55">
        <f>G38*AO38</f>
        <v>0</v>
      </c>
      <c r="AX38" s="55">
        <f>G38*AP38</f>
        <v>0</v>
      </c>
      <c r="AY38" s="58" t="s">
        <v>146</v>
      </c>
      <c r="AZ38" s="58" t="s">
        <v>147</v>
      </c>
      <c r="BA38" s="33" t="s">
        <v>125</v>
      </c>
      <c r="BC38" s="55">
        <f>AW38+AX38</f>
        <v>0</v>
      </c>
      <c r="BD38" s="55">
        <f>H38/(100-BE38)*100</f>
        <v>0</v>
      </c>
      <c r="BE38" s="55">
        <v>0</v>
      </c>
      <c r="BF38" s="55">
        <f>L38</f>
        <v>5.5660000000000001E-2</v>
      </c>
      <c r="BH38" s="69">
        <f>G38*AO38</f>
        <v>0</v>
      </c>
      <c r="BI38" s="69">
        <f>G38*AP38</f>
        <v>0</v>
      </c>
      <c r="BJ38" s="69">
        <f>G38*H38</f>
        <v>0</v>
      </c>
      <c r="BK38" s="69"/>
      <c r="BL38" s="55">
        <v>31</v>
      </c>
      <c r="BW38" s="55">
        <v>21</v>
      </c>
      <c r="BX38" s="68" t="s">
        <v>171</v>
      </c>
    </row>
    <row r="39" spans="1:76" x14ac:dyDescent="0.25">
      <c r="A39" s="60"/>
      <c r="D39" s="61" t="s">
        <v>172</v>
      </c>
      <c r="E39" s="61" t="s">
        <v>4</v>
      </c>
      <c r="G39" s="62">
        <v>4.743E-2</v>
      </c>
      <c r="M39" s="63"/>
    </row>
    <row r="40" spans="1:76" x14ac:dyDescent="0.25">
      <c r="A40" s="60"/>
      <c r="D40" s="61" t="s">
        <v>173</v>
      </c>
      <c r="E40" s="61" t="s">
        <v>4</v>
      </c>
      <c r="G40" s="62">
        <v>8.2299999999999995E-3</v>
      </c>
      <c r="M40" s="63"/>
    </row>
    <row r="41" spans="1:76" ht="25.5" x14ac:dyDescent="0.25">
      <c r="A41" s="60"/>
      <c r="C41" s="64" t="s">
        <v>127</v>
      </c>
      <c r="D41" s="159" t="s">
        <v>174</v>
      </c>
      <c r="E41" s="160"/>
      <c r="F41" s="160"/>
      <c r="G41" s="160"/>
      <c r="H41" s="161"/>
      <c r="I41" s="160"/>
      <c r="J41" s="160"/>
      <c r="K41" s="160"/>
      <c r="L41" s="160"/>
      <c r="M41" s="162"/>
      <c r="BX41" s="73" t="s">
        <v>174</v>
      </c>
    </row>
    <row r="42" spans="1:76" x14ac:dyDescent="0.25">
      <c r="A42" s="1" t="s">
        <v>175</v>
      </c>
      <c r="B42" s="2" t="s">
        <v>4</v>
      </c>
      <c r="C42" s="2" t="s">
        <v>176</v>
      </c>
      <c r="D42" s="82" t="s">
        <v>177</v>
      </c>
      <c r="E42" s="83"/>
      <c r="F42" s="2" t="s">
        <v>157</v>
      </c>
      <c r="G42" s="55">
        <v>7.6440000000000001</v>
      </c>
      <c r="H42" s="56">
        <v>0</v>
      </c>
      <c r="I42" s="55">
        <f>G42*H42</f>
        <v>0</v>
      </c>
      <c r="J42" s="55">
        <v>0</v>
      </c>
      <c r="K42" s="55">
        <v>5.4200000000000003E-3</v>
      </c>
      <c r="L42" s="55">
        <f>G42*K42</f>
        <v>4.1430480000000006E-2</v>
      </c>
      <c r="M42" s="57" t="s">
        <v>122</v>
      </c>
      <c r="Z42" s="55">
        <f>IF(AQ42="5",BJ42,0)</f>
        <v>0</v>
      </c>
      <c r="AB42" s="55">
        <f>IF(AQ42="1",BH42,0)</f>
        <v>0</v>
      </c>
      <c r="AC42" s="55">
        <f>IF(AQ42="1",BI42,0)</f>
        <v>0</v>
      </c>
      <c r="AD42" s="55">
        <f>IF(AQ42="7",BH42,0)</f>
        <v>0</v>
      </c>
      <c r="AE42" s="55">
        <f>IF(AQ42="7",BI42,0)</f>
        <v>0</v>
      </c>
      <c r="AF42" s="55">
        <f>IF(AQ42="2",BH42,0)</f>
        <v>0</v>
      </c>
      <c r="AG42" s="55">
        <f>IF(AQ42="2",BI42,0)</f>
        <v>0</v>
      </c>
      <c r="AH42" s="55">
        <f>IF(AQ42="0",BJ42,0)</f>
        <v>0</v>
      </c>
      <c r="AI42" s="33" t="s">
        <v>4</v>
      </c>
      <c r="AJ42" s="55">
        <f>IF(AN42=0,I42,0)</f>
        <v>0</v>
      </c>
      <c r="AK42" s="55">
        <f>IF(AN42=12,I42,0)</f>
        <v>0</v>
      </c>
      <c r="AL42" s="55">
        <f>IF(AN42=21,I42,0)</f>
        <v>0</v>
      </c>
      <c r="AN42" s="55">
        <v>21</v>
      </c>
      <c r="AO42" s="55">
        <f>H42*0.174733945</f>
        <v>0</v>
      </c>
      <c r="AP42" s="55">
        <f>H42*(1-0.174733945)</f>
        <v>0</v>
      </c>
      <c r="AQ42" s="58" t="s">
        <v>118</v>
      </c>
      <c r="AV42" s="55">
        <f>AW42+AX42</f>
        <v>0</v>
      </c>
      <c r="AW42" s="55">
        <f>G42*AO42</f>
        <v>0</v>
      </c>
      <c r="AX42" s="55">
        <f>G42*AP42</f>
        <v>0</v>
      </c>
      <c r="AY42" s="58" t="s">
        <v>146</v>
      </c>
      <c r="AZ42" s="58" t="s">
        <v>147</v>
      </c>
      <c r="BA42" s="33" t="s">
        <v>125</v>
      </c>
      <c r="BB42" s="59">
        <v>100035</v>
      </c>
      <c r="BC42" s="55">
        <f>AW42+AX42</f>
        <v>0</v>
      </c>
      <c r="BD42" s="55">
        <f>H42/(100-BE42)*100</f>
        <v>0</v>
      </c>
      <c r="BE42" s="55">
        <v>0</v>
      </c>
      <c r="BF42" s="55">
        <f>L42</f>
        <v>4.1430480000000006E-2</v>
      </c>
      <c r="BH42" s="55">
        <f>G42*AO42</f>
        <v>0</v>
      </c>
      <c r="BI42" s="55">
        <f>G42*AP42</f>
        <v>0</v>
      </c>
      <c r="BJ42" s="55">
        <f>G42*H42</f>
        <v>0</v>
      </c>
      <c r="BK42" s="55"/>
      <c r="BL42" s="55">
        <v>31</v>
      </c>
      <c r="BW42" s="55">
        <v>21</v>
      </c>
      <c r="BX42" s="3" t="s">
        <v>177</v>
      </c>
    </row>
    <row r="43" spans="1:76" ht="13.5" customHeight="1" x14ac:dyDescent="0.25">
      <c r="A43" s="60"/>
      <c r="D43" s="155" t="s">
        <v>178</v>
      </c>
      <c r="E43" s="156"/>
      <c r="F43" s="156"/>
      <c r="G43" s="156"/>
      <c r="H43" s="157"/>
      <c r="I43" s="156"/>
      <c r="J43" s="156"/>
      <c r="K43" s="156"/>
      <c r="L43" s="156"/>
      <c r="M43" s="158"/>
    </row>
    <row r="44" spans="1:76" x14ac:dyDescent="0.25">
      <c r="A44" s="60"/>
      <c r="D44" s="61" t="s">
        <v>179</v>
      </c>
      <c r="E44" s="61" t="s">
        <v>167</v>
      </c>
      <c r="G44" s="62">
        <v>7.6440000000000001</v>
      </c>
      <c r="M44" s="63"/>
    </row>
    <row r="45" spans="1:76" ht="25.5" x14ac:dyDescent="0.25">
      <c r="A45" s="60"/>
      <c r="C45" s="64" t="s">
        <v>127</v>
      </c>
      <c r="D45" s="159" t="s">
        <v>180</v>
      </c>
      <c r="E45" s="160"/>
      <c r="F45" s="160"/>
      <c r="G45" s="160"/>
      <c r="H45" s="161"/>
      <c r="I45" s="160"/>
      <c r="J45" s="160"/>
      <c r="K45" s="160"/>
      <c r="L45" s="160"/>
      <c r="M45" s="162"/>
      <c r="BX45" s="65" t="s">
        <v>180</v>
      </c>
    </row>
    <row r="46" spans="1:76" x14ac:dyDescent="0.25">
      <c r="A46" s="1" t="s">
        <v>181</v>
      </c>
      <c r="B46" s="2" t="s">
        <v>4</v>
      </c>
      <c r="C46" s="2" t="s">
        <v>182</v>
      </c>
      <c r="D46" s="82" t="s">
        <v>183</v>
      </c>
      <c r="E46" s="83"/>
      <c r="F46" s="2" t="s">
        <v>145</v>
      </c>
      <c r="G46" s="55">
        <v>1</v>
      </c>
      <c r="H46" s="56">
        <v>0</v>
      </c>
      <c r="I46" s="55">
        <f>G46*H46</f>
        <v>0</v>
      </c>
      <c r="J46" s="55">
        <v>0</v>
      </c>
      <c r="K46" s="55">
        <v>2.0400000000000001E-2</v>
      </c>
      <c r="L46" s="55">
        <f>G46*K46</f>
        <v>2.0400000000000001E-2</v>
      </c>
      <c r="M46" s="57" t="s">
        <v>122</v>
      </c>
      <c r="Z46" s="55">
        <f>IF(AQ46="5",BJ46,0)</f>
        <v>0</v>
      </c>
      <c r="AB46" s="55">
        <f>IF(AQ46="1",BH46,0)</f>
        <v>0</v>
      </c>
      <c r="AC46" s="55">
        <f>IF(AQ46="1",BI46,0)</f>
        <v>0</v>
      </c>
      <c r="AD46" s="55">
        <f>IF(AQ46="7",BH46,0)</f>
        <v>0</v>
      </c>
      <c r="AE46" s="55">
        <f>IF(AQ46="7",BI46,0)</f>
        <v>0</v>
      </c>
      <c r="AF46" s="55">
        <f>IF(AQ46="2",BH46,0)</f>
        <v>0</v>
      </c>
      <c r="AG46" s="55">
        <f>IF(AQ46="2",BI46,0)</f>
        <v>0</v>
      </c>
      <c r="AH46" s="55">
        <f>IF(AQ46="0",BJ46,0)</f>
        <v>0</v>
      </c>
      <c r="AI46" s="33" t="s">
        <v>4</v>
      </c>
      <c r="AJ46" s="55">
        <f>IF(AN46=0,I46,0)</f>
        <v>0</v>
      </c>
      <c r="AK46" s="55">
        <f>IF(AN46=12,I46,0)</f>
        <v>0</v>
      </c>
      <c r="AL46" s="55">
        <f>IF(AN46=21,I46,0)</f>
        <v>0</v>
      </c>
      <c r="AN46" s="55">
        <v>21</v>
      </c>
      <c r="AO46" s="55">
        <f>H46*0</f>
        <v>0</v>
      </c>
      <c r="AP46" s="55">
        <f>H46*(1-0)</f>
        <v>0</v>
      </c>
      <c r="AQ46" s="58" t="s">
        <v>118</v>
      </c>
      <c r="AV46" s="55">
        <f>AW46+AX46</f>
        <v>0</v>
      </c>
      <c r="AW46" s="55">
        <f>G46*AO46</f>
        <v>0</v>
      </c>
      <c r="AX46" s="55">
        <f>G46*AP46</f>
        <v>0</v>
      </c>
      <c r="AY46" s="58" t="s">
        <v>146</v>
      </c>
      <c r="AZ46" s="58" t="s">
        <v>147</v>
      </c>
      <c r="BA46" s="33" t="s">
        <v>125</v>
      </c>
      <c r="BB46" s="59">
        <v>100035</v>
      </c>
      <c r="BC46" s="55">
        <f>AW46+AX46</f>
        <v>0</v>
      </c>
      <c r="BD46" s="55">
        <f>H46/(100-BE46)*100</f>
        <v>0</v>
      </c>
      <c r="BE46" s="55">
        <v>0</v>
      </c>
      <c r="BF46" s="55">
        <f>L46</f>
        <v>2.0400000000000001E-2</v>
      </c>
      <c r="BH46" s="55">
        <f>G46*AO46</f>
        <v>0</v>
      </c>
      <c r="BI46" s="55">
        <f>G46*AP46</f>
        <v>0</v>
      </c>
      <c r="BJ46" s="55">
        <f>G46*H46</f>
        <v>0</v>
      </c>
      <c r="BK46" s="55"/>
      <c r="BL46" s="55">
        <v>31</v>
      </c>
      <c r="BW46" s="55">
        <v>21</v>
      </c>
      <c r="BX46" s="3" t="s">
        <v>183</v>
      </c>
    </row>
    <row r="47" spans="1:76" x14ac:dyDescent="0.25">
      <c r="A47" s="60"/>
      <c r="D47" s="61" t="s">
        <v>118</v>
      </c>
      <c r="E47" s="61" t="s">
        <v>4</v>
      </c>
      <c r="G47" s="62">
        <v>1</v>
      </c>
      <c r="M47" s="63"/>
    </row>
    <row r="48" spans="1:76" x14ac:dyDescent="0.25">
      <c r="A48" s="66" t="s">
        <v>184</v>
      </c>
      <c r="B48" s="67" t="s">
        <v>4</v>
      </c>
      <c r="C48" s="67" t="s">
        <v>185</v>
      </c>
      <c r="D48" s="163" t="s">
        <v>186</v>
      </c>
      <c r="E48" s="164"/>
      <c r="F48" s="67" t="s">
        <v>145</v>
      </c>
      <c r="G48" s="69">
        <v>1</v>
      </c>
      <c r="H48" s="70">
        <v>0</v>
      </c>
      <c r="I48" s="69">
        <f>G48*H48</f>
        <v>0</v>
      </c>
      <c r="J48" s="69">
        <v>0</v>
      </c>
      <c r="K48" s="69">
        <v>3.2000000000000001E-2</v>
      </c>
      <c r="L48" s="69">
        <f>G48*K48</f>
        <v>3.2000000000000001E-2</v>
      </c>
      <c r="M48" s="71" t="s">
        <v>122</v>
      </c>
      <c r="Z48" s="55">
        <f>IF(AQ48="5",BJ48,0)</f>
        <v>0</v>
      </c>
      <c r="AB48" s="55">
        <f>IF(AQ48="1",BH48,0)</f>
        <v>0</v>
      </c>
      <c r="AC48" s="55">
        <f>IF(AQ48="1",BI48,0)</f>
        <v>0</v>
      </c>
      <c r="AD48" s="55">
        <f>IF(AQ48="7",BH48,0)</f>
        <v>0</v>
      </c>
      <c r="AE48" s="55">
        <f>IF(AQ48="7",BI48,0)</f>
        <v>0</v>
      </c>
      <c r="AF48" s="55">
        <f>IF(AQ48="2",BH48,0)</f>
        <v>0</v>
      </c>
      <c r="AG48" s="55">
        <f>IF(AQ48="2",BI48,0)</f>
        <v>0</v>
      </c>
      <c r="AH48" s="55">
        <f>IF(AQ48="0",BJ48,0)</f>
        <v>0</v>
      </c>
      <c r="AI48" s="33" t="s">
        <v>4</v>
      </c>
      <c r="AJ48" s="69">
        <f>IF(AN48=0,I48,0)</f>
        <v>0</v>
      </c>
      <c r="AK48" s="69">
        <f>IF(AN48=12,I48,0)</f>
        <v>0</v>
      </c>
      <c r="AL48" s="69">
        <f>IF(AN48=21,I48,0)</f>
        <v>0</v>
      </c>
      <c r="AN48" s="55">
        <v>21</v>
      </c>
      <c r="AO48" s="55">
        <f>H48*1</f>
        <v>0</v>
      </c>
      <c r="AP48" s="55">
        <f>H48*(1-1)</f>
        <v>0</v>
      </c>
      <c r="AQ48" s="72" t="s">
        <v>118</v>
      </c>
      <c r="AV48" s="55">
        <f>AW48+AX48</f>
        <v>0</v>
      </c>
      <c r="AW48" s="55">
        <f>G48*AO48</f>
        <v>0</v>
      </c>
      <c r="AX48" s="55">
        <f>G48*AP48</f>
        <v>0</v>
      </c>
      <c r="AY48" s="58" t="s">
        <v>146</v>
      </c>
      <c r="AZ48" s="58" t="s">
        <v>147</v>
      </c>
      <c r="BA48" s="33" t="s">
        <v>125</v>
      </c>
      <c r="BC48" s="55">
        <f>AW48+AX48</f>
        <v>0</v>
      </c>
      <c r="BD48" s="55">
        <f>H48/(100-BE48)*100</f>
        <v>0</v>
      </c>
      <c r="BE48" s="55">
        <v>0</v>
      </c>
      <c r="BF48" s="55">
        <f>L48</f>
        <v>3.2000000000000001E-2</v>
      </c>
      <c r="BH48" s="69">
        <f>G48*AO48</f>
        <v>0</v>
      </c>
      <c r="BI48" s="69">
        <f>G48*AP48</f>
        <v>0</v>
      </c>
      <c r="BJ48" s="69">
        <f>G48*H48</f>
        <v>0</v>
      </c>
      <c r="BK48" s="69"/>
      <c r="BL48" s="55">
        <v>31</v>
      </c>
      <c r="BW48" s="55">
        <v>21</v>
      </c>
      <c r="BX48" s="68" t="s">
        <v>186</v>
      </c>
    </row>
    <row r="49" spans="1:76" x14ac:dyDescent="0.25">
      <c r="A49" s="60"/>
      <c r="D49" s="61" t="s">
        <v>118</v>
      </c>
      <c r="E49" s="61" t="s">
        <v>4</v>
      </c>
      <c r="G49" s="62">
        <v>1</v>
      </c>
      <c r="M49" s="63"/>
    </row>
    <row r="50" spans="1:76" x14ac:dyDescent="0.25">
      <c r="A50" s="50" t="s">
        <v>4</v>
      </c>
      <c r="B50" s="51" t="s">
        <v>4</v>
      </c>
      <c r="C50" s="51" t="s">
        <v>187</v>
      </c>
      <c r="D50" s="153" t="s">
        <v>188</v>
      </c>
      <c r="E50" s="154"/>
      <c r="F50" s="52" t="s">
        <v>78</v>
      </c>
      <c r="G50" s="52" t="s">
        <v>78</v>
      </c>
      <c r="H50" s="53" t="s">
        <v>78</v>
      </c>
      <c r="I50" s="26">
        <f>SUM(I51:I93)</f>
        <v>0</v>
      </c>
      <c r="J50" s="33" t="s">
        <v>4</v>
      </c>
      <c r="K50" s="33" t="s">
        <v>4</v>
      </c>
      <c r="L50" s="26">
        <f>SUM(L51:L93)</f>
        <v>27.50647635</v>
      </c>
      <c r="M50" s="54" t="s">
        <v>4</v>
      </c>
      <c r="AI50" s="33" t="s">
        <v>4</v>
      </c>
      <c r="AS50" s="26">
        <f>SUM(AJ51:AJ93)</f>
        <v>0</v>
      </c>
      <c r="AT50" s="26">
        <f>SUM(AK51:AK93)</f>
        <v>0</v>
      </c>
      <c r="AU50" s="26">
        <f>SUM(AL51:AL93)</f>
        <v>0</v>
      </c>
    </row>
    <row r="51" spans="1:76" x14ac:dyDescent="0.25">
      <c r="A51" s="1" t="s">
        <v>189</v>
      </c>
      <c r="B51" s="2" t="s">
        <v>4</v>
      </c>
      <c r="C51" s="2" t="s">
        <v>190</v>
      </c>
      <c r="D51" s="82" t="s">
        <v>191</v>
      </c>
      <c r="E51" s="83"/>
      <c r="F51" s="2" t="s">
        <v>157</v>
      </c>
      <c r="G51" s="55">
        <v>72.049000000000007</v>
      </c>
      <c r="H51" s="56">
        <v>0</v>
      </c>
      <c r="I51" s="55">
        <f>G51*H51</f>
        <v>0</v>
      </c>
      <c r="J51" s="55">
        <v>0</v>
      </c>
      <c r="K51" s="55">
        <v>9.4810000000000005E-2</v>
      </c>
      <c r="L51" s="55">
        <f>G51*K51</f>
        <v>6.8309656900000011</v>
      </c>
      <c r="M51" s="57" t="s">
        <v>122</v>
      </c>
      <c r="Z51" s="55">
        <f>IF(AQ51="5",BJ51,0)</f>
        <v>0</v>
      </c>
      <c r="AB51" s="55">
        <f>IF(AQ51="1",BH51,0)</f>
        <v>0</v>
      </c>
      <c r="AC51" s="55">
        <f>IF(AQ51="1",BI51,0)</f>
        <v>0</v>
      </c>
      <c r="AD51" s="55">
        <f>IF(AQ51="7",BH51,0)</f>
        <v>0</v>
      </c>
      <c r="AE51" s="55">
        <f>IF(AQ51="7",BI51,0)</f>
        <v>0</v>
      </c>
      <c r="AF51" s="55">
        <f>IF(AQ51="2",BH51,0)</f>
        <v>0</v>
      </c>
      <c r="AG51" s="55">
        <f>IF(AQ51="2",BI51,0)</f>
        <v>0</v>
      </c>
      <c r="AH51" s="55">
        <f>IF(AQ51="0",BJ51,0)</f>
        <v>0</v>
      </c>
      <c r="AI51" s="33" t="s">
        <v>4</v>
      </c>
      <c r="AJ51" s="55">
        <f>IF(AN51=0,I51,0)</f>
        <v>0</v>
      </c>
      <c r="AK51" s="55">
        <f>IF(AN51=12,I51,0)</f>
        <v>0</v>
      </c>
      <c r="AL51" s="55">
        <f>IF(AN51=21,I51,0)</f>
        <v>0</v>
      </c>
      <c r="AN51" s="55">
        <v>21</v>
      </c>
      <c r="AO51" s="55">
        <f>H51*0.701544531</f>
        <v>0</v>
      </c>
      <c r="AP51" s="55">
        <f>H51*(1-0.701544531)</f>
        <v>0</v>
      </c>
      <c r="AQ51" s="58" t="s">
        <v>118</v>
      </c>
      <c r="AV51" s="55">
        <f>AW51+AX51</f>
        <v>0</v>
      </c>
      <c r="AW51" s="55">
        <f>G51*AO51</f>
        <v>0</v>
      </c>
      <c r="AX51" s="55">
        <f>G51*AP51</f>
        <v>0</v>
      </c>
      <c r="AY51" s="58" t="s">
        <v>192</v>
      </c>
      <c r="AZ51" s="58" t="s">
        <v>147</v>
      </c>
      <c r="BA51" s="33" t="s">
        <v>125</v>
      </c>
      <c r="BB51" s="59">
        <v>100036</v>
      </c>
      <c r="BC51" s="55">
        <f>AW51+AX51</f>
        <v>0</v>
      </c>
      <c r="BD51" s="55">
        <f>H51/(100-BE51)*100</f>
        <v>0</v>
      </c>
      <c r="BE51" s="55">
        <v>0</v>
      </c>
      <c r="BF51" s="55">
        <f>L51</f>
        <v>6.8309656900000011</v>
      </c>
      <c r="BH51" s="55">
        <f>G51*AO51</f>
        <v>0</v>
      </c>
      <c r="BI51" s="55">
        <f>G51*AP51</f>
        <v>0</v>
      </c>
      <c r="BJ51" s="55">
        <f>G51*H51</f>
        <v>0</v>
      </c>
      <c r="BK51" s="55"/>
      <c r="BL51" s="55">
        <v>34</v>
      </c>
      <c r="BW51" s="55">
        <v>21</v>
      </c>
      <c r="BX51" s="3" t="s">
        <v>191</v>
      </c>
    </row>
    <row r="52" spans="1:76" x14ac:dyDescent="0.25">
      <c r="A52" s="60"/>
      <c r="D52" s="61" t="s">
        <v>193</v>
      </c>
      <c r="E52" s="61" t="s">
        <v>194</v>
      </c>
      <c r="G52" s="62">
        <v>19.472000000000001</v>
      </c>
      <c r="M52" s="63"/>
    </row>
    <row r="53" spans="1:76" x14ac:dyDescent="0.25">
      <c r="A53" s="60"/>
      <c r="D53" s="61" t="s">
        <v>195</v>
      </c>
      <c r="E53" s="61" t="s">
        <v>196</v>
      </c>
      <c r="G53" s="62">
        <v>24.041</v>
      </c>
      <c r="M53" s="63"/>
    </row>
    <row r="54" spans="1:76" x14ac:dyDescent="0.25">
      <c r="A54" s="60"/>
      <c r="D54" s="61" t="s">
        <v>197</v>
      </c>
      <c r="E54" s="61" t="s">
        <v>198</v>
      </c>
      <c r="G54" s="62">
        <v>20.677</v>
      </c>
      <c r="M54" s="63"/>
    </row>
    <row r="55" spans="1:76" x14ac:dyDescent="0.25">
      <c r="A55" s="60"/>
      <c r="D55" s="61" t="s">
        <v>199</v>
      </c>
      <c r="E55" s="61" t="s">
        <v>200</v>
      </c>
      <c r="G55" s="62">
        <v>7.859</v>
      </c>
      <c r="M55" s="63"/>
    </row>
    <row r="56" spans="1:76" x14ac:dyDescent="0.25">
      <c r="A56" s="1" t="s">
        <v>201</v>
      </c>
      <c r="B56" s="2" t="s">
        <v>4</v>
      </c>
      <c r="C56" s="2" t="s">
        <v>202</v>
      </c>
      <c r="D56" s="82" t="s">
        <v>203</v>
      </c>
      <c r="E56" s="83"/>
      <c r="F56" s="2" t="s">
        <v>157</v>
      </c>
      <c r="G56" s="55">
        <v>65.834000000000003</v>
      </c>
      <c r="H56" s="56">
        <v>0</v>
      </c>
      <c r="I56" s="55">
        <f>G56*H56</f>
        <v>0</v>
      </c>
      <c r="J56" s="55">
        <v>0</v>
      </c>
      <c r="K56" s="55">
        <v>9.4810000000000005E-2</v>
      </c>
      <c r="L56" s="55">
        <f>G56*K56</f>
        <v>6.2417215400000003</v>
      </c>
      <c r="M56" s="57" t="s">
        <v>122</v>
      </c>
      <c r="Z56" s="55">
        <f>IF(AQ56="5",BJ56,0)</f>
        <v>0</v>
      </c>
      <c r="AB56" s="55">
        <f>IF(AQ56="1",BH56,0)</f>
        <v>0</v>
      </c>
      <c r="AC56" s="55">
        <f>IF(AQ56="1",BI56,0)</f>
        <v>0</v>
      </c>
      <c r="AD56" s="55">
        <f>IF(AQ56="7",BH56,0)</f>
        <v>0</v>
      </c>
      <c r="AE56" s="55">
        <f>IF(AQ56="7",BI56,0)</f>
        <v>0</v>
      </c>
      <c r="AF56" s="55">
        <f>IF(AQ56="2",BH56,0)</f>
        <v>0</v>
      </c>
      <c r="AG56" s="55">
        <f>IF(AQ56="2",BI56,0)</f>
        <v>0</v>
      </c>
      <c r="AH56" s="55">
        <f>IF(AQ56="0",BJ56,0)</f>
        <v>0</v>
      </c>
      <c r="AI56" s="33" t="s">
        <v>4</v>
      </c>
      <c r="AJ56" s="55">
        <f>IF(AN56=0,I56,0)</f>
        <v>0</v>
      </c>
      <c r="AK56" s="55">
        <f>IF(AN56=12,I56,0)</f>
        <v>0</v>
      </c>
      <c r="AL56" s="55">
        <f>IF(AN56=21,I56,0)</f>
        <v>0</v>
      </c>
      <c r="AN56" s="55">
        <v>21</v>
      </c>
      <c r="AO56" s="55">
        <f>H56*0.701549411</f>
        <v>0</v>
      </c>
      <c r="AP56" s="55">
        <f>H56*(1-0.701549411)</f>
        <v>0</v>
      </c>
      <c r="AQ56" s="58" t="s">
        <v>118</v>
      </c>
      <c r="AV56" s="55">
        <f>AW56+AX56</f>
        <v>0</v>
      </c>
      <c r="AW56" s="55">
        <f>G56*AO56</f>
        <v>0</v>
      </c>
      <c r="AX56" s="55">
        <f>G56*AP56</f>
        <v>0</v>
      </c>
      <c r="AY56" s="58" t="s">
        <v>192</v>
      </c>
      <c r="AZ56" s="58" t="s">
        <v>147</v>
      </c>
      <c r="BA56" s="33" t="s">
        <v>125</v>
      </c>
      <c r="BB56" s="59">
        <v>100036</v>
      </c>
      <c r="BC56" s="55">
        <f>AW56+AX56</f>
        <v>0</v>
      </c>
      <c r="BD56" s="55">
        <f>H56/(100-BE56)*100</f>
        <v>0</v>
      </c>
      <c r="BE56" s="55">
        <v>0</v>
      </c>
      <c r="BF56" s="55">
        <f>L56</f>
        <v>6.2417215400000003</v>
      </c>
      <c r="BH56" s="55">
        <f>G56*AO56</f>
        <v>0</v>
      </c>
      <c r="BI56" s="55">
        <f>G56*AP56</f>
        <v>0</v>
      </c>
      <c r="BJ56" s="55">
        <f>G56*H56</f>
        <v>0</v>
      </c>
      <c r="BK56" s="55"/>
      <c r="BL56" s="55">
        <v>34</v>
      </c>
      <c r="BW56" s="55">
        <v>21</v>
      </c>
      <c r="BX56" s="3" t="s">
        <v>203</v>
      </c>
    </row>
    <row r="57" spans="1:76" x14ac:dyDescent="0.25">
      <c r="A57" s="60"/>
      <c r="D57" s="61" t="s">
        <v>204</v>
      </c>
      <c r="E57" s="61" t="s">
        <v>205</v>
      </c>
      <c r="G57" s="62">
        <v>30.655000000000001</v>
      </c>
      <c r="M57" s="63"/>
    </row>
    <row r="58" spans="1:76" x14ac:dyDescent="0.25">
      <c r="A58" s="60"/>
      <c r="D58" s="61" t="s">
        <v>206</v>
      </c>
      <c r="E58" s="61" t="s">
        <v>207</v>
      </c>
      <c r="G58" s="62">
        <v>2.4649999999999999</v>
      </c>
      <c r="M58" s="63"/>
    </row>
    <row r="59" spans="1:76" x14ac:dyDescent="0.25">
      <c r="A59" s="60"/>
      <c r="D59" s="61" t="s">
        <v>208</v>
      </c>
      <c r="E59" s="61" t="s">
        <v>209</v>
      </c>
      <c r="G59" s="62">
        <v>12.617000000000001</v>
      </c>
      <c r="M59" s="63"/>
    </row>
    <row r="60" spans="1:76" x14ac:dyDescent="0.25">
      <c r="A60" s="60"/>
      <c r="D60" s="61" t="s">
        <v>210</v>
      </c>
      <c r="E60" s="61" t="s">
        <v>211</v>
      </c>
      <c r="G60" s="62">
        <v>20.097000000000001</v>
      </c>
      <c r="M60" s="63"/>
    </row>
    <row r="61" spans="1:76" x14ac:dyDescent="0.25">
      <c r="A61" s="1" t="s">
        <v>166</v>
      </c>
      <c r="B61" s="2" t="s">
        <v>4</v>
      </c>
      <c r="C61" s="2" t="s">
        <v>212</v>
      </c>
      <c r="D61" s="82" t="s">
        <v>213</v>
      </c>
      <c r="E61" s="83"/>
      <c r="F61" s="2" t="s">
        <v>157</v>
      </c>
      <c r="G61" s="55">
        <v>2.581</v>
      </c>
      <c r="H61" s="56">
        <v>0</v>
      </c>
      <c r="I61" s="55">
        <f>G61*H61</f>
        <v>0</v>
      </c>
      <c r="J61" s="55">
        <v>0</v>
      </c>
      <c r="K61" s="55">
        <v>5.7099999999999998E-2</v>
      </c>
      <c r="L61" s="55">
        <f>G61*K61</f>
        <v>0.14737509999999998</v>
      </c>
      <c r="M61" s="57" t="s">
        <v>122</v>
      </c>
      <c r="Z61" s="55">
        <f>IF(AQ61="5",BJ61,0)</f>
        <v>0</v>
      </c>
      <c r="AB61" s="55">
        <f>IF(AQ61="1",BH61,0)</f>
        <v>0</v>
      </c>
      <c r="AC61" s="55">
        <f>IF(AQ61="1",BI61,0)</f>
        <v>0</v>
      </c>
      <c r="AD61" s="55">
        <f>IF(AQ61="7",BH61,0)</f>
        <v>0</v>
      </c>
      <c r="AE61" s="55">
        <f>IF(AQ61="7",BI61,0)</f>
        <v>0</v>
      </c>
      <c r="AF61" s="55">
        <f>IF(AQ61="2",BH61,0)</f>
        <v>0</v>
      </c>
      <c r="AG61" s="55">
        <f>IF(AQ61="2",BI61,0)</f>
        <v>0</v>
      </c>
      <c r="AH61" s="55">
        <f>IF(AQ61="0",BJ61,0)</f>
        <v>0</v>
      </c>
      <c r="AI61" s="33" t="s">
        <v>4</v>
      </c>
      <c r="AJ61" s="55">
        <f>IF(AN61=0,I61,0)</f>
        <v>0</v>
      </c>
      <c r="AK61" s="55">
        <f>IF(AN61=12,I61,0)</f>
        <v>0</v>
      </c>
      <c r="AL61" s="55">
        <f>IF(AN61=21,I61,0)</f>
        <v>0</v>
      </c>
      <c r="AN61" s="55">
        <v>21</v>
      </c>
      <c r="AO61" s="55">
        <f>H61*0.615031907</f>
        <v>0</v>
      </c>
      <c r="AP61" s="55">
        <f>H61*(1-0.615031907)</f>
        <v>0</v>
      </c>
      <c r="AQ61" s="58" t="s">
        <v>118</v>
      </c>
      <c r="AV61" s="55">
        <f>AW61+AX61</f>
        <v>0</v>
      </c>
      <c r="AW61" s="55">
        <f>G61*AO61</f>
        <v>0</v>
      </c>
      <c r="AX61" s="55">
        <f>G61*AP61</f>
        <v>0</v>
      </c>
      <c r="AY61" s="58" t="s">
        <v>192</v>
      </c>
      <c r="AZ61" s="58" t="s">
        <v>147</v>
      </c>
      <c r="BA61" s="33" t="s">
        <v>125</v>
      </c>
      <c r="BB61" s="59">
        <v>100036</v>
      </c>
      <c r="BC61" s="55">
        <f>AW61+AX61</f>
        <v>0</v>
      </c>
      <c r="BD61" s="55">
        <f>H61/(100-BE61)*100</f>
        <v>0</v>
      </c>
      <c r="BE61" s="55">
        <v>0</v>
      </c>
      <c r="BF61" s="55">
        <f>L61</f>
        <v>0.14737509999999998</v>
      </c>
      <c r="BH61" s="55">
        <f>G61*AO61</f>
        <v>0</v>
      </c>
      <c r="BI61" s="55">
        <f>G61*AP61</f>
        <v>0</v>
      </c>
      <c r="BJ61" s="55">
        <f>G61*H61</f>
        <v>0</v>
      </c>
      <c r="BK61" s="55"/>
      <c r="BL61" s="55">
        <v>34</v>
      </c>
      <c r="BW61" s="55">
        <v>21</v>
      </c>
      <c r="BX61" s="3" t="s">
        <v>213</v>
      </c>
    </row>
    <row r="62" spans="1:76" x14ac:dyDescent="0.25">
      <c r="A62" s="60"/>
      <c r="D62" s="61" t="s">
        <v>214</v>
      </c>
      <c r="E62" s="61" t="s">
        <v>215</v>
      </c>
      <c r="G62" s="62">
        <v>2.581</v>
      </c>
      <c r="M62" s="63"/>
    </row>
    <row r="63" spans="1:76" x14ac:dyDescent="0.25">
      <c r="A63" s="1" t="s">
        <v>216</v>
      </c>
      <c r="B63" s="2" t="s">
        <v>4</v>
      </c>
      <c r="C63" s="2" t="s">
        <v>217</v>
      </c>
      <c r="D63" s="82" t="s">
        <v>218</v>
      </c>
      <c r="E63" s="83"/>
      <c r="F63" s="2" t="s">
        <v>219</v>
      </c>
      <c r="G63" s="55">
        <v>65.39</v>
      </c>
      <c r="H63" s="56">
        <v>0</v>
      </c>
      <c r="I63" s="55">
        <f>G63*H63</f>
        <v>0</v>
      </c>
      <c r="J63" s="55">
        <v>0</v>
      </c>
      <c r="K63" s="55">
        <v>1.0200000000000001E-3</v>
      </c>
      <c r="L63" s="55">
        <f>G63*K63</f>
        <v>6.6697800000000002E-2</v>
      </c>
      <c r="M63" s="57" t="s">
        <v>122</v>
      </c>
      <c r="Z63" s="55">
        <f>IF(AQ63="5",BJ63,0)</f>
        <v>0</v>
      </c>
      <c r="AB63" s="55">
        <f>IF(AQ63="1",BH63,0)</f>
        <v>0</v>
      </c>
      <c r="AC63" s="55">
        <f>IF(AQ63="1",BI63,0)</f>
        <v>0</v>
      </c>
      <c r="AD63" s="55">
        <f>IF(AQ63="7",BH63,0)</f>
        <v>0</v>
      </c>
      <c r="AE63" s="55">
        <f>IF(AQ63="7",BI63,0)</f>
        <v>0</v>
      </c>
      <c r="AF63" s="55">
        <f>IF(AQ63="2",BH63,0)</f>
        <v>0</v>
      </c>
      <c r="AG63" s="55">
        <f>IF(AQ63="2",BI63,0)</f>
        <v>0</v>
      </c>
      <c r="AH63" s="55">
        <f>IF(AQ63="0",BJ63,0)</f>
        <v>0</v>
      </c>
      <c r="AI63" s="33" t="s">
        <v>4</v>
      </c>
      <c r="AJ63" s="55">
        <f>IF(AN63=0,I63,0)</f>
        <v>0</v>
      </c>
      <c r="AK63" s="55">
        <f>IF(AN63=12,I63,0)</f>
        <v>0</v>
      </c>
      <c r="AL63" s="55">
        <f>IF(AN63=21,I63,0)</f>
        <v>0</v>
      </c>
      <c r="AN63" s="55">
        <v>21</v>
      </c>
      <c r="AO63" s="55">
        <f>H63*0.327388916</f>
        <v>0</v>
      </c>
      <c r="AP63" s="55">
        <f>H63*(1-0.327388916)</f>
        <v>0</v>
      </c>
      <c r="AQ63" s="58" t="s">
        <v>118</v>
      </c>
      <c r="AV63" s="55">
        <f>AW63+AX63</f>
        <v>0</v>
      </c>
      <c r="AW63" s="55">
        <f>G63*AO63</f>
        <v>0</v>
      </c>
      <c r="AX63" s="55">
        <f>G63*AP63</f>
        <v>0</v>
      </c>
      <c r="AY63" s="58" t="s">
        <v>192</v>
      </c>
      <c r="AZ63" s="58" t="s">
        <v>147</v>
      </c>
      <c r="BA63" s="33" t="s">
        <v>125</v>
      </c>
      <c r="BB63" s="59">
        <v>100036</v>
      </c>
      <c r="BC63" s="55">
        <f>AW63+AX63</f>
        <v>0</v>
      </c>
      <c r="BD63" s="55">
        <f>H63/(100-BE63)*100</f>
        <v>0</v>
      </c>
      <c r="BE63" s="55">
        <v>0</v>
      </c>
      <c r="BF63" s="55">
        <f>L63</f>
        <v>6.6697800000000002E-2</v>
      </c>
      <c r="BH63" s="55">
        <f>G63*AO63</f>
        <v>0</v>
      </c>
      <c r="BI63" s="55">
        <f>G63*AP63</f>
        <v>0</v>
      </c>
      <c r="BJ63" s="55">
        <f>G63*H63</f>
        <v>0</v>
      </c>
      <c r="BK63" s="55"/>
      <c r="BL63" s="55">
        <v>34</v>
      </c>
      <c r="BW63" s="55">
        <v>21</v>
      </c>
      <c r="BX63" s="3" t="s">
        <v>218</v>
      </c>
    </row>
    <row r="64" spans="1:76" x14ac:dyDescent="0.25">
      <c r="A64" s="60"/>
      <c r="D64" s="61" t="s">
        <v>220</v>
      </c>
      <c r="E64" s="61" t="s">
        <v>221</v>
      </c>
      <c r="G64" s="62">
        <v>8.02</v>
      </c>
      <c r="M64" s="63"/>
    </row>
    <row r="65" spans="1:76" x14ac:dyDescent="0.25">
      <c r="A65" s="60"/>
      <c r="D65" s="61" t="s">
        <v>222</v>
      </c>
      <c r="E65" s="61" t="s">
        <v>223</v>
      </c>
      <c r="G65" s="62">
        <v>5.3</v>
      </c>
      <c r="M65" s="63"/>
    </row>
    <row r="66" spans="1:76" x14ac:dyDescent="0.25">
      <c r="A66" s="60"/>
      <c r="D66" s="61" t="s">
        <v>224</v>
      </c>
      <c r="E66" s="61" t="s">
        <v>196</v>
      </c>
      <c r="G66" s="62">
        <v>8.2899999999999991</v>
      </c>
      <c r="M66" s="63"/>
    </row>
    <row r="67" spans="1:76" x14ac:dyDescent="0.25">
      <c r="A67" s="60"/>
      <c r="D67" s="61" t="s">
        <v>225</v>
      </c>
      <c r="E67" s="61" t="s">
        <v>198</v>
      </c>
      <c r="G67" s="62">
        <v>7.13</v>
      </c>
      <c r="M67" s="63"/>
    </row>
    <row r="68" spans="1:76" x14ac:dyDescent="0.25">
      <c r="A68" s="60"/>
      <c r="D68" s="61" t="s">
        <v>226</v>
      </c>
      <c r="E68" s="61" t="s">
        <v>227</v>
      </c>
      <c r="G68" s="62">
        <v>4.9800000000000004</v>
      </c>
      <c r="M68" s="63"/>
    </row>
    <row r="69" spans="1:76" x14ac:dyDescent="0.25">
      <c r="A69" s="60"/>
      <c r="D69" s="61" t="s">
        <v>228</v>
      </c>
      <c r="E69" s="61" t="s">
        <v>205</v>
      </c>
      <c r="G69" s="62">
        <v>11.25</v>
      </c>
      <c r="M69" s="63"/>
    </row>
    <row r="70" spans="1:76" x14ac:dyDescent="0.25">
      <c r="A70" s="60"/>
      <c r="D70" s="61" t="s">
        <v>229</v>
      </c>
      <c r="E70" s="61" t="s">
        <v>207</v>
      </c>
      <c r="G70" s="62">
        <v>0.85</v>
      </c>
      <c r="M70" s="63"/>
    </row>
    <row r="71" spans="1:76" x14ac:dyDescent="0.25">
      <c r="A71" s="60"/>
      <c r="D71" s="61" t="s">
        <v>230</v>
      </c>
      <c r="E71" s="61" t="s">
        <v>209</v>
      </c>
      <c r="G71" s="62">
        <v>5.03</v>
      </c>
      <c r="M71" s="63"/>
    </row>
    <row r="72" spans="1:76" x14ac:dyDescent="0.25">
      <c r="A72" s="60"/>
      <c r="D72" s="61" t="s">
        <v>231</v>
      </c>
      <c r="E72" s="61" t="s">
        <v>200</v>
      </c>
      <c r="G72" s="62">
        <v>2.71</v>
      </c>
      <c r="M72" s="63"/>
    </row>
    <row r="73" spans="1:76" x14ac:dyDescent="0.25">
      <c r="A73" s="60"/>
      <c r="D73" s="61" t="s">
        <v>232</v>
      </c>
      <c r="E73" s="61" t="s">
        <v>233</v>
      </c>
      <c r="G73" s="62">
        <v>4.9000000000000004</v>
      </c>
      <c r="M73" s="63"/>
    </row>
    <row r="74" spans="1:76" x14ac:dyDescent="0.25">
      <c r="A74" s="60"/>
      <c r="D74" s="61" t="s">
        <v>234</v>
      </c>
      <c r="E74" s="61" t="s">
        <v>211</v>
      </c>
      <c r="G74" s="62">
        <v>6.93</v>
      </c>
      <c r="M74" s="63"/>
    </row>
    <row r="75" spans="1:76" x14ac:dyDescent="0.25">
      <c r="A75" s="60"/>
      <c r="C75" s="64" t="s">
        <v>127</v>
      </c>
      <c r="D75" s="159" t="s">
        <v>235</v>
      </c>
      <c r="E75" s="160"/>
      <c r="F75" s="160"/>
      <c r="G75" s="160"/>
      <c r="H75" s="161"/>
      <c r="I75" s="160"/>
      <c r="J75" s="160"/>
      <c r="K75" s="160"/>
      <c r="L75" s="160"/>
      <c r="M75" s="162"/>
      <c r="BX75" s="65" t="s">
        <v>235</v>
      </c>
    </row>
    <row r="76" spans="1:76" x14ac:dyDescent="0.25">
      <c r="A76" s="1" t="s">
        <v>236</v>
      </c>
      <c r="B76" s="2" t="s">
        <v>4</v>
      </c>
      <c r="C76" s="2" t="s">
        <v>237</v>
      </c>
      <c r="D76" s="82" t="s">
        <v>238</v>
      </c>
      <c r="E76" s="83"/>
      <c r="F76" s="2" t="s">
        <v>157</v>
      </c>
      <c r="G76" s="55">
        <v>81.819000000000003</v>
      </c>
      <c r="H76" s="56">
        <v>0</v>
      </c>
      <c r="I76" s="55">
        <f>G76*H76</f>
        <v>0</v>
      </c>
      <c r="J76" s="55">
        <v>0</v>
      </c>
      <c r="K76" s="55">
        <v>0.125</v>
      </c>
      <c r="L76" s="55">
        <f>G76*K76</f>
        <v>10.227375</v>
      </c>
      <c r="M76" s="57" t="s">
        <v>122</v>
      </c>
      <c r="Z76" s="55">
        <f>IF(AQ76="5",BJ76,0)</f>
        <v>0</v>
      </c>
      <c r="AB76" s="55">
        <f>IF(AQ76="1",BH76,0)</f>
        <v>0</v>
      </c>
      <c r="AC76" s="55">
        <f>IF(AQ76="1",BI76,0)</f>
        <v>0</v>
      </c>
      <c r="AD76" s="55">
        <f>IF(AQ76="7",BH76,0)</f>
        <v>0</v>
      </c>
      <c r="AE76" s="55">
        <f>IF(AQ76="7",BI76,0)</f>
        <v>0</v>
      </c>
      <c r="AF76" s="55">
        <f>IF(AQ76="2",BH76,0)</f>
        <v>0</v>
      </c>
      <c r="AG76" s="55">
        <f>IF(AQ76="2",BI76,0)</f>
        <v>0</v>
      </c>
      <c r="AH76" s="55">
        <f>IF(AQ76="0",BJ76,0)</f>
        <v>0</v>
      </c>
      <c r="AI76" s="33" t="s">
        <v>4</v>
      </c>
      <c r="AJ76" s="55">
        <f>IF(AN76=0,I76,0)</f>
        <v>0</v>
      </c>
      <c r="AK76" s="55">
        <f>IF(AN76=12,I76,0)</f>
        <v>0</v>
      </c>
      <c r="AL76" s="55">
        <f>IF(AN76=21,I76,0)</f>
        <v>0</v>
      </c>
      <c r="AN76" s="55">
        <v>21</v>
      </c>
      <c r="AO76" s="55">
        <f>H76*0.766010639</f>
        <v>0</v>
      </c>
      <c r="AP76" s="55">
        <f>H76*(1-0.766010639)</f>
        <v>0</v>
      </c>
      <c r="AQ76" s="58" t="s">
        <v>118</v>
      </c>
      <c r="AV76" s="55">
        <f>AW76+AX76</f>
        <v>0</v>
      </c>
      <c r="AW76" s="55">
        <f>G76*AO76</f>
        <v>0</v>
      </c>
      <c r="AX76" s="55">
        <f>G76*AP76</f>
        <v>0</v>
      </c>
      <c r="AY76" s="58" t="s">
        <v>192</v>
      </c>
      <c r="AZ76" s="58" t="s">
        <v>147</v>
      </c>
      <c r="BA76" s="33" t="s">
        <v>125</v>
      </c>
      <c r="BB76" s="59">
        <v>100036</v>
      </c>
      <c r="BC76" s="55">
        <f>AW76+AX76</f>
        <v>0</v>
      </c>
      <c r="BD76" s="55">
        <f>H76/(100-BE76)*100</f>
        <v>0</v>
      </c>
      <c r="BE76" s="55">
        <v>0</v>
      </c>
      <c r="BF76" s="55">
        <f>L76</f>
        <v>10.227375</v>
      </c>
      <c r="BH76" s="55">
        <f>G76*AO76</f>
        <v>0</v>
      </c>
      <c r="BI76" s="55">
        <f>G76*AP76</f>
        <v>0</v>
      </c>
      <c r="BJ76" s="55">
        <f>G76*H76</f>
        <v>0</v>
      </c>
      <c r="BK76" s="55"/>
      <c r="BL76" s="55">
        <v>34</v>
      </c>
      <c r="BW76" s="55">
        <v>21</v>
      </c>
      <c r="BX76" s="3" t="s">
        <v>238</v>
      </c>
    </row>
    <row r="77" spans="1:76" x14ac:dyDescent="0.25">
      <c r="A77" s="60"/>
      <c r="D77" s="61" t="s">
        <v>239</v>
      </c>
      <c r="E77" s="61" t="s">
        <v>240</v>
      </c>
      <c r="G77" s="62">
        <v>14.154</v>
      </c>
      <c r="M77" s="63"/>
    </row>
    <row r="78" spans="1:76" x14ac:dyDescent="0.25">
      <c r="A78" s="60"/>
      <c r="D78" s="61" t="s">
        <v>241</v>
      </c>
      <c r="E78" s="61" t="s">
        <v>223</v>
      </c>
      <c r="G78" s="62">
        <v>13.4</v>
      </c>
      <c r="M78" s="63"/>
    </row>
    <row r="79" spans="1:76" x14ac:dyDescent="0.25">
      <c r="A79" s="60"/>
      <c r="D79" s="61" t="s">
        <v>242</v>
      </c>
      <c r="E79" s="61" t="s">
        <v>243</v>
      </c>
      <c r="G79" s="62">
        <v>14.183</v>
      </c>
      <c r="M79" s="63"/>
    </row>
    <row r="80" spans="1:76" x14ac:dyDescent="0.25">
      <c r="A80" s="60"/>
      <c r="D80" s="61" t="s">
        <v>241</v>
      </c>
      <c r="E80" s="61" t="s">
        <v>244</v>
      </c>
      <c r="G80" s="62">
        <v>13.4</v>
      </c>
      <c r="M80" s="63"/>
    </row>
    <row r="81" spans="1:76" x14ac:dyDescent="0.25">
      <c r="A81" s="60"/>
      <c r="D81" s="61" t="s">
        <v>245</v>
      </c>
      <c r="E81" s="61" t="s">
        <v>227</v>
      </c>
      <c r="G81" s="62">
        <v>12.472</v>
      </c>
      <c r="M81" s="63"/>
    </row>
    <row r="82" spans="1:76" x14ac:dyDescent="0.25">
      <c r="A82" s="60"/>
      <c r="D82" s="61" t="s">
        <v>246</v>
      </c>
      <c r="E82" s="61" t="s">
        <v>233</v>
      </c>
      <c r="G82" s="62">
        <v>14.21</v>
      </c>
      <c r="M82" s="63"/>
    </row>
    <row r="83" spans="1:76" ht="63.75" x14ac:dyDescent="0.25">
      <c r="A83" s="60"/>
      <c r="C83" s="64" t="s">
        <v>127</v>
      </c>
      <c r="D83" s="159" t="s">
        <v>247</v>
      </c>
      <c r="E83" s="160"/>
      <c r="F83" s="160"/>
      <c r="G83" s="160"/>
      <c r="H83" s="161"/>
      <c r="I83" s="160"/>
      <c r="J83" s="160"/>
      <c r="K83" s="160"/>
      <c r="L83" s="160"/>
      <c r="M83" s="162"/>
      <c r="BX83" s="65" t="s">
        <v>247</v>
      </c>
    </row>
    <row r="84" spans="1:76" x14ac:dyDescent="0.25">
      <c r="A84" s="1" t="s">
        <v>116</v>
      </c>
      <c r="B84" s="2" t="s">
        <v>4</v>
      </c>
      <c r="C84" s="2" t="s">
        <v>248</v>
      </c>
      <c r="D84" s="82" t="s">
        <v>249</v>
      </c>
      <c r="E84" s="83"/>
      <c r="F84" s="2" t="s">
        <v>157</v>
      </c>
      <c r="G84" s="55">
        <v>18.7362</v>
      </c>
      <c r="H84" s="56">
        <v>0</v>
      </c>
      <c r="I84" s="55">
        <f>G84*H84</f>
        <v>0</v>
      </c>
      <c r="J84" s="55">
        <v>0</v>
      </c>
      <c r="K84" s="55">
        <v>0.1231</v>
      </c>
      <c r="L84" s="55">
        <f>G84*K84</f>
        <v>2.3064262200000001</v>
      </c>
      <c r="M84" s="57" t="s">
        <v>122</v>
      </c>
      <c r="Z84" s="55">
        <f>IF(AQ84="5",BJ84,0)</f>
        <v>0</v>
      </c>
      <c r="AB84" s="55">
        <f>IF(AQ84="1",BH84,0)</f>
        <v>0</v>
      </c>
      <c r="AC84" s="55">
        <f>IF(AQ84="1",BI84,0)</f>
        <v>0</v>
      </c>
      <c r="AD84" s="55">
        <f>IF(AQ84="7",BH84,0)</f>
        <v>0</v>
      </c>
      <c r="AE84" s="55">
        <f>IF(AQ84="7",BI84,0)</f>
        <v>0</v>
      </c>
      <c r="AF84" s="55">
        <f>IF(AQ84="2",BH84,0)</f>
        <v>0</v>
      </c>
      <c r="AG84" s="55">
        <f>IF(AQ84="2",BI84,0)</f>
        <v>0</v>
      </c>
      <c r="AH84" s="55">
        <f>IF(AQ84="0",BJ84,0)</f>
        <v>0</v>
      </c>
      <c r="AI84" s="33" t="s">
        <v>4</v>
      </c>
      <c r="AJ84" s="55">
        <f>IF(AN84=0,I84,0)</f>
        <v>0</v>
      </c>
      <c r="AK84" s="55">
        <f>IF(AN84=12,I84,0)</f>
        <v>0</v>
      </c>
      <c r="AL84" s="55">
        <f>IF(AN84=21,I84,0)</f>
        <v>0</v>
      </c>
      <c r="AN84" s="55">
        <v>21</v>
      </c>
      <c r="AO84" s="55">
        <f>H84*0.531675045</f>
        <v>0</v>
      </c>
      <c r="AP84" s="55">
        <f>H84*(1-0.531675045)</f>
        <v>0</v>
      </c>
      <c r="AQ84" s="58" t="s">
        <v>118</v>
      </c>
      <c r="AV84" s="55">
        <f>AW84+AX84</f>
        <v>0</v>
      </c>
      <c r="AW84" s="55">
        <f>G84*AO84</f>
        <v>0</v>
      </c>
      <c r="AX84" s="55">
        <f>G84*AP84</f>
        <v>0</v>
      </c>
      <c r="AY84" s="58" t="s">
        <v>192</v>
      </c>
      <c r="AZ84" s="58" t="s">
        <v>147</v>
      </c>
      <c r="BA84" s="33" t="s">
        <v>125</v>
      </c>
      <c r="BB84" s="59">
        <v>100036</v>
      </c>
      <c r="BC84" s="55">
        <f>AW84+AX84</f>
        <v>0</v>
      </c>
      <c r="BD84" s="55">
        <f>H84/(100-BE84)*100</f>
        <v>0</v>
      </c>
      <c r="BE84" s="55">
        <v>0</v>
      </c>
      <c r="BF84" s="55">
        <f>L84</f>
        <v>2.3064262200000001</v>
      </c>
      <c r="BH84" s="55">
        <f>G84*AO84</f>
        <v>0</v>
      </c>
      <c r="BI84" s="55">
        <f>G84*AP84</f>
        <v>0</v>
      </c>
      <c r="BJ84" s="55">
        <f>G84*H84</f>
        <v>0</v>
      </c>
      <c r="BK84" s="55"/>
      <c r="BL84" s="55">
        <v>34</v>
      </c>
      <c r="BW84" s="55">
        <v>21</v>
      </c>
      <c r="BX84" s="3" t="s">
        <v>249</v>
      </c>
    </row>
    <row r="85" spans="1:76" x14ac:dyDescent="0.25">
      <c r="A85" s="60"/>
      <c r="D85" s="61" t="s">
        <v>250</v>
      </c>
      <c r="E85" s="61" t="s">
        <v>251</v>
      </c>
      <c r="G85" s="62">
        <v>4.5644999999999998</v>
      </c>
      <c r="M85" s="63"/>
    </row>
    <row r="86" spans="1:76" x14ac:dyDescent="0.25">
      <c r="A86" s="60"/>
      <c r="D86" s="61" t="s">
        <v>252</v>
      </c>
      <c r="E86" s="61" t="s">
        <v>253</v>
      </c>
      <c r="G86" s="62">
        <v>2.915</v>
      </c>
      <c r="M86" s="63"/>
    </row>
    <row r="87" spans="1:76" x14ac:dyDescent="0.25">
      <c r="A87" s="60"/>
      <c r="D87" s="61" t="s">
        <v>254</v>
      </c>
      <c r="E87" s="61" t="s">
        <v>255</v>
      </c>
      <c r="G87" s="62">
        <v>2.915</v>
      </c>
      <c r="M87" s="63"/>
    </row>
    <row r="88" spans="1:76" x14ac:dyDescent="0.25">
      <c r="A88" s="60"/>
      <c r="D88" s="61" t="s">
        <v>256</v>
      </c>
      <c r="E88" s="61" t="s">
        <v>257</v>
      </c>
      <c r="G88" s="62">
        <v>1.9401999999999999</v>
      </c>
      <c r="M88" s="63"/>
    </row>
    <row r="89" spans="1:76" x14ac:dyDescent="0.25">
      <c r="A89" s="60"/>
      <c r="D89" s="61" t="s">
        <v>258</v>
      </c>
      <c r="E89" s="61" t="s">
        <v>259</v>
      </c>
      <c r="G89" s="62">
        <v>2</v>
      </c>
      <c r="M89" s="63"/>
    </row>
    <row r="90" spans="1:76" x14ac:dyDescent="0.25">
      <c r="A90" s="60"/>
      <c r="D90" s="61" t="s">
        <v>260</v>
      </c>
      <c r="E90" s="61" t="s">
        <v>261</v>
      </c>
      <c r="G90" s="62">
        <v>1.8</v>
      </c>
      <c r="M90" s="63"/>
    </row>
    <row r="91" spans="1:76" x14ac:dyDescent="0.25">
      <c r="A91" s="60"/>
      <c r="D91" s="61" t="s">
        <v>262</v>
      </c>
      <c r="E91" s="61" t="s">
        <v>263</v>
      </c>
      <c r="G91" s="62">
        <v>2.6015000000000001</v>
      </c>
      <c r="M91" s="63"/>
    </row>
    <row r="92" spans="1:76" ht="25.5" x14ac:dyDescent="0.25">
      <c r="A92" s="60"/>
      <c r="C92" s="64" t="s">
        <v>127</v>
      </c>
      <c r="D92" s="159" t="s">
        <v>264</v>
      </c>
      <c r="E92" s="160"/>
      <c r="F92" s="160"/>
      <c r="G92" s="160"/>
      <c r="H92" s="161"/>
      <c r="I92" s="160"/>
      <c r="J92" s="160"/>
      <c r="K92" s="160"/>
      <c r="L92" s="160"/>
      <c r="M92" s="162"/>
      <c r="BX92" s="65" t="s">
        <v>264</v>
      </c>
    </row>
    <row r="93" spans="1:76" x14ac:dyDescent="0.25">
      <c r="A93" s="1" t="s">
        <v>265</v>
      </c>
      <c r="B93" s="2" t="s">
        <v>4</v>
      </c>
      <c r="C93" s="2" t="s">
        <v>266</v>
      </c>
      <c r="D93" s="82" t="s">
        <v>267</v>
      </c>
      <c r="E93" s="83"/>
      <c r="F93" s="2" t="s">
        <v>157</v>
      </c>
      <c r="G93" s="55">
        <v>30.652999999999999</v>
      </c>
      <c r="H93" s="56">
        <v>0</v>
      </c>
      <c r="I93" s="55">
        <f>G93*H93</f>
        <v>0</v>
      </c>
      <c r="J93" s="55">
        <v>0</v>
      </c>
      <c r="K93" s="55">
        <v>5.5E-2</v>
      </c>
      <c r="L93" s="55">
        <f>G93*K93</f>
        <v>1.6859149999999998</v>
      </c>
      <c r="M93" s="57" t="s">
        <v>122</v>
      </c>
      <c r="Z93" s="55">
        <f>IF(AQ93="5",BJ93,0)</f>
        <v>0</v>
      </c>
      <c r="AB93" s="55">
        <f>IF(AQ93="1",BH93,0)</f>
        <v>0</v>
      </c>
      <c r="AC93" s="55">
        <f>IF(AQ93="1",BI93,0)</f>
        <v>0</v>
      </c>
      <c r="AD93" s="55">
        <f>IF(AQ93="7",BH93,0)</f>
        <v>0</v>
      </c>
      <c r="AE93" s="55">
        <f>IF(AQ93="7",BI93,0)</f>
        <v>0</v>
      </c>
      <c r="AF93" s="55">
        <f>IF(AQ93="2",BH93,0)</f>
        <v>0</v>
      </c>
      <c r="AG93" s="55">
        <f>IF(AQ93="2",BI93,0)</f>
        <v>0</v>
      </c>
      <c r="AH93" s="55">
        <f>IF(AQ93="0",BJ93,0)</f>
        <v>0</v>
      </c>
      <c r="AI93" s="33" t="s">
        <v>4</v>
      </c>
      <c r="AJ93" s="55">
        <f>IF(AN93=0,I93,0)</f>
        <v>0</v>
      </c>
      <c r="AK93" s="55">
        <f>IF(AN93=12,I93,0)</f>
        <v>0</v>
      </c>
      <c r="AL93" s="55">
        <f>IF(AN93=21,I93,0)</f>
        <v>0</v>
      </c>
      <c r="AN93" s="55">
        <v>21</v>
      </c>
      <c r="AO93" s="55">
        <f>H93*0.634050228</f>
        <v>0</v>
      </c>
      <c r="AP93" s="55">
        <f>H93*(1-0.634050228)</f>
        <v>0</v>
      </c>
      <c r="AQ93" s="58" t="s">
        <v>118</v>
      </c>
      <c r="AV93" s="55">
        <f>AW93+AX93</f>
        <v>0</v>
      </c>
      <c r="AW93" s="55">
        <f>G93*AO93</f>
        <v>0</v>
      </c>
      <c r="AX93" s="55">
        <f>G93*AP93</f>
        <v>0</v>
      </c>
      <c r="AY93" s="58" t="s">
        <v>192</v>
      </c>
      <c r="AZ93" s="58" t="s">
        <v>147</v>
      </c>
      <c r="BA93" s="33" t="s">
        <v>125</v>
      </c>
      <c r="BB93" s="59">
        <v>100036</v>
      </c>
      <c r="BC93" s="55">
        <f>AW93+AX93</f>
        <v>0</v>
      </c>
      <c r="BD93" s="55">
        <f>H93/(100-BE93)*100</f>
        <v>0</v>
      </c>
      <c r="BE93" s="55">
        <v>0</v>
      </c>
      <c r="BF93" s="55">
        <f>L93</f>
        <v>1.6859149999999998</v>
      </c>
      <c r="BH93" s="55">
        <f>G93*AO93</f>
        <v>0</v>
      </c>
      <c r="BI93" s="55">
        <f>G93*AP93</f>
        <v>0</v>
      </c>
      <c r="BJ93" s="55">
        <f>G93*H93</f>
        <v>0</v>
      </c>
      <c r="BK93" s="55"/>
      <c r="BL93" s="55">
        <v>34</v>
      </c>
      <c r="BW93" s="55">
        <v>21</v>
      </c>
      <c r="BX93" s="3" t="s">
        <v>267</v>
      </c>
    </row>
    <row r="94" spans="1:76" x14ac:dyDescent="0.25">
      <c r="A94" s="60"/>
      <c r="D94" s="61" t="s">
        <v>268</v>
      </c>
      <c r="E94" s="61" t="s">
        <v>269</v>
      </c>
      <c r="G94" s="62">
        <v>15.37</v>
      </c>
      <c r="M94" s="63"/>
    </row>
    <row r="95" spans="1:76" x14ac:dyDescent="0.25">
      <c r="A95" s="60"/>
      <c r="D95" s="61" t="s">
        <v>270</v>
      </c>
      <c r="E95" s="61" t="s">
        <v>271</v>
      </c>
      <c r="G95" s="62">
        <v>15.282999999999999</v>
      </c>
      <c r="M95" s="63"/>
    </row>
    <row r="96" spans="1:76" ht="63.75" x14ac:dyDescent="0.25">
      <c r="A96" s="60"/>
      <c r="C96" s="64" t="s">
        <v>127</v>
      </c>
      <c r="D96" s="159" t="s">
        <v>272</v>
      </c>
      <c r="E96" s="160"/>
      <c r="F96" s="160"/>
      <c r="G96" s="160"/>
      <c r="H96" s="161"/>
      <c r="I96" s="160"/>
      <c r="J96" s="160"/>
      <c r="K96" s="160"/>
      <c r="L96" s="160"/>
      <c r="M96" s="162"/>
      <c r="BX96" s="65" t="s">
        <v>272</v>
      </c>
    </row>
    <row r="97" spans="1:76" x14ac:dyDescent="0.25">
      <c r="A97" s="50" t="s">
        <v>4</v>
      </c>
      <c r="B97" s="51" t="s">
        <v>4</v>
      </c>
      <c r="C97" s="51" t="s">
        <v>273</v>
      </c>
      <c r="D97" s="153" t="s">
        <v>274</v>
      </c>
      <c r="E97" s="154"/>
      <c r="F97" s="52" t="s">
        <v>78</v>
      </c>
      <c r="G97" s="52" t="s">
        <v>78</v>
      </c>
      <c r="H97" s="53" t="s">
        <v>78</v>
      </c>
      <c r="I97" s="26">
        <f>SUM(I98:I255)</f>
        <v>0</v>
      </c>
      <c r="J97" s="33" t="s">
        <v>4</v>
      </c>
      <c r="K97" s="33" t="s">
        <v>4</v>
      </c>
      <c r="L97" s="26">
        <f>SUM(L98:L255)</f>
        <v>37.853644154000008</v>
      </c>
      <c r="M97" s="54" t="s">
        <v>4</v>
      </c>
      <c r="AI97" s="33" t="s">
        <v>4</v>
      </c>
      <c r="AS97" s="26">
        <f>SUM(AJ98:AJ255)</f>
        <v>0</v>
      </c>
      <c r="AT97" s="26">
        <f>SUM(AK98:AK255)</f>
        <v>0</v>
      </c>
      <c r="AU97" s="26">
        <f>SUM(AL98:AL255)</f>
        <v>0</v>
      </c>
    </row>
    <row r="98" spans="1:76" x14ac:dyDescent="0.25">
      <c r="A98" s="1" t="s">
        <v>275</v>
      </c>
      <c r="B98" s="2" t="s">
        <v>4</v>
      </c>
      <c r="C98" s="2" t="s">
        <v>276</v>
      </c>
      <c r="D98" s="82" t="s">
        <v>277</v>
      </c>
      <c r="E98" s="83"/>
      <c r="F98" s="2" t="s">
        <v>157</v>
      </c>
      <c r="G98" s="55">
        <v>680.89549999999997</v>
      </c>
      <c r="H98" s="56">
        <v>0</v>
      </c>
      <c r="I98" s="55">
        <f>G98*H98</f>
        <v>0</v>
      </c>
      <c r="J98" s="55">
        <v>0</v>
      </c>
      <c r="K98" s="55">
        <v>9.3900000000000008E-3</v>
      </c>
      <c r="L98" s="55">
        <f>G98*K98</f>
        <v>6.3936087449999999</v>
      </c>
      <c r="M98" s="57" t="s">
        <v>122</v>
      </c>
      <c r="Z98" s="55">
        <f>IF(AQ98="5",BJ98,0)</f>
        <v>0</v>
      </c>
      <c r="AB98" s="55">
        <f>IF(AQ98="1",BH98,0)</f>
        <v>0</v>
      </c>
      <c r="AC98" s="55">
        <f>IF(AQ98="1",BI98,0)</f>
        <v>0</v>
      </c>
      <c r="AD98" s="55">
        <f>IF(AQ98="7",BH98,0)</f>
        <v>0</v>
      </c>
      <c r="AE98" s="55">
        <f>IF(AQ98="7",BI98,0)</f>
        <v>0</v>
      </c>
      <c r="AF98" s="55">
        <f>IF(AQ98="2",BH98,0)</f>
        <v>0</v>
      </c>
      <c r="AG98" s="55">
        <f>IF(AQ98="2",BI98,0)</f>
        <v>0</v>
      </c>
      <c r="AH98" s="55">
        <f>IF(AQ98="0",BJ98,0)</f>
        <v>0</v>
      </c>
      <c r="AI98" s="33" t="s">
        <v>4</v>
      </c>
      <c r="AJ98" s="55">
        <f>IF(AN98=0,I98,0)</f>
        <v>0</v>
      </c>
      <c r="AK98" s="55">
        <f>IF(AN98=12,I98,0)</f>
        <v>0</v>
      </c>
      <c r="AL98" s="55">
        <f>IF(AN98=21,I98,0)</f>
        <v>0</v>
      </c>
      <c r="AN98" s="55">
        <v>21</v>
      </c>
      <c r="AO98" s="55">
        <f>H98*0.434334223</f>
        <v>0</v>
      </c>
      <c r="AP98" s="55">
        <f>H98*(1-0.434334223)</f>
        <v>0</v>
      </c>
      <c r="AQ98" s="58" t="s">
        <v>118</v>
      </c>
      <c r="AV98" s="55">
        <f>AW98+AX98</f>
        <v>0</v>
      </c>
      <c r="AW98" s="55">
        <f>G98*AO98</f>
        <v>0</v>
      </c>
      <c r="AX98" s="55">
        <f>G98*AP98</f>
        <v>0</v>
      </c>
      <c r="AY98" s="58" t="s">
        <v>278</v>
      </c>
      <c r="AZ98" s="58" t="s">
        <v>279</v>
      </c>
      <c r="BA98" s="33" t="s">
        <v>125</v>
      </c>
      <c r="BB98" s="59">
        <v>100027</v>
      </c>
      <c r="BC98" s="55">
        <f>AW98+AX98</f>
        <v>0</v>
      </c>
      <c r="BD98" s="55">
        <f>H98/(100-BE98)*100</f>
        <v>0</v>
      </c>
      <c r="BE98" s="55">
        <v>0</v>
      </c>
      <c r="BF98" s="55">
        <f>L98</f>
        <v>6.3936087449999999</v>
      </c>
      <c r="BH98" s="55">
        <f>G98*AO98</f>
        <v>0</v>
      </c>
      <c r="BI98" s="55">
        <f>G98*AP98</f>
        <v>0</v>
      </c>
      <c r="BJ98" s="55">
        <f>G98*H98</f>
        <v>0</v>
      </c>
      <c r="BK98" s="55"/>
      <c r="BL98" s="55">
        <v>60</v>
      </c>
      <c r="BW98" s="55">
        <v>21</v>
      </c>
      <c r="BX98" s="3" t="s">
        <v>277</v>
      </c>
    </row>
    <row r="99" spans="1:76" ht="13.5" customHeight="1" x14ac:dyDescent="0.25">
      <c r="A99" s="60"/>
      <c r="D99" s="155" t="s">
        <v>280</v>
      </c>
      <c r="E99" s="156"/>
      <c r="F99" s="156"/>
      <c r="G99" s="156"/>
      <c r="H99" s="157"/>
      <c r="I99" s="156"/>
      <c r="J99" s="156"/>
      <c r="K99" s="156"/>
      <c r="L99" s="156"/>
      <c r="M99" s="158"/>
    </row>
    <row r="100" spans="1:76" x14ac:dyDescent="0.25">
      <c r="A100" s="60"/>
      <c r="D100" s="61" t="s">
        <v>281</v>
      </c>
      <c r="E100" s="61" t="s">
        <v>282</v>
      </c>
      <c r="G100" s="62">
        <v>-3.516</v>
      </c>
      <c r="M100" s="63"/>
    </row>
    <row r="101" spans="1:76" x14ac:dyDescent="0.25">
      <c r="A101" s="60"/>
      <c r="D101" s="61" t="s">
        <v>283</v>
      </c>
      <c r="E101" s="61" t="s">
        <v>284</v>
      </c>
      <c r="G101" s="62">
        <v>22.0655</v>
      </c>
      <c r="M101" s="63"/>
    </row>
    <row r="102" spans="1:76" x14ac:dyDescent="0.25">
      <c r="A102" s="60"/>
      <c r="D102" s="61" t="s">
        <v>285</v>
      </c>
      <c r="E102" s="61" t="s">
        <v>286</v>
      </c>
      <c r="G102" s="62">
        <v>8.4</v>
      </c>
      <c r="M102" s="63"/>
    </row>
    <row r="103" spans="1:76" x14ac:dyDescent="0.25">
      <c r="A103" s="60"/>
      <c r="D103" s="61" t="s">
        <v>287</v>
      </c>
      <c r="E103" s="61" t="s">
        <v>288</v>
      </c>
      <c r="G103" s="62">
        <v>1.67</v>
      </c>
      <c r="M103" s="63"/>
    </row>
    <row r="104" spans="1:76" x14ac:dyDescent="0.25">
      <c r="A104" s="60"/>
      <c r="D104" s="61" t="s">
        <v>289</v>
      </c>
      <c r="E104" s="61" t="s">
        <v>290</v>
      </c>
      <c r="G104" s="62">
        <v>36.3245</v>
      </c>
      <c r="M104" s="63"/>
    </row>
    <row r="105" spans="1:76" x14ac:dyDescent="0.25">
      <c r="A105" s="60"/>
      <c r="D105" s="61" t="s">
        <v>291</v>
      </c>
      <c r="E105" s="61" t="s">
        <v>292</v>
      </c>
      <c r="G105" s="62">
        <v>7.87</v>
      </c>
      <c r="M105" s="63"/>
    </row>
    <row r="106" spans="1:76" x14ac:dyDescent="0.25">
      <c r="A106" s="60"/>
      <c r="D106" s="61" t="s">
        <v>293</v>
      </c>
      <c r="E106" s="61" t="s">
        <v>294</v>
      </c>
      <c r="G106" s="62">
        <v>9.9105000000000008</v>
      </c>
      <c r="M106" s="63"/>
    </row>
    <row r="107" spans="1:76" x14ac:dyDescent="0.25">
      <c r="A107" s="60"/>
      <c r="D107" s="61" t="s">
        <v>295</v>
      </c>
      <c r="E107" s="61" t="s">
        <v>296</v>
      </c>
      <c r="G107" s="62">
        <v>21.994499999999999</v>
      </c>
      <c r="M107" s="63"/>
    </row>
    <row r="108" spans="1:76" x14ac:dyDescent="0.25">
      <c r="A108" s="60"/>
      <c r="D108" s="61" t="s">
        <v>297</v>
      </c>
      <c r="E108" s="61" t="s">
        <v>298</v>
      </c>
      <c r="G108" s="62">
        <v>21.6235</v>
      </c>
      <c r="M108" s="63"/>
    </row>
    <row r="109" spans="1:76" x14ac:dyDescent="0.25">
      <c r="A109" s="60"/>
      <c r="D109" s="61" t="s">
        <v>299</v>
      </c>
      <c r="E109" s="61" t="s">
        <v>300</v>
      </c>
      <c r="G109" s="62">
        <v>16.5535</v>
      </c>
      <c r="M109" s="63"/>
    </row>
    <row r="110" spans="1:76" x14ac:dyDescent="0.25">
      <c r="A110" s="60"/>
      <c r="D110" s="61" t="s">
        <v>301</v>
      </c>
      <c r="E110" s="61" t="s">
        <v>302</v>
      </c>
      <c r="G110" s="62">
        <v>13.981999999999999</v>
      </c>
      <c r="M110" s="63"/>
    </row>
    <row r="111" spans="1:76" x14ac:dyDescent="0.25">
      <c r="A111" s="60"/>
      <c r="D111" s="61" t="s">
        <v>303</v>
      </c>
      <c r="E111" s="61" t="s">
        <v>304</v>
      </c>
      <c r="G111" s="62">
        <v>35.393999999999998</v>
      </c>
      <c r="M111" s="63"/>
    </row>
    <row r="112" spans="1:76" x14ac:dyDescent="0.25">
      <c r="A112" s="60"/>
      <c r="D112" s="61" t="s">
        <v>305</v>
      </c>
      <c r="E112" s="61" t="s">
        <v>306</v>
      </c>
      <c r="G112" s="62">
        <v>40.530500000000004</v>
      </c>
      <c r="M112" s="63"/>
    </row>
    <row r="113" spans="1:76" x14ac:dyDescent="0.25">
      <c r="A113" s="60"/>
      <c r="D113" s="61" t="s">
        <v>307</v>
      </c>
      <c r="E113" s="61" t="s">
        <v>308</v>
      </c>
      <c r="G113" s="62">
        <v>23.050999999999998</v>
      </c>
      <c r="M113" s="63"/>
    </row>
    <row r="114" spans="1:76" x14ac:dyDescent="0.25">
      <c r="A114" s="60"/>
      <c r="D114" s="61" t="s">
        <v>309</v>
      </c>
      <c r="E114" s="61" t="s">
        <v>310</v>
      </c>
      <c r="G114" s="62">
        <v>207.44200000000001</v>
      </c>
      <c r="M114" s="63"/>
    </row>
    <row r="115" spans="1:76" x14ac:dyDescent="0.25">
      <c r="A115" s="60"/>
      <c r="D115" s="61" t="s">
        <v>311</v>
      </c>
      <c r="E115" s="61" t="s">
        <v>312</v>
      </c>
      <c r="G115" s="62">
        <v>20.164000000000001</v>
      </c>
      <c r="M115" s="63"/>
    </row>
    <row r="116" spans="1:76" x14ac:dyDescent="0.25">
      <c r="A116" s="60"/>
      <c r="D116" s="61" t="s">
        <v>313</v>
      </c>
      <c r="E116" s="61" t="s">
        <v>314</v>
      </c>
      <c r="G116" s="62">
        <v>28.7575</v>
      </c>
      <c r="M116" s="63"/>
    </row>
    <row r="117" spans="1:76" x14ac:dyDescent="0.25">
      <c r="A117" s="60"/>
      <c r="D117" s="61" t="s">
        <v>315</v>
      </c>
      <c r="E117" s="61" t="s">
        <v>316</v>
      </c>
      <c r="G117" s="62">
        <v>21.641500000000001</v>
      </c>
      <c r="M117" s="63"/>
    </row>
    <row r="118" spans="1:76" x14ac:dyDescent="0.25">
      <c r="A118" s="60"/>
      <c r="D118" s="61" t="s">
        <v>317</v>
      </c>
      <c r="E118" s="61" t="s">
        <v>318</v>
      </c>
      <c r="G118" s="62">
        <v>13.188499999999999</v>
      </c>
      <c r="M118" s="63"/>
    </row>
    <row r="119" spans="1:76" x14ac:dyDescent="0.25">
      <c r="A119" s="60"/>
      <c r="D119" s="61" t="s">
        <v>319</v>
      </c>
      <c r="E119" s="61" t="s">
        <v>320</v>
      </c>
      <c r="G119" s="62">
        <v>11.7095</v>
      </c>
      <c r="M119" s="63"/>
    </row>
    <row r="120" spans="1:76" x14ac:dyDescent="0.25">
      <c r="A120" s="60"/>
      <c r="D120" s="61" t="s">
        <v>321</v>
      </c>
      <c r="E120" s="61" t="s">
        <v>322</v>
      </c>
      <c r="G120" s="62">
        <v>20.312999999999999</v>
      </c>
      <c r="M120" s="63"/>
    </row>
    <row r="121" spans="1:76" x14ac:dyDescent="0.25">
      <c r="A121" s="60"/>
      <c r="D121" s="61" t="s">
        <v>323</v>
      </c>
      <c r="E121" s="61" t="s">
        <v>324</v>
      </c>
      <c r="G121" s="62">
        <v>21.119</v>
      </c>
      <c r="M121" s="63"/>
    </row>
    <row r="122" spans="1:76" x14ac:dyDescent="0.25">
      <c r="A122" s="60"/>
      <c r="D122" s="61" t="s">
        <v>325</v>
      </c>
      <c r="E122" s="61" t="s">
        <v>326</v>
      </c>
      <c r="G122" s="62">
        <v>20.991499999999998</v>
      </c>
      <c r="M122" s="63"/>
    </row>
    <row r="123" spans="1:76" x14ac:dyDescent="0.25">
      <c r="A123" s="60"/>
      <c r="D123" s="61" t="s">
        <v>327</v>
      </c>
      <c r="E123" s="61" t="s">
        <v>328</v>
      </c>
      <c r="G123" s="62">
        <v>37.616500000000002</v>
      </c>
      <c r="M123" s="63"/>
    </row>
    <row r="124" spans="1:76" x14ac:dyDescent="0.25">
      <c r="A124" s="60"/>
      <c r="D124" s="61" t="s">
        <v>329</v>
      </c>
      <c r="E124" s="61" t="s">
        <v>330</v>
      </c>
      <c r="G124" s="62">
        <v>22.099</v>
      </c>
      <c r="M124" s="63"/>
    </row>
    <row r="125" spans="1:76" ht="63.75" x14ac:dyDescent="0.25">
      <c r="A125" s="60"/>
      <c r="C125" s="64" t="s">
        <v>127</v>
      </c>
      <c r="D125" s="159" t="s">
        <v>331</v>
      </c>
      <c r="E125" s="160"/>
      <c r="F125" s="160"/>
      <c r="G125" s="160"/>
      <c r="H125" s="161"/>
      <c r="I125" s="160"/>
      <c r="J125" s="160"/>
      <c r="K125" s="160"/>
      <c r="L125" s="160"/>
      <c r="M125" s="162"/>
      <c r="BX125" s="65" t="s">
        <v>331</v>
      </c>
    </row>
    <row r="126" spans="1:76" x14ac:dyDescent="0.25">
      <c r="A126" s="1" t="s">
        <v>332</v>
      </c>
      <c r="B126" s="2" t="s">
        <v>4</v>
      </c>
      <c r="C126" s="2" t="s">
        <v>333</v>
      </c>
      <c r="D126" s="82" t="s">
        <v>334</v>
      </c>
      <c r="E126" s="83"/>
      <c r="F126" s="2" t="s">
        <v>157</v>
      </c>
      <c r="G126" s="55">
        <v>1015.8275</v>
      </c>
      <c r="H126" s="56">
        <v>0</v>
      </c>
      <c r="I126" s="55">
        <f>G126*H126</f>
        <v>0</v>
      </c>
      <c r="J126" s="55">
        <v>0</v>
      </c>
      <c r="K126" s="55">
        <v>2.0830000000000001E-2</v>
      </c>
      <c r="L126" s="55">
        <f>G126*K126</f>
        <v>21.159686825000001</v>
      </c>
      <c r="M126" s="57" t="s">
        <v>122</v>
      </c>
      <c r="Z126" s="55">
        <f>IF(AQ126="5",BJ126,0)</f>
        <v>0</v>
      </c>
      <c r="AB126" s="55">
        <f>IF(AQ126="1",BH126,0)</f>
        <v>0</v>
      </c>
      <c r="AC126" s="55">
        <f>IF(AQ126="1",BI126,0)</f>
        <v>0</v>
      </c>
      <c r="AD126" s="55">
        <f>IF(AQ126="7",BH126,0)</f>
        <v>0</v>
      </c>
      <c r="AE126" s="55">
        <f>IF(AQ126="7",BI126,0)</f>
        <v>0</v>
      </c>
      <c r="AF126" s="55">
        <f>IF(AQ126="2",BH126,0)</f>
        <v>0</v>
      </c>
      <c r="AG126" s="55">
        <f>IF(AQ126="2",BI126,0)</f>
        <v>0</v>
      </c>
      <c r="AH126" s="55">
        <f>IF(AQ126="0",BJ126,0)</f>
        <v>0</v>
      </c>
      <c r="AI126" s="33" t="s">
        <v>4</v>
      </c>
      <c r="AJ126" s="55">
        <f>IF(AN126=0,I126,0)</f>
        <v>0</v>
      </c>
      <c r="AK126" s="55">
        <f>IF(AN126=12,I126,0)</f>
        <v>0</v>
      </c>
      <c r="AL126" s="55">
        <f>IF(AN126=21,I126,0)</f>
        <v>0</v>
      </c>
      <c r="AN126" s="55">
        <v>21</v>
      </c>
      <c r="AO126" s="55">
        <f>H126*0.383590553</f>
        <v>0</v>
      </c>
      <c r="AP126" s="55">
        <f>H126*(1-0.383590553)</f>
        <v>0</v>
      </c>
      <c r="AQ126" s="58" t="s">
        <v>118</v>
      </c>
      <c r="AV126" s="55">
        <f>AW126+AX126</f>
        <v>0</v>
      </c>
      <c r="AW126" s="55">
        <f>G126*AO126</f>
        <v>0</v>
      </c>
      <c r="AX126" s="55">
        <f>G126*AP126</f>
        <v>0</v>
      </c>
      <c r="AY126" s="58" t="s">
        <v>278</v>
      </c>
      <c r="AZ126" s="58" t="s">
        <v>279</v>
      </c>
      <c r="BA126" s="33" t="s">
        <v>125</v>
      </c>
      <c r="BB126" s="59">
        <v>100027</v>
      </c>
      <c r="BC126" s="55">
        <f>AW126+AX126</f>
        <v>0</v>
      </c>
      <c r="BD126" s="55">
        <f>H126/(100-BE126)*100</f>
        <v>0</v>
      </c>
      <c r="BE126" s="55">
        <v>0</v>
      </c>
      <c r="BF126" s="55">
        <f>L126</f>
        <v>21.159686825000001</v>
      </c>
      <c r="BH126" s="55">
        <f>G126*AO126</f>
        <v>0</v>
      </c>
      <c r="BI126" s="55">
        <f>G126*AP126</f>
        <v>0</v>
      </c>
      <c r="BJ126" s="55">
        <f>G126*H126</f>
        <v>0</v>
      </c>
      <c r="BK126" s="55"/>
      <c r="BL126" s="55">
        <v>60</v>
      </c>
      <c r="BW126" s="55">
        <v>21</v>
      </c>
      <c r="BX126" s="3" t="s">
        <v>334</v>
      </c>
    </row>
    <row r="127" spans="1:76" ht="13.5" customHeight="1" x14ac:dyDescent="0.25">
      <c r="A127" s="60"/>
      <c r="D127" s="155" t="s">
        <v>335</v>
      </c>
      <c r="E127" s="156"/>
      <c r="F127" s="156"/>
      <c r="G127" s="156"/>
      <c r="H127" s="157"/>
      <c r="I127" s="156"/>
      <c r="J127" s="156"/>
      <c r="K127" s="156"/>
      <c r="L127" s="156"/>
      <c r="M127" s="158"/>
    </row>
    <row r="128" spans="1:76" x14ac:dyDescent="0.25">
      <c r="A128" s="60"/>
      <c r="D128" s="61" t="s">
        <v>281</v>
      </c>
      <c r="E128" s="61" t="s">
        <v>336</v>
      </c>
      <c r="G128" s="62">
        <v>-3.516</v>
      </c>
      <c r="M128" s="63"/>
    </row>
    <row r="129" spans="1:13" x14ac:dyDescent="0.25">
      <c r="A129" s="60"/>
      <c r="D129" s="61" t="s">
        <v>337</v>
      </c>
      <c r="E129" s="61" t="s">
        <v>284</v>
      </c>
      <c r="G129" s="62">
        <v>145.71250000000001</v>
      </c>
      <c r="M129" s="63"/>
    </row>
    <row r="130" spans="1:13" x14ac:dyDescent="0.25">
      <c r="A130" s="60"/>
      <c r="D130" s="61" t="s">
        <v>338</v>
      </c>
      <c r="E130" s="61" t="s">
        <v>339</v>
      </c>
      <c r="G130" s="62">
        <v>15.303000000000001</v>
      </c>
      <c r="M130" s="63"/>
    </row>
    <row r="131" spans="1:13" x14ac:dyDescent="0.25">
      <c r="A131" s="60"/>
      <c r="D131" s="61" t="s">
        <v>340</v>
      </c>
      <c r="E131" s="61" t="s">
        <v>341</v>
      </c>
      <c r="G131" s="62">
        <v>14.125</v>
      </c>
      <c r="M131" s="63"/>
    </row>
    <row r="132" spans="1:13" x14ac:dyDescent="0.25">
      <c r="A132" s="60"/>
      <c r="D132" s="61" t="s">
        <v>342</v>
      </c>
      <c r="E132" s="61" t="s">
        <v>343</v>
      </c>
      <c r="G132" s="62">
        <v>22.076499999999999</v>
      </c>
      <c r="M132" s="63"/>
    </row>
    <row r="133" spans="1:13" x14ac:dyDescent="0.25">
      <c r="A133" s="60"/>
      <c r="D133" s="61" t="s">
        <v>344</v>
      </c>
      <c r="E133" s="61" t="s">
        <v>345</v>
      </c>
      <c r="G133" s="62">
        <v>12.923</v>
      </c>
      <c r="M133" s="63"/>
    </row>
    <row r="134" spans="1:13" x14ac:dyDescent="0.25">
      <c r="A134" s="60"/>
      <c r="D134" s="61" t="s">
        <v>285</v>
      </c>
      <c r="E134" s="61" t="s">
        <v>286</v>
      </c>
      <c r="G134" s="62">
        <v>8.4</v>
      </c>
      <c r="M134" s="63"/>
    </row>
    <row r="135" spans="1:13" x14ac:dyDescent="0.25">
      <c r="A135" s="60"/>
      <c r="D135" s="61" t="s">
        <v>346</v>
      </c>
      <c r="E135" s="61" t="s">
        <v>288</v>
      </c>
      <c r="G135" s="62">
        <v>8.0555000000000003</v>
      </c>
      <c r="M135" s="63"/>
    </row>
    <row r="136" spans="1:13" x14ac:dyDescent="0.25">
      <c r="A136" s="60"/>
      <c r="D136" s="61" t="s">
        <v>347</v>
      </c>
      <c r="E136" s="61" t="s">
        <v>348</v>
      </c>
      <c r="G136" s="62">
        <v>12.074999999999999</v>
      </c>
      <c r="M136" s="63"/>
    </row>
    <row r="137" spans="1:13" x14ac:dyDescent="0.25">
      <c r="A137" s="60"/>
      <c r="D137" s="61" t="s">
        <v>289</v>
      </c>
      <c r="E137" s="61" t="s">
        <v>290</v>
      </c>
      <c r="G137" s="62">
        <v>36.3245</v>
      </c>
      <c r="M137" s="63"/>
    </row>
    <row r="138" spans="1:13" x14ac:dyDescent="0.25">
      <c r="A138" s="60"/>
      <c r="D138" s="61" t="s">
        <v>349</v>
      </c>
      <c r="E138" s="61" t="s">
        <v>243</v>
      </c>
      <c r="G138" s="62">
        <v>12.7905</v>
      </c>
      <c r="M138" s="63"/>
    </row>
    <row r="139" spans="1:13" x14ac:dyDescent="0.25">
      <c r="A139" s="60"/>
      <c r="D139" s="61" t="s">
        <v>291</v>
      </c>
      <c r="E139" s="61" t="s">
        <v>292</v>
      </c>
      <c r="G139" s="62">
        <v>7.87</v>
      </c>
      <c r="M139" s="63"/>
    </row>
    <row r="140" spans="1:13" x14ac:dyDescent="0.25">
      <c r="A140" s="60"/>
      <c r="D140" s="61" t="s">
        <v>347</v>
      </c>
      <c r="E140" s="61" t="s">
        <v>244</v>
      </c>
      <c r="G140" s="62">
        <v>12.074999999999999</v>
      </c>
      <c r="M140" s="63"/>
    </row>
    <row r="141" spans="1:13" x14ac:dyDescent="0.25">
      <c r="A141" s="60"/>
      <c r="D141" s="61" t="s">
        <v>293</v>
      </c>
      <c r="E141" s="61" t="s">
        <v>294</v>
      </c>
      <c r="G141" s="62">
        <v>9.9105000000000008</v>
      </c>
      <c r="M141" s="63"/>
    </row>
    <row r="142" spans="1:13" x14ac:dyDescent="0.25">
      <c r="A142" s="60"/>
      <c r="D142" s="61" t="s">
        <v>350</v>
      </c>
      <c r="E142" s="61" t="s">
        <v>351</v>
      </c>
      <c r="G142" s="62">
        <v>38.134999999999998</v>
      </c>
      <c r="M142" s="63"/>
    </row>
    <row r="143" spans="1:13" x14ac:dyDescent="0.25">
      <c r="A143" s="60"/>
      <c r="D143" s="61" t="s">
        <v>352</v>
      </c>
      <c r="E143" s="61" t="s">
        <v>227</v>
      </c>
      <c r="G143" s="62">
        <v>11.227</v>
      </c>
      <c r="M143" s="63"/>
    </row>
    <row r="144" spans="1:13" x14ac:dyDescent="0.25">
      <c r="A144" s="60"/>
      <c r="D144" s="61" t="s">
        <v>295</v>
      </c>
      <c r="E144" s="61" t="s">
        <v>296</v>
      </c>
      <c r="G144" s="62">
        <v>21.994499999999999</v>
      </c>
      <c r="M144" s="63"/>
    </row>
    <row r="145" spans="1:13" x14ac:dyDescent="0.25">
      <c r="A145" s="60"/>
      <c r="D145" s="61" t="s">
        <v>353</v>
      </c>
      <c r="E145" s="61" t="s">
        <v>354</v>
      </c>
      <c r="G145" s="62">
        <v>11.9955</v>
      </c>
      <c r="M145" s="63"/>
    </row>
    <row r="146" spans="1:13" x14ac:dyDescent="0.25">
      <c r="A146" s="60"/>
      <c r="D146" s="61" t="s">
        <v>297</v>
      </c>
      <c r="E146" s="61" t="s">
        <v>298</v>
      </c>
      <c r="G146" s="62">
        <v>21.6235</v>
      </c>
      <c r="M146" s="63"/>
    </row>
    <row r="147" spans="1:13" x14ac:dyDescent="0.25">
      <c r="A147" s="60"/>
      <c r="D147" s="61" t="s">
        <v>299</v>
      </c>
      <c r="E147" s="61" t="s">
        <v>300</v>
      </c>
      <c r="G147" s="62">
        <v>16.5535</v>
      </c>
      <c r="M147" s="63"/>
    </row>
    <row r="148" spans="1:13" x14ac:dyDescent="0.25">
      <c r="A148" s="60"/>
      <c r="D148" s="61" t="s">
        <v>355</v>
      </c>
      <c r="E148" s="61" t="s">
        <v>356</v>
      </c>
      <c r="G148" s="62">
        <v>14.4955</v>
      </c>
      <c r="M148" s="63"/>
    </row>
    <row r="149" spans="1:13" x14ac:dyDescent="0.25">
      <c r="A149" s="60"/>
      <c r="D149" s="61" t="s">
        <v>301</v>
      </c>
      <c r="E149" s="61" t="s">
        <v>302</v>
      </c>
      <c r="G149" s="62">
        <v>13.981999999999999</v>
      </c>
      <c r="M149" s="63"/>
    </row>
    <row r="150" spans="1:13" x14ac:dyDescent="0.25">
      <c r="A150" s="60"/>
      <c r="D150" s="61" t="s">
        <v>303</v>
      </c>
      <c r="E150" s="61" t="s">
        <v>304</v>
      </c>
      <c r="G150" s="62">
        <v>35.393999999999998</v>
      </c>
      <c r="M150" s="63"/>
    </row>
    <row r="151" spans="1:13" x14ac:dyDescent="0.25">
      <c r="A151" s="60"/>
      <c r="D151" s="61" t="s">
        <v>305</v>
      </c>
      <c r="E151" s="61" t="s">
        <v>306</v>
      </c>
      <c r="G151" s="62">
        <v>40.530500000000004</v>
      </c>
      <c r="M151" s="63"/>
    </row>
    <row r="152" spans="1:13" x14ac:dyDescent="0.25">
      <c r="A152" s="60"/>
      <c r="D152" s="61" t="s">
        <v>357</v>
      </c>
      <c r="E152" s="61" t="s">
        <v>358</v>
      </c>
      <c r="G152" s="62">
        <v>13.541499999999999</v>
      </c>
      <c r="M152" s="63"/>
    </row>
    <row r="153" spans="1:13" x14ac:dyDescent="0.25">
      <c r="A153" s="60"/>
      <c r="D153" s="61" t="s">
        <v>307</v>
      </c>
      <c r="E153" s="61" t="s">
        <v>308</v>
      </c>
      <c r="G153" s="62">
        <v>23.050999999999998</v>
      </c>
      <c r="M153" s="63"/>
    </row>
    <row r="154" spans="1:13" x14ac:dyDescent="0.25">
      <c r="A154" s="60"/>
      <c r="D154" s="61" t="s">
        <v>309</v>
      </c>
      <c r="E154" s="61" t="s">
        <v>310</v>
      </c>
      <c r="G154" s="62">
        <v>207.44200000000001</v>
      </c>
      <c r="M154" s="63"/>
    </row>
    <row r="155" spans="1:13" x14ac:dyDescent="0.25">
      <c r="A155" s="60"/>
      <c r="D155" s="61" t="s">
        <v>311</v>
      </c>
      <c r="E155" s="61" t="s">
        <v>312</v>
      </c>
      <c r="G155" s="62">
        <v>20.164000000000001</v>
      </c>
      <c r="M155" s="63"/>
    </row>
    <row r="156" spans="1:13" x14ac:dyDescent="0.25">
      <c r="A156" s="60"/>
      <c r="D156" s="61" t="s">
        <v>359</v>
      </c>
      <c r="E156" s="61" t="s">
        <v>314</v>
      </c>
      <c r="G156" s="62">
        <v>29.962499999999999</v>
      </c>
      <c r="M156" s="63"/>
    </row>
    <row r="157" spans="1:13" x14ac:dyDescent="0.25">
      <c r="A157" s="60"/>
      <c r="D157" s="61" t="s">
        <v>315</v>
      </c>
      <c r="E157" s="61" t="s">
        <v>316</v>
      </c>
      <c r="G157" s="62">
        <v>21.641500000000001</v>
      </c>
      <c r="M157" s="63"/>
    </row>
    <row r="158" spans="1:13" x14ac:dyDescent="0.25">
      <c r="A158" s="60"/>
      <c r="D158" s="61" t="s">
        <v>317</v>
      </c>
      <c r="E158" s="61" t="s">
        <v>318</v>
      </c>
      <c r="G158" s="62">
        <v>13.188499999999999</v>
      </c>
      <c r="M158" s="63"/>
    </row>
    <row r="159" spans="1:13" x14ac:dyDescent="0.25">
      <c r="A159" s="60"/>
      <c r="D159" s="61" t="s">
        <v>319</v>
      </c>
      <c r="E159" s="61" t="s">
        <v>320</v>
      </c>
      <c r="G159" s="62">
        <v>11.7095</v>
      </c>
      <c r="M159" s="63"/>
    </row>
    <row r="160" spans="1:13" x14ac:dyDescent="0.25">
      <c r="A160" s="60"/>
      <c r="D160" s="61" t="s">
        <v>360</v>
      </c>
      <c r="E160" s="61" t="s">
        <v>361</v>
      </c>
      <c r="G160" s="62">
        <v>12.932</v>
      </c>
      <c r="M160" s="63"/>
    </row>
    <row r="161" spans="1:76" x14ac:dyDescent="0.25">
      <c r="A161" s="60"/>
      <c r="D161" s="61" t="s">
        <v>321</v>
      </c>
      <c r="E161" s="61" t="s">
        <v>322</v>
      </c>
      <c r="G161" s="62">
        <v>20.312999999999999</v>
      </c>
      <c r="M161" s="63"/>
    </row>
    <row r="162" spans="1:76" x14ac:dyDescent="0.25">
      <c r="A162" s="60"/>
      <c r="D162" s="61" t="s">
        <v>323</v>
      </c>
      <c r="E162" s="61" t="s">
        <v>324</v>
      </c>
      <c r="G162" s="62">
        <v>21.119</v>
      </c>
      <c r="M162" s="63"/>
    </row>
    <row r="163" spans="1:76" x14ac:dyDescent="0.25">
      <c r="A163" s="60"/>
      <c r="D163" s="61" t="s">
        <v>325</v>
      </c>
      <c r="E163" s="61" t="s">
        <v>326</v>
      </c>
      <c r="G163" s="62">
        <v>20.991499999999998</v>
      </c>
      <c r="M163" s="63"/>
    </row>
    <row r="164" spans="1:76" x14ac:dyDescent="0.25">
      <c r="A164" s="60"/>
      <c r="D164" s="61" t="s">
        <v>327</v>
      </c>
      <c r="E164" s="61" t="s">
        <v>328</v>
      </c>
      <c r="G164" s="62">
        <v>37.616500000000002</v>
      </c>
      <c r="M164" s="63"/>
    </row>
    <row r="165" spans="1:76" x14ac:dyDescent="0.25">
      <c r="A165" s="60"/>
      <c r="D165" s="61" t="s">
        <v>329</v>
      </c>
      <c r="E165" s="61" t="s">
        <v>330</v>
      </c>
      <c r="G165" s="62">
        <v>22.099</v>
      </c>
      <c r="M165" s="63"/>
    </row>
    <row r="166" spans="1:76" ht="51" x14ac:dyDescent="0.25">
      <c r="A166" s="60"/>
      <c r="C166" s="64" t="s">
        <v>127</v>
      </c>
      <c r="D166" s="159" t="s">
        <v>362</v>
      </c>
      <c r="E166" s="160"/>
      <c r="F166" s="160"/>
      <c r="G166" s="160"/>
      <c r="H166" s="161"/>
      <c r="I166" s="160"/>
      <c r="J166" s="160"/>
      <c r="K166" s="160"/>
      <c r="L166" s="160"/>
      <c r="M166" s="162"/>
      <c r="BX166" s="65" t="s">
        <v>362</v>
      </c>
    </row>
    <row r="167" spans="1:76" x14ac:dyDescent="0.25">
      <c r="A167" s="1" t="s">
        <v>363</v>
      </c>
      <c r="B167" s="2" t="s">
        <v>4</v>
      </c>
      <c r="C167" s="2" t="s">
        <v>364</v>
      </c>
      <c r="D167" s="82" t="s">
        <v>365</v>
      </c>
      <c r="E167" s="83"/>
      <c r="F167" s="2" t="s">
        <v>157</v>
      </c>
      <c r="G167" s="55">
        <v>286.13400000000001</v>
      </c>
      <c r="H167" s="56">
        <v>0</v>
      </c>
      <c r="I167" s="55">
        <f>G167*H167</f>
        <v>0</v>
      </c>
      <c r="J167" s="55">
        <v>0</v>
      </c>
      <c r="K167" s="55">
        <v>2.12E-2</v>
      </c>
      <c r="L167" s="55">
        <f>G167*K167</f>
        <v>6.0660408000000006</v>
      </c>
      <c r="M167" s="57" t="s">
        <v>122</v>
      </c>
      <c r="Z167" s="55">
        <f>IF(AQ167="5",BJ167,0)</f>
        <v>0</v>
      </c>
      <c r="AB167" s="55">
        <f>IF(AQ167="1",BH167,0)</f>
        <v>0</v>
      </c>
      <c r="AC167" s="55">
        <f>IF(AQ167="1",BI167,0)</f>
        <v>0</v>
      </c>
      <c r="AD167" s="55">
        <f>IF(AQ167="7",BH167,0)</f>
        <v>0</v>
      </c>
      <c r="AE167" s="55">
        <f>IF(AQ167="7",BI167,0)</f>
        <v>0</v>
      </c>
      <c r="AF167" s="55">
        <f>IF(AQ167="2",BH167,0)</f>
        <v>0</v>
      </c>
      <c r="AG167" s="55">
        <f>IF(AQ167="2",BI167,0)</f>
        <v>0</v>
      </c>
      <c r="AH167" s="55">
        <f>IF(AQ167="0",BJ167,0)</f>
        <v>0</v>
      </c>
      <c r="AI167" s="33" t="s">
        <v>4</v>
      </c>
      <c r="AJ167" s="55">
        <f>IF(AN167=0,I167,0)</f>
        <v>0</v>
      </c>
      <c r="AK167" s="55">
        <f>IF(AN167=12,I167,0)</f>
        <v>0</v>
      </c>
      <c r="AL167" s="55">
        <f>IF(AN167=21,I167,0)</f>
        <v>0</v>
      </c>
      <c r="AN167" s="55">
        <v>21</v>
      </c>
      <c r="AO167" s="55">
        <f>H167*0.113405407</f>
        <v>0</v>
      </c>
      <c r="AP167" s="55">
        <f>H167*(1-0.113405407)</f>
        <v>0</v>
      </c>
      <c r="AQ167" s="58" t="s">
        <v>118</v>
      </c>
      <c r="AV167" s="55">
        <f>AW167+AX167</f>
        <v>0</v>
      </c>
      <c r="AW167" s="55">
        <f>G167*AO167</f>
        <v>0</v>
      </c>
      <c r="AX167" s="55">
        <f>G167*AP167</f>
        <v>0</v>
      </c>
      <c r="AY167" s="58" t="s">
        <v>278</v>
      </c>
      <c r="AZ167" s="58" t="s">
        <v>279</v>
      </c>
      <c r="BA167" s="33" t="s">
        <v>125</v>
      </c>
      <c r="BB167" s="59">
        <v>100027</v>
      </c>
      <c r="BC167" s="55">
        <f>AW167+AX167</f>
        <v>0</v>
      </c>
      <c r="BD167" s="55">
        <f>H167/(100-BE167)*100</f>
        <v>0</v>
      </c>
      <c r="BE167" s="55">
        <v>0</v>
      </c>
      <c r="BF167" s="55">
        <f>L167</f>
        <v>6.0660408000000006</v>
      </c>
      <c r="BH167" s="55">
        <f>G167*AO167</f>
        <v>0</v>
      </c>
      <c r="BI167" s="55">
        <f>G167*AP167</f>
        <v>0</v>
      </c>
      <c r="BJ167" s="55">
        <f>G167*H167</f>
        <v>0</v>
      </c>
      <c r="BK167" s="55"/>
      <c r="BL167" s="55">
        <v>60</v>
      </c>
      <c r="BW167" s="55">
        <v>21</v>
      </c>
      <c r="BX167" s="3" t="s">
        <v>365</v>
      </c>
    </row>
    <row r="168" spans="1:76" x14ac:dyDescent="0.25">
      <c r="A168" s="60"/>
      <c r="D168" s="61" t="s">
        <v>338</v>
      </c>
      <c r="E168" s="61" t="s">
        <v>339</v>
      </c>
      <c r="G168" s="62">
        <v>15.303000000000001</v>
      </c>
      <c r="M168" s="63"/>
    </row>
    <row r="169" spans="1:76" x14ac:dyDescent="0.25">
      <c r="A169" s="60"/>
      <c r="D169" s="61" t="s">
        <v>340</v>
      </c>
      <c r="E169" s="61" t="s">
        <v>341</v>
      </c>
      <c r="G169" s="62">
        <v>14.125</v>
      </c>
      <c r="M169" s="63"/>
    </row>
    <row r="170" spans="1:76" x14ac:dyDescent="0.25">
      <c r="A170" s="60"/>
      <c r="D170" s="61" t="s">
        <v>342</v>
      </c>
      <c r="E170" s="61" t="s">
        <v>343</v>
      </c>
      <c r="G170" s="62">
        <v>22.076499999999999</v>
      </c>
      <c r="M170" s="63"/>
    </row>
    <row r="171" spans="1:76" x14ac:dyDescent="0.25">
      <c r="A171" s="60"/>
      <c r="D171" s="61" t="s">
        <v>289</v>
      </c>
      <c r="E171" s="61" t="s">
        <v>290</v>
      </c>
      <c r="G171" s="62">
        <v>36.3245</v>
      </c>
      <c r="M171" s="63"/>
    </row>
    <row r="172" spans="1:76" x14ac:dyDescent="0.25">
      <c r="A172" s="60"/>
      <c r="D172" s="61" t="s">
        <v>350</v>
      </c>
      <c r="E172" s="61" t="s">
        <v>351</v>
      </c>
      <c r="G172" s="62">
        <v>38.134999999999998</v>
      </c>
      <c r="M172" s="63"/>
    </row>
    <row r="173" spans="1:76" x14ac:dyDescent="0.25">
      <c r="A173" s="60"/>
      <c r="D173" s="61" t="s">
        <v>366</v>
      </c>
      <c r="E173" s="61" t="s">
        <v>300</v>
      </c>
      <c r="G173" s="62">
        <v>15.8545</v>
      </c>
      <c r="M173" s="63"/>
    </row>
    <row r="174" spans="1:76" x14ac:dyDescent="0.25">
      <c r="A174" s="60"/>
      <c r="D174" s="61" t="s">
        <v>303</v>
      </c>
      <c r="E174" s="61" t="s">
        <v>304</v>
      </c>
      <c r="G174" s="62">
        <v>35.393999999999998</v>
      </c>
      <c r="M174" s="63"/>
    </row>
    <row r="175" spans="1:76" x14ac:dyDescent="0.25">
      <c r="A175" s="60"/>
      <c r="D175" s="61" t="s">
        <v>307</v>
      </c>
      <c r="E175" s="61" t="s">
        <v>308</v>
      </c>
      <c r="G175" s="62">
        <v>23.050999999999998</v>
      </c>
      <c r="M175" s="63"/>
    </row>
    <row r="176" spans="1:76" x14ac:dyDescent="0.25">
      <c r="A176" s="60"/>
      <c r="D176" s="61" t="s">
        <v>367</v>
      </c>
      <c r="E176" s="61" t="s">
        <v>312</v>
      </c>
      <c r="G176" s="62">
        <v>18.861999999999998</v>
      </c>
      <c r="M176" s="63"/>
    </row>
    <row r="177" spans="1:76" x14ac:dyDescent="0.25">
      <c r="A177" s="60"/>
      <c r="D177" s="61" t="s">
        <v>317</v>
      </c>
      <c r="E177" s="61" t="s">
        <v>318</v>
      </c>
      <c r="G177" s="62">
        <v>13.188499999999999</v>
      </c>
      <c r="M177" s="63"/>
    </row>
    <row r="178" spans="1:76" x14ac:dyDescent="0.25">
      <c r="A178" s="60"/>
      <c r="D178" s="61" t="s">
        <v>319</v>
      </c>
      <c r="E178" s="61" t="s">
        <v>320</v>
      </c>
      <c r="G178" s="62">
        <v>11.7095</v>
      </c>
      <c r="M178" s="63"/>
    </row>
    <row r="179" spans="1:76" x14ac:dyDescent="0.25">
      <c r="A179" s="60"/>
      <c r="D179" s="61" t="s">
        <v>323</v>
      </c>
      <c r="E179" s="61" t="s">
        <v>324</v>
      </c>
      <c r="G179" s="62">
        <v>21.119</v>
      </c>
      <c r="M179" s="63"/>
    </row>
    <row r="180" spans="1:76" x14ac:dyDescent="0.25">
      <c r="A180" s="60"/>
      <c r="D180" s="61" t="s">
        <v>325</v>
      </c>
      <c r="E180" s="61" t="s">
        <v>326</v>
      </c>
      <c r="G180" s="62">
        <v>20.991499999999998</v>
      </c>
      <c r="M180" s="63"/>
    </row>
    <row r="181" spans="1:76" x14ac:dyDescent="0.25">
      <c r="A181" s="1" t="s">
        <v>368</v>
      </c>
      <c r="B181" s="2" t="s">
        <v>4</v>
      </c>
      <c r="C181" s="2" t="s">
        <v>369</v>
      </c>
      <c r="D181" s="82" t="s">
        <v>370</v>
      </c>
      <c r="E181" s="83"/>
      <c r="F181" s="2" t="s">
        <v>157</v>
      </c>
      <c r="G181" s="55">
        <v>810.79610000000002</v>
      </c>
      <c r="H181" s="56">
        <v>0</v>
      </c>
      <c r="I181" s="55">
        <f>G181*H181</f>
        <v>0</v>
      </c>
      <c r="J181" s="55">
        <v>0</v>
      </c>
      <c r="K181" s="55">
        <v>3.2000000000000003E-4</v>
      </c>
      <c r="L181" s="55">
        <f>G181*K181</f>
        <v>0.25945475200000001</v>
      </c>
      <c r="M181" s="57" t="s">
        <v>122</v>
      </c>
      <c r="Z181" s="55">
        <f>IF(AQ181="5",BJ181,0)</f>
        <v>0</v>
      </c>
      <c r="AB181" s="55">
        <f>IF(AQ181="1",BH181,0)</f>
        <v>0</v>
      </c>
      <c r="AC181" s="55">
        <f>IF(AQ181="1",BI181,0)</f>
        <v>0</v>
      </c>
      <c r="AD181" s="55">
        <f>IF(AQ181="7",BH181,0)</f>
        <v>0</v>
      </c>
      <c r="AE181" s="55">
        <f>IF(AQ181="7",BI181,0)</f>
        <v>0</v>
      </c>
      <c r="AF181" s="55">
        <f>IF(AQ181="2",BH181,0)</f>
        <v>0</v>
      </c>
      <c r="AG181" s="55">
        <f>IF(AQ181="2",BI181,0)</f>
        <v>0</v>
      </c>
      <c r="AH181" s="55">
        <f>IF(AQ181="0",BJ181,0)</f>
        <v>0</v>
      </c>
      <c r="AI181" s="33" t="s">
        <v>4</v>
      </c>
      <c r="AJ181" s="55">
        <f>IF(AN181=0,I181,0)</f>
        <v>0</v>
      </c>
      <c r="AK181" s="55">
        <f>IF(AN181=12,I181,0)</f>
        <v>0</v>
      </c>
      <c r="AL181" s="55">
        <f>IF(AN181=21,I181,0)</f>
        <v>0</v>
      </c>
      <c r="AN181" s="55">
        <v>21</v>
      </c>
      <c r="AO181" s="55">
        <f>H181*0.464175856</f>
        <v>0</v>
      </c>
      <c r="AP181" s="55">
        <f>H181*(1-0.464175856)</f>
        <v>0</v>
      </c>
      <c r="AQ181" s="58" t="s">
        <v>118</v>
      </c>
      <c r="AV181" s="55">
        <f>AW181+AX181</f>
        <v>0</v>
      </c>
      <c r="AW181" s="55">
        <f>G181*AO181</f>
        <v>0</v>
      </c>
      <c r="AX181" s="55">
        <f>G181*AP181</f>
        <v>0</v>
      </c>
      <c r="AY181" s="58" t="s">
        <v>278</v>
      </c>
      <c r="AZ181" s="58" t="s">
        <v>279</v>
      </c>
      <c r="BA181" s="33" t="s">
        <v>125</v>
      </c>
      <c r="BB181" s="59">
        <v>100027</v>
      </c>
      <c r="BC181" s="55">
        <f>AW181+AX181</f>
        <v>0</v>
      </c>
      <c r="BD181" s="55">
        <f>H181/(100-BE181)*100</f>
        <v>0</v>
      </c>
      <c r="BE181" s="55">
        <v>0</v>
      </c>
      <c r="BF181" s="55">
        <f>L181</f>
        <v>0.25945475200000001</v>
      </c>
      <c r="BH181" s="55">
        <f>G181*AO181</f>
        <v>0</v>
      </c>
      <c r="BI181" s="55">
        <f>G181*AP181</f>
        <v>0</v>
      </c>
      <c r="BJ181" s="55">
        <f>G181*H181</f>
        <v>0</v>
      </c>
      <c r="BK181" s="55"/>
      <c r="BL181" s="55">
        <v>60</v>
      </c>
      <c r="BW181" s="55">
        <v>21</v>
      </c>
      <c r="BX181" s="3" t="s">
        <v>370</v>
      </c>
    </row>
    <row r="182" spans="1:76" x14ac:dyDescent="0.25">
      <c r="A182" s="60"/>
      <c r="D182" s="61" t="s">
        <v>281</v>
      </c>
      <c r="E182" s="61" t="s">
        <v>336</v>
      </c>
      <c r="G182" s="62">
        <v>-3.516</v>
      </c>
      <c r="M182" s="63"/>
    </row>
    <row r="183" spans="1:76" x14ac:dyDescent="0.25">
      <c r="A183" s="60"/>
      <c r="D183" s="61" t="s">
        <v>371</v>
      </c>
      <c r="E183" s="61" t="s">
        <v>284</v>
      </c>
      <c r="G183" s="62">
        <v>38.256999999999998</v>
      </c>
      <c r="M183" s="63"/>
    </row>
    <row r="184" spans="1:76" x14ac:dyDescent="0.25">
      <c r="A184" s="60"/>
      <c r="D184" s="61" t="s">
        <v>338</v>
      </c>
      <c r="E184" s="61" t="s">
        <v>339</v>
      </c>
      <c r="G184" s="62">
        <v>15.303000000000001</v>
      </c>
      <c r="M184" s="63"/>
    </row>
    <row r="185" spans="1:76" x14ac:dyDescent="0.25">
      <c r="A185" s="60"/>
      <c r="D185" s="61" t="s">
        <v>340</v>
      </c>
      <c r="E185" s="61" t="s">
        <v>341</v>
      </c>
      <c r="G185" s="62">
        <v>14.125</v>
      </c>
      <c r="M185" s="63"/>
    </row>
    <row r="186" spans="1:76" x14ac:dyDescent="0.25">
      <c r="A186" s="60"/>
      <c r="D186" s="61" t="s">
        <v>342</v>
      </c>
      <c r="E186" s="61" t="s">
        <v>343</v>
      </c>
      <c r="G186" s="62">
        <v>22.076499999999999</v>
      </c>
      <c r="M186" s="63"/>
    </row>
    <row r="187" spans="1:76" x14ac:dyDescent="0.25">
      <c r="A187" s="60"/>
      <c r="D187" s="61" t="s">
        <v>159</v>
      </c>
      <c r="E187" s="61" t="s">
        <v>372</v>
      </c>
      <c r="G187" s="62">
        <v>12.2776</v>
      </c>
      <c r="M187" s="63"/>
    </row>
    <row r="188" spans="1:76" x14ac:dyDescent="0.25">
      <c r="A188" s="60"/>
      <c r="D188" s="61" t="s">
        <v>344</v>
      </c>
      <c r="E188" s="61" t="s">
        <v>345</v>
      </c>
      <c r="G188" s="62">
        <v>12.923</v>
      </c>
      <c r="M188" s="63"/>
    </row>
    <row r="189" spans="1:76" x14ac:dyDescent="0.25">
      <c r="A189" s="60"/>
      <c r="D189" s="61" t="s">
        <v>285</v>
      </c>
      <c r="E189" s="61" t="s">
        <v>286</v>
      </c>
      <c r="G189" s="62">
        <v>8.4</v>
      </c>
      <c r="M189" s="63"/>
    </row>
    <row r="190" spans="1:76" x14ac:dyDescent="0.25">
      <c r="A190" s="60"/>
      <c r="D190" s="61" t="s">
        <v>346</v>
      </c>
      <c r="E190" s="61" t="s">
        <v>288</v>
      </c>
      <c r="G190" s="62">
        <v>8.0555000000000003</v>
      </c>
      <c r="M190" s="63"/>
    </row>
    <row r="191" spans="1:76" x14ac:dyDescent="0.25">
      <c r="A191" s="60"/>
      <c r="D191" s="61" t="s">
        <v>347</v>
      </c>
      <c r="E191" s="61" t="s">
        <v>348</v>
      </c>
      <c r="G191" s="62">
        <v>12.074999999999999</v>
      </c>
      <c r="M191" s="63"/>
    </row>
    <row r="192" spans="1:76" x14ac:dyDescent="0.25">
      <c r="A192" s="60"/>
      <c r="D192" s="61" t="s">
        <v>349</v>
      </c>
      <c r="E192" s="61" t="s">
        <v>243</v>
      </c>
      <c r="G192" s="62">
        <v>12.7905</v>
      </c>
      <c r="M192" s="63"/>
    </row>
    <row r="193" spans="1:13" x14ac:dyDescent="0.25">
      <c r="A193" s="60"/>
      <c r="D193" s="61" t="s">
        <v>291</v>
      </c>
      <c r="E193" s="61" t="s">
        <v>292</v>
      </c>
      <c r="G193" s="62">
        <v>7.87</v>
      </c>
      <c r="M193" s="63"/>
    </row>
    <row r="194" spans="1:13" x14ac:dyDescent="0.25">
      <c r="A194" s="60"/>
      <c r="D194" s="61" t="s">
        <v>347</v>
      </c>
      <c r="E194" s="61" t="s">
        <v>244</v>
      </c>
      <c r="G194" s="62">
        <v>12.074999999999999</v>
      </c>
      <c r="M194" s="63"/>
    </row>
    <row r="195" spans="1:13" x14ac:dyDescent="0.25">
      <c r="A195" s="60"/>
      <c r="D195" s="61" t="s">
        <v>293</v>
      </c>
      <c r="E195" s="61" t="s">
        <v>294</v>
      </c>
      <c r="G195" s="62">
        <v>9.9105000000000008</v>
      </c>
      <c r="M195" s="63"/>
    </row>
    <row r="196" spans="1:13" x14ac:dyDescent="0.25">
      <c r="A196" s="60"/>
      <c r="D196" s="61" t="s">
        <v>352</v>
      </c>
      <c r="E196" s="61" t="s">
        <v>227</v>
      </c>
      <c r="G196" s="62">
        <v>11.227</v>
      </c>
      <c r="M196" s="63"/>
    </row>
    <row r="197" spans="1:13" x14ac:dyDescent="0.25">
      <c r="A197" s="60"/>
      <c r="D197" s="61" t="s">
        <v>295</v>
      </c>
      <c r="E197" s="61" t="s">
        <v>296</v>
      </c>
      <c r="G197" s="62">
        <v>21.994499999999999</v>
      </c>
      <c r="M197" s="63"/>
    </row>
    <row r="198" spans="1:13" x14ac:dyDescent="0.25">
      <c r="A198" s="60"/>
      <c r="D198" s="61" t="s">
        <v>353</v>
      </c>
      <c r="E198" s="61" t="s">
        <v>354</v>
      </c>
      <c r="G198" s="62">
        <v>11.9955</v>
      </c>
      <c r="M198" s="63"/>
    </row>
    <row r="199" spans="1:13" x14ac:dyDescent="0.25">
      <c r="A199" s="60"/>
      <c r="D199" s="61" t="s">
        <v>297</v>
      </c>
      <c r="E199" s="61" t="s">
        <v>298</v>
      </c>
      <c r="G199" s="62">
        <v>21.6235</v>
      </c>
      <c r="M199" s="63"/>
    </row>
    <row r="200" spans="1:13" x14ac:dyDescent="0.25">
      <c r="A200" s="60"/>
      <c r="D200" s="61" t="s">
        <v>299</v>
      </c>
      <c r="E200" s="61" t="s">
        <v>300</v>
      </c>
      <c r="G200" s="62">
        <v>16.5535</v>
      </c>
      <c r="M200" s="63"/>
    </row>
    <row r="201" spans="1:13" x14ac:dyDescent="0.25">
      <c r="A201" s="60"/>
      <c r="D201" s="61" t="s">
        <v>355</v>
      </c>
      <c r="E201" s="61" t="s">
        <v>356</v>
      </c>
      <c r="G201" s="62">
        <v>14.4955</v>
      </c>
      <c r="M201" s="63"/>
    </row>
    <row r="202" spans="1:13" x14ac:dyDescent="0.25">
      <c r="A202" s="60"/>
      <c r="D202" s="61" t="s">
        <v>301</v>
      </c>
      <c r="E202" s="61" t="s">
        <v>302</v>
      </c>
      <c r="G202" s="62">
        <v>13.981999999999999</v>
      </c>
      <c r="M202" s="63"/>
    </row>
    <row r="203" spans="1:13" x14ac:dyDescent="0.25">
      <c r="A203" s="60"/>
      <c r="D203" s="61" t="s">
        <v>305</v>
      </c>
      <c r="E203" s="61" t="s">
        <v>306</v>
      </c>
      <c r="G203" s="62">
        <v>40.530500000000004</v>
      </c>
      <c r="M203" s="63"/>
    </row>
    <row r="204" spans="1:13" x14ac:dyDescent="0.25">
      <c r="A204" s="60"/>
      <c r="D204" s="61" t="s">
        <v>357</v>
      </c>
      <c r="E204" s="61" t="s">
        <v>373</v>
      </c>
      <c r="G204" s="62">
        <v>13.541499999999999</v>
      </c>
      <c r="M204" s="63"/>
    </row>
    <row r="205" spans="1:13" x14ac:dyDescent="0.25">
      <c r="A205" s="60"/>
      <c r="D205" s="61" t="s">
        <v>307</v>
      </c>
      <c r="E205" s="61" t="s">
        <v>308</v>
      </c>
      <c r="G205" s="62">
        <v>23.050999999999998</v>
      </c>
      <c r="M205" s="63"/>
    </row>
    <row r="206" spans="1:13" x14ac:dyDescent="0.25">
      <c r="A206" s="60"/>
      <c r="D206" s="61" t="s">
        <v>309</v>
      </c>
      <c r="E206" s="61" t="s">
        <v>310</v>
      </c>
      <c r="G206" s="62">
        <v>207.44200000000001</v>
      </c>
      <c r="M206" s="63"/>
    </row>
    <row r="207" spans="1:13" x14ac:dyDescent="0.25">
      <c r="A207" s="60"/>
      <c r="D207" s="61" t="s">
        <v>311</v>
      </c>
      <c r="E207" s="61" t="s">
        <v>312</v>
      </c>
      <c r="G207" s="62">
        <v>20.164000000000001</v>
      </c>
      <c r="M207" s="63"/>
    </row>
    <row r="208" spans="1:13" x14ac:dyDescent="0.25">
      <c r="A208" s="60"/>
      <c r="D208" s="61" t="s">
        <v>359</v>
      </c>
      <c r="E208" s="61" t="s">
        <v>314</v>
      </c>
      <c r="G208" s="62">
        <v>29.962499999999999</v>
      </c>
      <c r="M208" s="63"/>
    </row>
    <row r="209" spans="1:76" x14ac:dyDescent="0.25">
      <c r="A209" s="60"/>
      <c r="D209" s="61" t="s">
        <v>315</v>
      </c>
      <c r="E209" s="61" t="s">
        <v>316</v>
      </c>
      <c r="G209" s="62">
        <v>21.641500000000001</v>
      </c>
      <c r="M209" s="63"/>
    </row>
    <row r="210" spans="1:76" x14ac:dyDescent="0.25">
      <c r="A210" s="60"/>
      <c r="D210" s="61" t="s">
        <v>317</v>
      </c>
      <c r="E210" s="61" t="s">
        <v>318</v>
      </c>
      <c r="G210" s="62">
        <v>13.188499999999999</v>
      </c>
      <c r="M210" s="63"/>
    </row>
    <row r="211" spans="1:76" x14ac:dyDescent="0.25">
      <c r="A211" s="60"/>
      <c r="D211" s="61" t="s">
        <v>319</v>
      </c>
      <c r="E211" s="61" t="s">
        <v>320</v>
      </c>
      <c r="G211" s="62">
        <v>11.7095</v>
      </c>
      <c r="M211" s="63"/>
    </row>
    <row r="212" spans="1:76" x14ac:dyDescent="0.25">
      <c r="A212" s="60"/>
      <c r="D212" s="61" t="s">
        <v>360</v>
      </c>
      <c r="E212" s="61" t="s">
        <v>361</v>
      </c>
      <c r="G212" s="62">
        <v>12.932</v>
      </c>
      <c r="M212" s="63"/>
    </row>
    <row r="213" spans="1:76" x14ac:dyDescent="0.25">
      <c r="A213" s="60"/>
      <c r="D213" s="61" t="s">
        <v>321</v>
      </c>
      <c r="E213" s="61" t="s">
        <v>322</v>
      </c>
      <c r="G213" s="62">
        <v>20.312999999999999</v>
      </c>
      <c r="M213" s="63"/>
    </row>
    <row r="214" spans="1:76" x14ac:dyDescent="0.25">
      <c r="A214" s="60"/>
      <c r="D214" s="61" t="s">
        <v>323</v>
      </c>
      <c r="E214" s="61" t="s">
        <v>324</v>
      </c>
      <c r="G214" s="62">
        <v>21.119</v>
      </c>
      <c r="M214" s="63"/>
    </row>
    <row r="215" spans="1:76" x14ac:dyDescent="0.25">
      <c r="A215" s="60"/>
      <c r="D215" s="61" t="s">
        <v>325</v>
      </c>
      <c r="E215" s="61" t="s">
        <v>326</v>
      </c>
      <c r="G215" s="62">
        <v>20.991499999999998</v>
      </c>
      <c r="M215" s="63"/>
    </row>
    <row r="216" spans="1:76" x14ac:dyDescent="0.25">
      <c r="A216" s="60"/>
      <c r="D216" s="61" t="s">
        <v>327</v>
      </c>
      <c r="E216" s="61" t="s">
        <v>328</v>
      </c>
      <c r="G216" s="62">
        <v>37.616500000000002</v>
      </c>
      <c r="M216" s="63"/>
    </row>
    <row r="217" spans="1:76" x14ac:dyDescent="0.25">
      <c r="A217" s="60"/>
      <c r="D217" s="61" t="s">
        <v>329</v>
      </c>
      <c r="E217" s="61" t="s">
        <v>330</v>
      </c>
      <c r="G217" s="62">
        <v>22.099</v>
      </c>
      <c r="M217" s="63"/>
    </row>
    <row r="218" spans="1:76" ht="38.25" x14ac:dyDescent="0.25">
      <c r="A218" s="60"/>
      <c r="C218" s="64" t="s">
        <v>127</v>
      </c>
      <c r="D218" s="159" t="s">
        <v>374</v>
      </c>
      <c r="E218" s="160"/>
      <c r="F218" s="160"/>
      <c r="G218" s="160"/>
      <c r="H218" s="161"/>
      <c r="I218" s="160"/>
      <c r="J218" s="160"/>
      <c r="K218" s="160"/>
      <c r="L218" s="160"/>
      <c r="M218" s="162"/>
      <c r="BX218" s="65" t="s">
        <v>374</v>
      </c>
    </row>
    <row r="219" spans="1:76" x14ac:dyDescent="0.25">
      <c r="A219" s="1" t="s">
        <v>375</v>
      </c>
      <c r="B219" s="2" t="s">
        <v>4</v>
      </c>
      <c r="C219" s="2" t="s">
        <v>376</v>
      </c>
      <c r="D219" s="82" t="s">
        <v>377</v>
      </c>
      <c r="E219" s="83"/>
      <c r="F219" s="2" t="s">
        <v>157</v>
      </c>
      <c r="G219" s="55">
        <v>601.42200000000003</v>
      </c>
      <c r="H219" s="56">
        <v>0</v>
      </c>
      <c r="I219" s="55">
        <f>G219*H219</f>
        <v>0</v>
      </c>
      <c r="J219" s="55">
        <v>0</v>
      </c>
      <c r="K219" s="55">
        <v>5.1399999999999996E-3</v>
      </c>
      <c r="L219" s="55">
        <f>G219*K219</f>
        <v>3.0913090799999998</v>
      </c>
      <c r="M219" s="57" t="s">
        <v>122</v>
      </c>
      <c r="Z219" s="55">
        <f>IF(AQ219="5",BJ219,0)</f>
        <v>0</v>
      </c>
      <c r="AB219" s="55">
        <f>IF(AQ219="1",BH219,0)</f>
        <v>0</v>
      </c>
      <c r="AC219" s="55">
        <f>IF(AQ219="1",BI219,0)</f>
        <v>0</v>
      </c>
      <c r="AD219" s="55">
        <f>IF(AQ219="7",BH219,0)</f>
        <v>0</v>
      </c>
      <c r="AE219" s="55">
        <f>IF(AQ219="7",BI219,0)</f>
        <v>0</v>
      </c>
      <c r="AF219" s="55">
        <f>IF(AQ219="2",BH219,0)</f>
        <v>0</v>
      </c>
      <c r="AG219" s="55">
        <f>IF(AQ219="2",BI219,0)</f>
        <v>0</v>
      </c>
      <c r="AH219" s="55">
        <f>IF(AQ219="0",BJ219,0)</f>
        <v>0</v>
      </c>
      <c r="AI219" s="33" t="s">
        <v>4</v>
      </c>
      <c r="AJ219" s="55">
        <f>IF(AN219=0,I219,0)</f>
        <v>0</v>
      </c>
      <c r="AK219" s="55">
        <f>IF(AN219=12,I219,0)</f>
        <v>0</v>
      </c>
      <c r="AL219" s="55">
        <f>IF(AN219=21,I219,0)</f>
        <v>0</v>
      </c>
      <c r="AN219" s="55">
        <v>21</v>
      </c>
      <c r="AO219" s="55">
        <f>H219*0.204708991</f>
        <v>0</v>
      </c>
      <c r="AP219" s="55">
        <f>H219*(1-0.204708991)</f>
        <v>0</v>
      </c>
      <c r="AQ219" s="58" t="s">
        <v>118</v>
      </c>
      <c r="AV219" s="55">
        <f>AW219+AX219</f>
        <v>0</v>
      </c>
      <c r="AW219" s="55">
        <f>G219*AO219</f>
        <v>0</v>
      </c>
      <c r="AX219" s="55">
        <f>G219*AP219</f>
        <v>0</v>
      </c>
      <c r="AY219" s="58" t="s">
        <v>278</v>
      </c>
      <c r="AZ219" s="58" t="s">
        <v>279</v>
      </c>
      <c r="BA219" s="33" t="s">
        <v>125</v>
      </c>
      <c r="BB219" s="59">
        <v>100027</v>
      </c>
      <c r="BC219" s="55">
        <f>AW219+AX219</f>
        <v>0</v>
      </c>
      <c r="BD219" s="55">
        <f>H219/(100-BE219)*100</f>
        <v>0</v>
      </c>
      <c r="BE219" s="55">
        <v>0</v>
      </c>
      <c r="BF219" s="55">
        <f>L219</f>
        <v>3.0913090799999998</v>
      </c>
      <c r="BH219" s="55">
        <f>G219*AO219</f>
        <v>0</v>
      </c>
      <c r="BI219" s="55">
        <f>G219*AP219</f>
        <v>0</v>
      </c>
      <c r="BJ219" s="55">
        <f>G219*H219</f>
        <v>0</v>
      </c>
      <c r="BK219" s="55"/>
      <c r="BL219" s="55">
        <v>60</v>
      </c>
      <c r="BW219" s="55">
        <v>21</v>
      </c>
      <c r="BX219" s="3" t="s">
        <v>377</v>
      </c>
    </row>
    <row r="220" spans="1:76" ht="13.5" customHeight="1" x14ac:dyDescent="0.25">
      <c r="A220" s="60"/>
      <c r="D220" s="155" t="s">
        <v>378</v>
      </c>
      <c r="E220" s="156"/>
      <c r="F220" s="156"/>
      <c r="G220" s="156"/>
      <c r="H220" s="157"/>
      <c r="I220" s="156"/>
      <c r="J220" s="156"/>
      <c r="K220" s="156"/>
      <c r="L220" s="156"/>
      <c r="M220" s="158"/>
    </row>
    <row r="221" spans="1:76" x14ac:dyDescent="0.25">
      <c r="A221" s="60"/>
      <c r="D221" s="61" t="s">
        <v>281</v>
      </c>
      <c r="E221" s="61" t="s">
        <v>336</v>
      </c>
      <c r="G221" s="62">
        <v>-3.516</v>
      </c>
      <c r="M221" s="63"/>
    </row>
    <row r="222" spans="1:76" x14ac:dyDescent="0.25">
      <c r="A222" s="60"/>
      <c r="D222" s="61" t="s">
        <v>379</v>
      </c>
      <c r="E222" s="61" t="s">
        <v>284</v>
      </c>
      <c r="G222" s="62">
        <v>23.505500000000001</v>
      </c>
      <c r="M222" s="63"/>
    </row>
    <row r="223" spans="1:76" x14ac:dyDescent="0.25">
      <c r="A223" s="60"/>
      <c r="D223" s="61" t="s">
        <v>380</v>
      </c>
      <c r="E223" s="61" t="s">
        <v>381</v>
      </c>
      <c r="G223" s="62">
        <v>-1.44</v>
      </c>
      <c r="M223" s="63"/>
    </row>
    <row r="224" spans="1:76" x14ac:dyDescent="0.25">
      <c r="A224" s="60"/>
      <c r="D224" s="61" t="s">
        <v>382</v>
      </c>
      <c r="E224" s="61" t="s">
        <v>383</v>
      </c>
      <c r="G224" s="62">
        <v>6.3525</v>
      </c>
      <c r="M224" s="63"/>
    </row>
    <row r="225" spans="1:13" x14ac:dyDescent="0.25">
      <c r="A225" s="60"/>
      <c r="D225" s="61" t="s">
        <v>344</v>
      </c>
      <c r="E225" s="61" t="s">
        <v>345</v>
      </c>
      <c r="G225" s="62">
        <v>12.923</v>
      </c>
      <c r="M225" s="63"/>
    </row>
    <row r="226" spans="1:13" x14ac:dyDescent="0.25">
      <c r="A226" s="60"/>
      <c r="D226" s="61" t="s">
        <v>285</v>
      </c>
      <c r="E226" s="61" t="s">
        <v>286</v>
      </c>
      <c r="G226" s="62">
        <v>8.4</v>
      </c>
      <c r="M226" s="63"/>
    </row>
    <row r="227" spans="1:13" x14ac:dyDescent="0.25">
      <c r="A227" s="60"/>
      <c r="D227" s="61" t="s">
        <v>346</v>
      </c>
      <c r="E227" s="61" t="s">
        <v>288</v>
      </c>
      <c r="G227" s="62">
        <v>8.0555000000000003</v>
      </c>
      <c r="M227" s="63"/>
    </row>
    <row r="228" spans="1:13" x14ac:dyDescent="0.25">
      <c r="A228" s="60"/>
      <c r="D228" s="61" t="s">
        <v>347</v>
      </c>
      <c r="E228" s="61" t="s">
        <v>348</v>
      </c>
      <c r="G228" s="62">
        <v>12.074999999999999</v>
      </c>
      <c r="M228" s="63"/>
    </row>
    <row r="229" spans="1:13" x14ac:dyDescent="0.25">
      <c r="A229" s="60"/>
      <c r="D229" s="61" t="s">
        <v>349</v>
      </c>
      <c r="E229" s="61" t="s">
        <v>243</v>
      </c>
      <c r="G229" s="62">
        <v>12.7905</v>
      </c>
      <c r="M229" s="63"/>
    </row>
    <row r="230" spans="1:13" x14ac:dyDescent="0.25">
      <c r="A230" s="60"/>
      <c r="D230" s="61" t="s">
        <v>291</v>
      </c>
      <c r="E230" s="61" t="s">
        <v>292</v>
      </c>
      <c r="G230" s="62">
        <v>7.87</v>
      </c>
      <c r="M230" s="63"/>
    </row>
    <row r="231" spans="1:13" x14ac:dyDescent="0.25">
      <c r="A231" s="60"/>
      <c r="D231" s="61" t="s">
        <v>347</v>
      </c>
      <c r="E231" s="61" t="s">
        <v>244</v>
      </c>
      <c r="G231" s="62">
        <v>12.074999999999999</v>
      </c>
      <c r="M231" s="63"/>
    </row>
    <row r="232" spans="1:13" x14ac:dyDescent="0.25">
      <c r="A232" s="60"/>
      <c r="D232" s="61" t="s">
        <v>293</v>
      </c>
      <c r="E232" s="61" t="s">
        <v>294</v>
      </c>
      <c r="G232" s="62">
        <v>9.9105000000000008</v>
      </c>
      <c r="M232" s="63"/>
    </row>
    <row r="233" spans="1:13" x14ac:dyDescent="0.25">
      <c r="A233" s="60"/>
      <c r="D233" s="61" t="s">
        <v>352</v>
      </c>
      <c r="E233" s="61" t="s">
        <v>227</v>
      </c>
      <c r="G233" s="62">
        <v>11.227</v>
      </c>
      <c r="M233" s="63"/>
    </row>
    <row r="234" spans="1:13" x14ac:dyDescent="0.25">
      <c r="A234" s="60"/>
      <c r="D234" s="61" t="s">
        <v>295</v>
      </c>
      <c r="E234" s="61" t="s">
        <v>296</v>
      </c>
      <c r="G234" s="62">
        <v>21.994499999999999</v>
      </c>
      <c r="M234" s="63"/>
    </row>
    <row r="235" spans="1:13" x14ac:dyDescent="0.25">
      <c r="A235" s="60"/>
      <c r="D235" s="61" t="s">
        <v>353</v>
      </c>
      <c r="E235" s="61" t="s">
        <v>354</v>
      </c>
      <c r="G235" s="62">
        <v>11.9955</v>
      </c>
      <c r="M235" s="63"/>
    </row>
    <row r="236" spans="1:13" x14ac:dyDescent="0.25">
      <c r="A236" s="60"/>
      <c r="D236" s="61" t="s">
        <v>297</v>
      </c>
      <c r="E236" s="61" t="s">
        <v>298</v>
      </c>
      <c r="G236" s="62">
        <v>21.6235</v>
      </c>
      <c r="M236" s="63"/>
    </row>
    <row r="237" spans="1:13" x14ac:dyDescent="0.25">
      <c r="A237" s="60"/>
      <c r="D237" s="61" t="s">
        <v>355</v>
      </c>
      <c r="E237" s="61" t="s">
        <v>356</v>
      </c>
      <c r="G237" s="62">
        <v>14.4955</v>
      </c>
      <c r="M237" s="63"/>
    </row>
    <row r="238" spans="1:13" x14ac:dyDescent="0.25">
      <c r="A238" s="60"/>
      <c r="D238" s="61" t="s">
        <v>301</v>
      </c>
      <c r="E238" s="61" t="s">
        <v>302</v>
      </c>
      <c r="G238" s="62">
        <v>13.981999999999999</v>
      </c>
      <c r="M238" s="63"/>
    </row>
    <row r="239" spans="1:13" x14ac:dyDescent="0.25">
      <c r="A239" s="60"/>
      <c r="D239" s="61" t="s">
        <v>305</v>
      </c>
      <c r="E239" s="61" t="s">
        <v>306</v>
      </c>
      <c r="G239" s="62">
        <v>40.530500000000004</v>
      </c>
      <c r="M239" s="63"/>
    </row>
    <row r="240" spans="1:13" x14ac:dyDescent="0.25">
      <c r="A240" s="60"/>
      <c r="D240" s="61" t="s">
        <v>357</v>
      </c>
      <c r="E240" s="61" t="s">
        <v>373</v>
      </c>
      <c r="G240" s="62">
        <v>13.541499999999999</v>
      </c>
      <c r="M240" s="63"/>
    </row>
    <row r="241" spans="1:76" x14ac:dyDescent="0.25">
      <c r="A241" s="60"/>
      <c r="D241" s="61" t="s">
        <v>309</v>
      </c>
      <c r="E241" s="61" t="s">
        <v>310</v>
      </c>
      <c r="G241" s="62">
        <v>207.44200000000001</v>
      </c>
      <c r="M241" s="63"/>
    </row>
    <row r="242" spans="1:76" x14ac:dyDescent="0.25">
      <c r="A242" s="60"/>
      <c r="D242" s="61" t="s">
        <v>384</v>
      </c>
      <c r="E242" s="61" t="s">
        <v>312</v>
      </c>
      <c r="G242" s="62">
        <v>1.302</v>
      </c>
      <c r="M242" s="63"/>
    </row>
    <row r="243" spans="1:76" x14ac:dyDescent="0.25">
      <c r="A243" s="60"/>
      <c r="D243" s="61" t="s">
        <v>385</v>
      </c>
      <c r="E243" s="61" t="s">
        <v>314</v>
      </c>
      <c r="G243" s="62">
        <v>22.732500000000002</v>
      </c>
      <c r="M243" s="63"/>
    </row>
    <row r="244" spans="1:76" x14ac:dyDescent="0.25">
      <c r="A244" s="60"/>
      <c r="D244" s="61" t="s">
        <v>315</v>
      </c>
      <c r="E244" s="61" t="s">
        <v>316</v>
      </c>
      <c r="G244" s="62">
        <v>21.641500000000001</v>
      </c>
      <c r="M244" s="63"/>
    </row>
    <row r="245" spans="1:76" x14ac:dyDescent="0.25">
      <c r="A245" s="60"/>
      <c r="D245" s="61" t="s">
        <v>360</v>
      </c>
      <c r="E245" s="61" t="s">
        <v>361</v>
      </c>
      <c r="G245" s="62">
        <v>12.932</v>
      </c>
      <c r="M245" s="63"/>
    </row>
    <row r="246" spans="1:76" x14ac:dyDescent="0.25">
      <c r="A246" s="60"/>
      <c r="D246" s="61" t="s">
        <v>321</v>
      </c>
      <c r="E246" s="61" t="s">
        <v>322</v>
      </c>
      <c r="G246" s="62">
        <v>20.312999999999999</v>
      </c>
      <c r="M246" s="63"/>
    </row>
    <row r="247" spans="1:76" x14ac:dyDescent="0.25">
      <c r="A247" s="60"/>
      <c r="D247" s="61" t="s">
        <v>327</v>
      </c>
      <c r="E247" s="61" t="s">
        <v>328</v>
      </c>
      <c r="G247" s="62">
        <v>37.616500000000002</v>
      </c>
      <c r="M247" s="63"/>
    </row>
    <row r="248" spans="1:76" x14ac:dyDescent="0.25">
      <c r="A248" s="60"/>
      <c r="D248" s="61" t="s">
        <v>329</v>
      </c>
      <c r="E248" s="61" t="s">
        <v>330</v>
      </c>
      <c r="G248" s="62">
        <v>22.099</v>
      </c>
      <c r="M248" s="63"/>
    </row>
    <row r="249" spans="1:76" x14ac:dyDescent="0.25">
      <c r="A249" s="60"/>
      <c r="D249" s="61" t="s">
        <v>386</v>
      </c>
      <c r="E249" s="61" t="s">
        <v>387</v>
      </c>
      <c r="G249" s="62">
        <v>-3.048</v>
      </c>
      <c r="M249" s="63"/>
    </row>
    <row r="250" spans="1:76" ht="76.5" x14ac:dyDescent="0.25">
      <c r="A250" s="60"/>
      <c r="C250" s="64" t="s">
        <v>127</v>
      </c>
      <c r="D250" s="159" t="s">
        <v>388</v>
      </c>
      <c r="E250" s="160"/>
      <c r="F250" s="160"/>
      <c r="G250" s="160"/>
      <c r="H250" s="161"/>
      <c r="I250" s="160"/>
      <c r="J250" s="160"/>
      <c r="K250" s="160"/>
      <c r="L250" s="160"/>
      <c r="M250" s="162"/>
      <c r="BX250" s="65" t="s">
        <v>388</v>
      </c>
    </row>
    <row r="251" spans="1:76" x14ac:dyDescent="0.25">
      <c r="A251" s="1" t="s">
        <v>389</v>
      </c>
      <c r="B251" s="2" t="s">
        <v>4</v>
      </c>
      <c r="C251" s="2" t="s">
        <v>390</v>
      </c>
      <c r="D251" s="82" t="s">
        <v>391</v>
      </c>
      <c r="E251" s="83"/>
      <c r="F251" s="2" t="s">
        <v>157</v>
      </c>
      <c r="G251" s="55">
        <v>17.317599999999999</v>
      </c>
      <c r="H251" s="56">
        <v>0</v>
      </c>
      <c r="I251" s="55">
        <f>G251*H251</f>
        <v>0</v>
      </c>
      <c r="J251" s="55">
        <v>0</v>
      </c>
      <c r="K251" s="55">
        <v>4.1660000000000003E-2</v>
      </c>
      <c r="L251" s="55">
        <f>G251*K251</f>
        <v>0.72145121599999995</v>
      </c>
      <c r="M251" s="57" t="s">
        <v>122</v>
      </c>
      <c r="Z251" s="55">
        <f>IF(AQ251="5",BJ251,0)</f>
        <v>0</v>
      </c>
      <c r="AB251" s="55">
        <f>IF(AQ251="1",BH251,0)</f>
        <v>0</v>
      </c>
      <c r="AC251" s="55">
        <f>IF(AQ251="1",BI251,0)</f>
        <v>0</v>
      </c>
      <c r="AD251" s="55">
        <f>IF(AQ251="7",BH251,0)</f>
        <v>0</v>
      </c>
      <c r="AE251" s="55">
        <f>IF(AQ251="7",BI251,0)</f>
        <v>0</v>
      </c>
      <c r="AF251" s="55">
        <f>IF(AQ251="2",BH251,0)</f>
        <v>0</v>
      </c>
      <c r="AG251" s="55">
        <f>IF(AQ251="2",BI251,0)</f>
        <v>0</v>
      </c>
      <c r="AH251" s="55">
        <f>IF(AQ251="0",BJ251,0)</f>
        <v>0</v>
      </c>
      <c r="AI251" s="33" t="s">
        <v>4</v>
      </c>
      <c r="AJ251" s="55">
        <f>IF(AN251=0,I251,0)</f>
        <v>0</v>
      </c>
      <c r="AK251" s="55">
        <f>IF(AN251=12,I251,0)</f>
        <v>0</v>
      </c>
      <c r="AL251" s="55">
        <f>IF(AN251=21,I251,0)</f>
        <v>0</v>
      </c>
      <c r="AN251" s="55">
        <v>21</v>
      </c>
      <c r="AO251" s="55">
        <f>H251*0.48260437</f>
        <v>0</v>
      </c>
      <c r="AP251" s="55">
        <f>H251*(1-0.48260437)</f>
        <v>0</v>
      </c>
      <c r="AQ251" s="58" t="s">
        <v>118</v>
      </c>
      <c r="AV251" s="55">
        <f>AW251+AX251</f>
        <v>0</v>
      </c>
      <c r="AW251" s="55">
        <f>G251*AO251</f>
        <v>0</v>
      </c>
      <c r="AX251" s="55">
        <f>G251*AP251</f>
        <v>0</v>
      </c>
      <c r="AY251" s="58" t="s">
        <v>278</v>
      </c>
      <c r="AZ251" s="58" t="s">
        <v>279</v>
      </c>
      <c r="BA251" s="33" t="s">
        <v>125</v>
      </c>
      <c r="BB251" s="59">
        <v>100027</v>
      </c>
      <c r="BC251" s="55">
        <f>AW251+AX251</f>
        <v>0</v>
      </c>
      <c r="BD251" s="55">
        <f>H251/(100-BE251)*100</f>
        <v>0</v>
      </c>
      <c r="BE251" s="55">
        <v>0</v>
      </c>
      <c r="BF251" s="55">
        <f>L251</f>
        <v>0.72145121599999995</v>
      </c>
      <c r="BH251" s="55">
        <f>G251*AO251</f>
        <v>0</v>
      </c>
      <c r="BI251" s="55">
        <f>G251*AP251</f>
        <v>0</v>
      </c>
      <c r="BJ251" s="55">
        <f>G251*H251</f>
        <v>0</v>
      </c>
      <c r="BK251" s="55"/>
      <c r="BL251" s="55">
        <v>60</v>
      </c>
      <c r="BW251" s="55">
        <v>21</v>
      </c>
      <c r="BX251" s="3" t="s">
        <v>391</v>
      </c>
    </row>
    <row r="252" spans="1:76" ht="13.5" customHeight="1" x14ac:dyDescent="0.25">
      <c r="A252" s="60"/>
      <c r="D252" s="155" t="s">
        <v>392</v>
      </c>
      <c r="E252" s="156"/>
      <c r="F252" s="156"/>
      <c r="G252" s="156"/>
      <c r="H252" s="157"/>
      <c r="I252" s="156"/>
      <c r="J252" s="156"/>
      <c r="K252" s="156"/>
      <c r="L252" s="156"/>
      <c r="M252" s="158"/>
    </row>
    <row r="253" spans="1:76" x14ac:dyDescent="0.25">
      <c r="A253" s="60"/>
      <c r="D253" s="61" t="s">
        <v>393</v>
      </c>
      <c r="E253" s="61" t="s">
        <v>372</v>
      </c>
      <c r="G253" s="62">
        <v>17.317599999999999</v>
      </c>
      <c r="M253" s="63"/>
    </row>
    <row r="254" spans="1:76" ht="51" x14ac:dyDescent="0.25">
      <c r="A254" s="60"/>
      <c r="C254" s="64" t="s">
        <v>127</v>
      </c>
      <c r="D254" s="159" t="s">
        <v>362</v>
      </c>
      <c r="E254" s="160"/>
      <c r="F254" s="160"/>
      <c r="G254" s="160"/>
      <c r="H254" s="161"/>
      <c r="I254" s="160"/>
      <c r="J254" s="160"/>
      <c r="K254" s="160"/>
      <c r="L254" s="160"/>
      <c r="M254" s="162"/>
      <c r="BX254" s="65" t="s">
        <v>362</v>
      </c>
    </row>
    <row r="255" spans="1:76" x14ac:dyDescent="0.25">
      <c r="A255" s="1" t="s">
        <v>394</v>
      </c>
      <c r="B255" s="2" t="s">
        <v>4</v>
      </c>
      <c r="C255" s="2" t="s">
        <v>395</v>
      </c>
      <c r="D255" s="82" t="s">
        <v>396</v>
      </c>
      <c r="E255" s="83"/>
      <c r="F255" s="2" t="s">
        <v>157</v>
      </c>
      <c r="G255" s="55">
        <v>17.317599999999999</v>
      </c>
      <c r="H255" s="56">
        <v>0</v>
      </c>
      <c r="I255" s="55">
        <f>G255*H255</f>
        <v>0</v>
      </c>
      <c r="J255" s="55">
        <v>0</v>
      </c>
      <c r="K255" s="55">
        <v>9.3600000000000003E-3</v>
      </c>
      <c r="L255" s="55">
        <f>G255*K255</f>
        <v>0.16209273599999999</v>
      </c>
      <c r="M255" s="57" t="s">
        <v>122</v>
      </c>
      <c r="Z255" s="55">
        <f>IF(AQ255="5",BJ255,0)</f>
        <v>0</v>
      </c>
      <c r="AB255" s="55">
        <f>IF(AQ255="1",BH255,0)</f>
        <v>0</v>
      </c>
      <c r="AC255" s="55">
        <f>IF(AQ255="1",BI255,0)</f>
        <v>0</v>
      </c>
      <c r="AD255" s="55">
        <f>IF(AQ255="7",BH255,0)</f>
        <v>0</v>
      </c>
      <c r="AE255" s="55">
        <f>IF(AQ255="7",BI255,0)</f>
        <v>0</v>
      </c>
      <c r="AF255" s="55">
        <f>IF(AQ255="2",BH255,0)</f>
        <v>0</v>
      </c>
      <c r="AG255" s="55">
        <f>IF(AQ255="2",BI255,0)</f>
        <v>0</v>
      </c>
      <c r="AH255" s="55">
        <f>IF(AQ255="0",BJ255,0)</f>
        <v>0</v>
      </c>
      <c r="AI255" s="33" t="s">
        <v>4</v>
      </c>
      <c r="AJ255" s="55">
        <f>IF(AN255=0,I255,0)</f>
        <v>0</v>
      </c>
      <c r="AK255" s="55">
        <f>IF(AN255=12,I255,0)</f>
        <v>0</v>
      </c>
      <c r="AL255" s="55">
        <f>IF(AN255=21,I255,0)</f>
        <v>0</v>
      </c>
      <c r="AN255" s="55">
        <v>21</v>
      </c>
      <c r="AO255" s="55">
        <f>H255*0.207674572</f>
        <v>0</v>
      </c>
      <c r="AP255" s="55">
        <f>H255*(1-0.207674572)</f>
        <v>0</v>
      </c>
      <c r="AQ255" s="58" t="s">
        <v>118</v>
      </c>
      <c r="AV255" s="55">
        <f>AW255+AX255</f>
        <v>0</v>
      </c>
      <c r="AW255" s="55">
        <f>G255*AO255</f>
        <v>0</v>
      </c>
      <c r="AX255" s="55">
        <f>G255*AP255</f>
        <v>0</v>
      </c>
      <c r="AY255" s="58" t="s">
        <v>278</v>
      </c>
      <c r="AZ255" s="58" t="s">
        <v>279</v>
      </c>
      <c r="BA255" s="33" t="s">
        <v>125</v>
      </c>
      <c r="BB255" s="59">
        <v>100027</v>
      </c>
      <c r="BC255" s="55">
        <f>AW255+AX255</f>
        <v>0</v>
      </c>
      <c r="BD255" s="55">
        <f>H255/(100-BE255)*100</f>
        <v>0</v>
      </c>
      <c r="BE255" s="55">
        <v>0</v>
      </c>
      <c r="BF255" s="55">
        <f>L255</f>
        <v>0.16209273599999999</v>
      </c>
      <c r="BH255" s="55">
        <f>G255*AO255</f>
        <v>0</v>
      </c>
      <c r="BI255" s="55">
        <f>G255*AP255</f>
        <v>0</v>
      </c>
      <c r="BJ255" s="55">
        <f>G255*H255</f>
        <v>0</v>
      </c>
      <c r="BK255" s="55"/>
      <c r="BL255" s="55">
        <v>60</v>
      </c>
      <c r="BW255" s="55">
        <v>21</v>
      </c>
      <c r="BX255" s="3" t="s">
        <v>396</v>
      </c>
    </row>
    <row r="256" spans="1:76" x14ac:dyDescent="0.25">
      <c r="A256" s="60"/>
      <c r="D256" s="61" t="s">
        <v>393</v>
      </c>
      <c r="E256" s="61" t="s">
        <v>372</v>
      </c>
      <c r="G256" s="62">
        <v>17.317599999999999</v>
      </c>
      <c r="M256" s="63"/>
    </row>
    <row r="257" spans="1:76" ht="51" x14ac:dyDescent="0.25">
      <c r="A257" s="60"/>
      <c r="C257" s="64" t="s">
        <v>127</v>
      </c>
      <c r="D257" s="159" t="s">
        <v>397</v>
      </c>
      <c r="E257" s="160"/>
      <c r="F257" s="160"/>
      <c r="G257" s="160"/>
      <c r="H257" s="161"/>
      <c r="I257" s="160"/>
      <c r="J257" s="160"/>
      <c r="K257" s="160"/>
      <c r="L257" s="160"/>
      <c r="M257" s="162"/>
      <c r="BX257" s="65" t="s">
        <v>397</v>
      </c>
    </row>
    <row r="258" spans="1:76" x14ac:dyDescent="0.25">
      <c r="A258" s="50" t="s">
        <v>4</v>
      </c>
      <c r="B258" s="51" t="s">
        <v>4</v>
      </c>
      <c r="C258" s="51" t="s">
        <v>398</v>
      </c>
      <c r="D258" s="153" t="s">
        <v>399</v>
      </c>
      <c r="E258" s="154"/>
      <c r="F258" s="52" t="s">
        <v>78</v>
      </c>
      <c r="G258" s="52" t="s">
        <v>78</v>
      </c>
      <c r="H258" s="53" t="s">
        <v>78</v>
      </c>
      <c r="I258" s="26">
        <f>SUM(I259:I344)</f>
        <v>0</v>
      </c>
      <c r="J258" s="33" t="s">
        <v>4</v>
      </c>
      <c r="K258" s="33" t="s">
        <v>4</v>
      </c>
      <c r="L258" s="26">
        <f>SUM(L259:L344)</f>
        <v>14.510315952000001</v>
      </c>
      <c r="M258" s="54" t="s">
        <v>4</v>
      </c>
      <c r="AI258" s="33" t="s">
        <v>4</v>
      </c>
      <c r="AS258" s="26">
        <f>SUM(AJ259:AJ344)</f>
        <v>0</v>
      </c>
      <c r="AT258" s="26">
        <f>SUM(AK259:AK344)</f>
        <v>0</v>
      </c>
      <c r="AU258" s="26">
        <f>SUM(AL259:AL344)</f>
        <v>0</v>
      </c>
    </row>
    <row r="259" spans="1:76" x14ac:dyDescent="0.25">
      <c r="A259" s="1" t="s">
        <v>400</v>
      </c>
      <c r="B259" s="2" t="s">
        <v>4</v>
      </c>
      <c r="C259" s="2" t="s">
        <v>401</v>
      </c>
      <c r="D259" s="82" t="s">
        <v>402</v>
      </c>
      <c r="E259" s="83"/>
      <c r="F259" s="2" t="s">
        <v>157</v>
      </c>
      <c r="G259" s="55">
        <v>1013.1356</v>
      </c>
      <c r="H259" s="56">
        <v>0</v>
      </c>
      <c r="I259" s="55">
        <f>G259*H259</f>
        <v>0</v>
      </c>
      <c r="J259" s="55">
        <v>0</v>
      </c>
      <c r="K259" s="55">
        <v>0</v>
      </c>
      <c r="L259" s="55">
        <f>G259*K259</f>
        <v>0</v>
      </c>
      <c r="M259" s="57" t="s">
        <v>122</v>
      </c>
      <c r="Z259" s="55">
        <f>IF(AQ259="5",BJ259,0)</f>
        <v>0</v>
      </c>
      <c r="AB259" s="55">
        <f>IF(AQ259="1",BH259,0)</f>
        <v>0</v>
      </c>
      <c r="AC259" s="55">
        <f>IF(AQ259="1",BI259,0)</f>
        <v>0</v>
      </c>
      <c r="AD259" s="55">
        <f>IF(AQ259="7",BH259,0)</f>
        <v>0</v>
      </c>
      <c r="AE259" s="55">
        <f>IF(AQ259="7",BI259,0)</f>
        <v>0</v>
      </c>
      <c r="AF259" s="55">
        <f>IF(AQ259="2",BH259,0)</f>
        <v>0</v>
      </c>
      <c r="AG259" s="55">
        <f>IF(AQ259="2",BI259,0)</f>
        <v>0</v>
      </c>
      <c r="AH259" s="55">
        <f>IF(AQ259="0",BJ259,0)</f>
        <v>0</v>
      </c>
      <c r="AI259" s="33" t="s">
        <v>4</v>
      </c>
      <c r="AJ259" s="55">
        <f>IF(AN259=0,I259,0)</f>
        <v>0</v>
      </c>
      <c r="AK259" s="55">
        <f>IF(AN259=12,I259,0)</f>
        <v>0</v>
      </c>
      <c r="AL259" s="55">
        <f>IF(AN259=21,I259,0)</f>
        <v>0</v>
      </c>
      <c r="AN259" s="55">
        <v>21</v>
      </c>
      <c r="AO259" s="55">
        <f>H259*0.012307695</f>
        <v>0</v>
      </c>
      <c r="AP259" s="55">
        <f>H259*(1-0.012307695)</f>
        <v>0</v>
      </c>
      <c r="AQ259" s="58" t="s">
        <v>118</v>
      </c>
      <c r="AV259" s="55">
        <f>AW259+AX259</f>
        <v>0</v>
      </c>
      <c r="AW259" s="55">
        <f>G259*AO259</f>
        <v>0</v>
      </c>
      <c r="AX259" s="55">
        <f>G259*AP259</f>
        <v>0</v>
      </c>
      <c r="AY259" s="58" t="s">
        <v>403</v>
      </c>
      <c r="AZ259" s="58" t="s">
        <v>279</v>
      </c>
      <c r="BA259" s="33" t="s">
        <v>125</v>
      </c>
      <c r="BB259" s="59">
        <v>100028</v>
      </c>
      <c r="BC259" s="55">
        <f>AW259+AX259</f>
        <v>0</v>
      </c>
      <c r="BD259" s="55">
        <f>H259/(100-BE259)*100</f>
        <v>0</v>
      </c>
      <c r="BE259" s="55">
        <v>0</v>
      </c>
      <c r="BF259" s="55">
        <f>L259</f>
        <v>0</v>
      </c>
      <c r="BH259" s="55">
        <f>G259*AO259</f>
        <v>0</v>
      </c>
      <c r="BI259" s="55">
        <f>G259*AP259</f>
        <v>0</v>
      </c>
      <c r="BJ259" s="55">
        <f>G259*H259</f>
        <v>0</v>
      </c>
      <c r="BK259" s="55"/>
      <c r="BL259" s="55">
        <v>61</v>
      </c>
      <c r="BW259" s="55">
        <v>21</v>
      </c>
      <c r="BX259" s="3" t="s">
        <v>402</v>
      </c>
    </row>
    <row r="260" spans="1:76" x14ac:dyDescent="0.25">
      <c r="A260" s="60"/>
      <c r="D260" s="61" t="s">
        <v>404</v>
      </c>
      <c r="E260" s="61" t="s">
        <v>336</v>
      </c>
      <c r="G260" s="62">
        <v>-3.1520000000000001</v>
      </c>
      <c r="M260" s="63"/>
    </row>
    <row r="261" spans="1:76" x14ac:dyDescent="0.25">
      <c r="A261" s="60"/>
      <c r="D261" s="61" t="s">
        <v>405</v>
      </c>
      <c r="E261" s="61" t="s">
        <v>406</v>
      </c>
      <c r="G261" s="62">
        <v>46.692999999999998</v>
      </c>
      <c r="M261" s="63"/>
    </row>
    <row r="262" spans="1:76" x14ac:dyDescent="0.25">
      <c r="A262" s="60"/>
      <c r="D262" s="61" t="s">
        <v>338</v>
      </c>
      <c r="E262" s="61" t="s">
        <v>339</v>
      </c>
      <c r="G262" s="62">
        <v>15.303000000000001</v>
      </c>
      <c r="M262" s="63"/>
    </row>
    <row r="263" spans="1:76" x14ac:dyDescent="0.25">
      <c r="A263" s="60"/>
      <c r="D263" s="61" t="s">
        <v>340</v>
      </c>
      <c r="E263" s="61" t="s">
        <v>341</v>
      </c>
      <c r="G263" s="62">
        <v>14.125</v>
      </c>
      <c r="M263" s="63"/>
    </row>
    <row r="264" spans="1:76" x14ac:dyDescent="0.25">
      <c r="A264" s="60"/>
      <c r="D264" s="61" t="s">
        <v>342</v>
      </c>
      <c r="E264" s="61" t="s">
        <v>343</v>
      </c>
      <c r="G264" s="62">
        <v>22.076499999999999</v>
      </c>
      <c r="M264" s="63"/>
    </row>
    <row r="265" spans="1:76" x14ac:dyDescent="0.25">
      <c r="A265" s="60"/>
      <c r="D265" s="61" t="s">
        <v>407</v>
      </c>
      <c r="E265" s="61" t="s">
        <v>408</v>
      </c>
      <c r="G265" s="62">
        <v>13.7616</v>
      </c>
      <c r="M265" s="63"/>
    </row>
    <row r="266" spans="1:76" x14ac:dyDescent="0.25">
      <c r="A266" s="60"/>
      <c r="D266" s="61" t="s">
        <v>285</v>
      </c>
      <c r="E266" s="61" t="s">
        <v>286</v>
      </c>
      <c r="G266" s="62">
        <v>8.4</v>
      </c>
      <c r="M266" s="63"/>
    </row>
    <row r="267" spans="1:76" x14ac:dyDescent="0.25">
      <c r="A267" s="60"/>
      <c r="D267" s="61" t="s">
        <v>409</v>
      </c>
      <c r="E267" s="61" t="s">
        <v>410</v>
      </c>
      <c r="G267" s="62">
        <v>13.170500000000001</v>
      </c>
      <c r="M267" s="63"/>
    </row>
    <row r="268" spans="1:76" x14ac:dyDescent="0.25">
      <c r="A268" s="60"/>
      <c r="D268" s="61" t="s">
        <v>346</v>
      </c>
      <c r="E268" s="61" t="s">
        <v>288</v>
      </c>
      <c r="G268" s="62">
        <v>8.0555000000000003</v>
      </c>
      <c r="M268" s="63"/>
    </row>
    <row r="269" spans="1:76" x14ac:dyDescent="0.25">
      <c r="A269" s="60"/>
      <c r="D269" s="61" t="s">
        <v>289</v>
      </c>
      <c r="E269" s="61" t="s">
        <v>290</v>
      </c>
      <c r="G269" s="62">
        <v>36.3245</v>
      </c>
      <c r="M269" s="63"/>
    </row>
    <row r="270" spans="1:76" x14ac:dyDescent="0.25">
      <c r="A270" s="60"/>
      <c r="D270" s="61" t="s">
        <v>411</v>
      </c>
      <c r="E270" s="61" t="s">
        <v>412</v>
      </c>
      <c r="G270" s="62">
        <v>5.3550000000000004</v>
      </c>
      <c r="M270" s="63"/>
    </row>
    <row r="271" spans="1:76" x14ac:dyDescent="0.25">
      <c r="A271" s="60"/>
      <c r="D271" s="61" t="s">
        <v>413</v>
      </c>
      <c r="E271" s="61" t="s">
        <v>414</v>
      </c>
      <c r="G271" s="62">
        <v>12.031000000000001</v>
      </c>
      <c r="M271" s="63"/>
    </row>
    <row r="272" spans="1:76" x14ac:dyDescent="0.25">
      <c r="A272" s="60"/>
      <c r="D272" s="61" t="s">
        <v>291</v>
      </c>
      <c r="E272" s="61" t="s">
        <v>292</v>
      </c>
      <c r="G272" s="62">
        <v>7.87</v>
      </c>
      <c r="M272" s="63"/>
    </row>
    <row r="273" spans="1:13" x14ac:dyDescent="0.25">
      <c r="A273" s="60"/>
      <c r="D273" s="61" t="s">
        <v>415</v>
      </c>
      <c r="E273" s="61" t="s">
        <v>416</v>
      </c>
      <c r="G273" s="62">
        <v>12.2165</v>
      </c>
      <c r="M273" s="63"/>
    </row>
    <row r="274" spans="1:13" x14ac:dyDescent="0.25">
      <c r="A274" s="60"/>
      <c r="D274" s="61" t="s">
        <v>293</v>
      </c>
      <c r="E274" s="61" t="s">
        <v>294</v>
      </c>
      <c r="G274" s="62">
        <v>9.9105000000000008</v>
      </c>
      <c r="M274" s="63"/>
    </row>
    <row r="275" spans="1:13" x14ac:dyDescent="0.25">
      <c r="A275" s="60"/>
      <c r="D275" s="61" t="s">
        <v>417</v>
      </c>
      <c r="E275" s="61" t="s">
        <v>418</v>
      </c>
      <c r="G275" s="62">
        <v>5.1764999999999999</v>
      </c>
      <c r="M275" s="63"/>
    </row>
    <row r="276" spans="1:13" x14ac:dyDescent="0.25">
      <c r="A276" s="60"/>
      <c r="D276" s="61" t="s">
        <v>350</v>
      </c>
      <c r="E276" s="61" t="s">
        <v>351</v>
      </c>
      <c r="G276" s="62">
        <v>38.134999999999998</v>
      </c>
      <c r="M276" s="63"/>
    </row>
    <row r="277" spans="1:13" x14ac:dyDescent="0.25">
      <c r="A277" s="60"/>
      <c r="D277" s="61" t="s">
        <v>295</v>
      </c>
      <c r="E277" s="61" t="s">
        <v>296</v>
      </c>
      <c r="G277" s="62">
        <v>21.994499999999999</v>
      </c>
      <c r="M277" s="63"/>
    </row>
    <row r="278" spans="1:13" x14ac:dyDescent="0.25">
      <c r="A278" s="60"/>
      <c r="D278" s="61" t="s">
        <v>419</v>
      </c>
      <c r="E278" s="61" t="s">
        <v>420</v>
      </c>
      <c r="G278" s="62">
        <v>11.368499999999999</v>
      </c>
      <c r="M278" s="63"/>
    </row>
    <row r="279" spans="1:13" x14ac:dyDescent="0.25">
      <c r="A279" s="60"/>
      <c r="D279" s="61" t="s">
        <v>421</v>
      </c>
      <c r="E279" s="61" t="s">
        <v>422</v>
      </c>
      <c r="G279" s="62">
        <v>10.811999999999999</v>
      </c>
      <c r="M279" s="63"/>
    </row>
    <row r="280" spans="1:13" x14ac:dyDescent="0.25">
      <c r="A280" s="60"/>
      <c r="D280" s="61" t="s">
        <v>297</v>
      </c>
      <c r="E280" s="61" t="s">
        <v>298</v>
      </c>
      <c r="G280" s="62">
        <v>21.6235</v>
      </c>
      <c r="M280" s="63"/>
    </row>
    <row r="281" spans="1:13" x14ac:dyDescent="0.25">
      <c r="A281" s="60"/>
      <c r="D281" s="61" t="s">
        <v>423</v>
      </c>
      <c r="E281" s="61" t="s">
        <v>424</v>
      </c>
      <c r="G281" s="62">
        <v>6.9615</v>
      </c>
      <c r="M281" s="63"/>
    </row>
    <row r="282" spans="1:13" x14ac:dyDescent="0.25">
      <c r="A282" s="60"/>
      <c r="D282" s="61" t="s">
        <v>366</v>
      </c>
      <c r="E282" s="61" t="s">
        <v>300</v>
      </c>
      <c r="G282" s="62">
        <v>15.8545</v>
      </c>
      <c r="M282" s="63"/>
    </row>
    <row r="283" spans="1:13" x14ac:dyDescent="0.25">
      <c r="A283" s="60"/>
      <c r="D283" s="61" t="s">
        <v>301</v>
      </c>
      <c r="E283" s="61" t="s">
        <v>302</v>
      </c>
      <c r="G283" s="62">
        <v>13.981999999999999</v>
      </c>
      <c r="M283" s="63"/>
    </row>
    <row r="284" spans="1:13" x14ac:dyDescent="0.25">
      <c r="A284" s="60"/>
      <c r="D284" s="61" t="s">
        <v>425</v>
      </c>
      <c r="E284" s="61" t="s">
        <v>426</v>
      </c>
      <c r="G284" s="62">
        <v>9.8844999999999992</v>
      </c>
      <c r="M284" s="63"/>
    </row>
    <row r="285" spans="1:13" x14ac:dyDescent="0.25">
      <c r="A285" s="60"/>
      <c r="D285" s="61" t="s">
        <v>427</v>
      </c>
      <c r="E285" s="61" t="s">
        <v>304</v>
      </c>
      <c r="G285" s="62">
        <v>36.994</v>
      </c>
      <c r="M285" s="63"/>
    </row>
    <row r="286" spans="1:13" x14ac:dyDescent="0.25">
      <c r="A286" s="60"/>
      <c r="D286" s="61" t="s">
        <v>428</v>
      </c>
      <c r="E286" s="61" t="s">
        <v>429</v>
      </c>
      <c r="G286" s="62">
        <v>18.895499999999998</v>
      </c>
      <c r="M286" s="63"/>
    </row>
    <row r="287" spans="1:13" x14ac:dyDescent="0.25">
      <c r="A287" s="60"/>
      <c r="D287" s="61" t="s">
        <v>430</v>
      </c>
      <c r="E287" s="61" t="s">
        <v>308</v>
      </c>
      <c r="G287" s="62">
        <v>22.050999999999998</v>
      </c>
      <c r="M287" s="63"/>
    </row>
    <row r="288" spans="1:13" x14ac:dyDescent="0.25">
      <c r="A288" s="60"/>
      <c r="D288" s="61" t="s">
        <v>431</v>
      </c>
      <c r="E288" s="61" t="s">
        <v>432</v>
      </c>
      <c r="G288" s="62">
        <v>19.5228</v>
      </c>
      <c r="M288" s="63"/>
    </row>
    <row r="289" spans="1:13" x14ac:dyDescent="0.25">
      <c r="A289" s="60"/>
      <c r="D289" s="61" t="s">
        <v>309</v>
      </c>
      <c r="E289" s="61" t="s">
        <v>310</v>
      </c>
      <c r="G289" s="62">
        <v>207.44200000000001</v>
      </c>
      <c r="M289" s="63"/>
    </row>
    <row r="290" spans="1:13" x14ac:dyDescent="0.25">
      <c r="A290" s="60"/>
      <c r="D290" s="61" t="s">
        <v>433</v>
      </c>
      <c r="E290" s="61" t="s">
        <v>434</v>
      </c>
      <c r="G290" s="62">
        <v>10.856999999999999</v>
      </c>
      <c r="M290" s="63"/>
    </row>
    <row r="291" spans="1:13" x14ac:dyDescent="0.25">
      <c r="A291" s="60"/>
      <c r="D291" s="61" t="s">
        <v>435</v>
      </c>
      <c r="E291" s="61" t="s">
        <v>436</v>
      </c>
      <c r="G291" s="62">
        <v>9.1931999999999992</v>
      </c>
      <c r="M291" s="63"/>
    </row>
    <row r="292" spans="1:13" x14ac:dyDescent="0.25">
      <c r="A292" s="60"/>
      <c r="D292" s="61" t="s">
        <v>437</v>
      </c>
      <c r="E292" s="61" t="s">
        <v>438</v>
      </c>
      <c r="G292" s="62">
        <v>11.082599999999999</v>
      </c>
      <c r="M292" s="63"/>
    </row>
    <row r="293" spans="1:13" x14ac:dyDescent="0.25">
      <c r="A293" s="60"/>
      <c r="D293" s="61" t="s">
        <v>311</v>
      </c>
      <c r="E293" s="61" t="s">
        <v>312</v>
      </c>
      <c r="G293" s="62">
        <v>20.164000000000001</v>
      </c>
      <c r="M293" s="63"/>
    </row>
    <row r="294" spans="1:13" x14ac:dyDescent="0.25">
      <c r="A294" s="60"/>
      <c r="D294" s="61" t="s">
        <v>359</v>
      </c>
      <c r="E294" s="61" t="s">
        <v>314</v>
      </c>
      <c r="G294" s="62">
        <v>29.962499999999999</v>
      </c>
      <c r="M294" s="63"/>
    </row>
    <row r="295" spans="1:13" x14ac:dyDescent="0.25">
      <c r="A295" s="60"/>
      <c r="D295" s="61" t="s">
        <v>315</v>
      </c>
      <c r="E295" s="61" t="s">
        <v>316</v>
      </c>
      <c r="G295" s="62">
        <v>21.641500000000001</v>
      </c>
      <c r="M295" s="63"/>
    </row>
    <row r="296" spans="1:13" x14ac:dyDescent="0.25">
      <c r="A296" s="60"/>
      <c r="D296" s="61" t="s">
        <v>317</v>
      </c>
      <c r="E296" s="61" t="s">
        <v>318</v>
      </c>
      <c r="G296" s="62">
        <v>13.188499999999999</v>
      </c>
      <c r="M296" s="63"/>
    </row>
    <row r="297" spans="1:13" x14ac:dyDescent="0.25">
      <c r="A297" s="60"/>
      <c r="D297" s="61" t="s">
        <v>439</v>
      </c>
      <c r="E297" s="61" t="s">
        <v>440</v>
      </c>
      <c r="G297" s="62">
        <v>20.236999999999998</v>
      </c>
      <c r="M297" s="63"/>
    </row>
    <row r="298" spans="1:13" x14ac:dyDescent="0.25">
      <c r="A298" s="60"/>
      <c r="D298" s="61" t="s">
        <v>319</v>
      </c>
      <c r="E298" s="61" t="s">
        <v>320</v>
      </c>
      <c r="G298" s="62">
        <v>11.7095</v>
      </c>
      <c r="M298" s="63"/>
    </row>
    <row r="299" spans="1:13" x14ac:dyDescent="0.25">
      <c r="A299" s="60"/>
      <c r="D299" s="61" t="s">
        <v>441</v>
      </c>
      <c r="E299" s="61" t="s">
        <v>442</v>
      </c>
      <c r="G299" s="62">
        <v>39.592799999999997</v>
      </c>
      <c r="M299" s="63"/>
    </row>
    <row r="300" spans="1:13" x14ac:dyDescent="0.25">
      <c r="A300" s="60"/>
      <c r="D300" s="61" t="s">
        <v>321</v>
      </c>
      <c r="E300" s="61" t="s">
        <v>322</v>
      </c>
      <c r="G300" s="62">
        <v>20.312999999999999</v>
      </c>
      <c r="M300" s="63"/>
    </row>
    <row r="301" spans="1:13" x14ac:dyDescent="0.25">
      <c r="A301" s="60"/>
      <c r="D301" s="61" t="s">
        <v>323</v>
      </c>
      <c r="E301" s="61" t="s">
        <v>324</v>
      </c>
      <c r="G301" s="62">
        <v>21.119</v>
      </c>
      <c r="M301" s="63"/>
    </row>
    <row r="302" spans="1:13" x14ac:dyDescent="0.25">
      <c r="A302" s="60"/>
      <c r="D302" s="61" t="s">
        <v>325</v>
      </c>
      <c r="E302" s="61" t="s">
        <v>326</v>
      </c>
      <c r="G302" s="62">
        <v>20.991499999999998</v>
      </c>
      <c r="M302" s="63"/>
    </row>
    <row r="303" spans="1:13" x14ac:dyDescent="0.25">
      <c r="A303" s="60"/>
      <c r="D303" s="61" t="s">
        <v>443</v>
      </c>
      <c r="E303" s="61" t="s">
        <v>444</v>
      </c>
      <c r="G303" s="62">
        <v>11.674799999999999</v>
      </c>
      <c r="M303" s="63"/>
    </row>
    <row r="304" spans="1:13" x14ac:dyDescent="0.25">
      <c r="A304" s="60"/>
      <c r="D304" s="61" t="s">
        <v>445</v>
      </c>
      <c r="E304" s="61" t="s">
        <v>446</v>
      </c>
      <c r="G304" s="62">
        <v>8.8547999999999991</v>
      </c>
      <c r="M304" s="63"/>
    </row>
    <row r="305" spans="1:76" x14ac:dyDescent="0.25">
      <c r="A305" s="60"/>
      <c r="D305" s="61" t="s">
        <v>327</v>
      </c>
      <c r="E305" s="61" t="s">
        <v>328</v>
      </c>
      <c r="G305" s="62">
        <v>37.616500000000002</v>
      </c>
      <c r="M305" s="63"/>
    </row>
    <row r="306" spans="1:76" x14ac:dyDescent="0.25">
      <c r="A306" s="60"/>
      <c r="D306" s="61" t="s">
        <v>329</v>
      </c>
      <c r="E306" s="61" t="s">
        <v>330</v>
      </c>
      <c r="G306" s="62">
        <v>22.099</v>
      </c>
      <c r="M306" s="63"/>
    </row>
    <row r="307" spans="1:76" x14ac:dyDescent="0.25">
      <c r="A307" s="1" t="s">
        <v>447</v>
      </c>
      <c r="B307" s="2" t="s">
        <v>4</v>
      </c>
      <c r="C307" s="2" t="s">
        <v>448</v>
      </c>
      <c r="D307" s="82" t="s">
        <v>449</v>
      </c>
      <c r="E307" s="83"/>
      <c r="F307" s="2" t="s">
        <v>219</v>
      </c>
      <c r="G307" s="55">
        <v>96.8</v>
      </c>
      <c r="H307" s="56">
        <v>0</v>
      </c>
      <c r="I307" s="55">
        <f>G307*H307</f>
        <v>0</v>
      </c>
      <c r="J307" s="55">
        <v>0</v>
      </c>
      <c r="K307" s="55">
        <v>4.6000000000000001E-4</v>
      </c>
      <c r="L307" s="55">
        <f>G307*K307</f>
        <v>4.4527999999999998E-2</v>
      </c>
      <c r="M307" s="57" t="s">
        <v>122</v>
      </c>
      <c r="Z307" s="55">
        <f>IF(AQ307="5",BJ307,0)</f>
        <v>0</v>
      </c>
      <c r="AB307" s="55">
        <f>IF(AQ307="1",BH307,0)</f>
        <v>0</v>
      </c>
      <c r="AC307" s="55">
        <f>IF(AQ307="1",BI307,0)</f>
        <v>0</v>
      </c>
      <c r="AD307" s="55">
        <f>IF(AQ307="7",BH307,0)</f>
        <v>0</v>
      </c>
      <c r="AE307" s="55">
        <f>IF(AQ307="7",BI307,0)</f>
        <v>0</v>
      </c>
      <c r="AF307" s="55">
        <f>IF(AQ307="2",BH307,0)</f>
        <v>0</v>
      </c>
      <c r="AG307" s="55">
        <f>IF(AQ307="2",BI307,0)</f>
        <v>0</v>
      </c>
      <c r="AH307" s="55">
        <f>IF(AQ307="0",BJ307,0)</f>
        <v>0</v>
      </c>
      <c r="AI307" s="33" t="s">
        <v>4</v>
      </c>
      <c r="AJ307" s="55">
        <f>IF(AN307=0,I307,0)</f>
        <v>0</v>
      </c>
      <c r="AK307" s="55">
        <f>IF(AN307=12,I307,0)</f>
        <v>0</v>
      </c>
      <c r="AL307" s="55">
        <f>IF(AN307=21,I307,0)</f>
        <v>0</v>
      </c>
      <c r="AN307" s="55">
        <v>21</v>
      </c>
      <c r="AO307" s="55">
        <f>H307*0.515709091</f>
        <v>0</v>
      </c>
      <c r="AP307" s="55">
        <f>H307*(1-0.515709091)</f>
        <v>0</v>
      </c>
      <c r="AQ307" s="58" t="s">
        <v>118</v>
      </c>
      <c r="AV307" s="55">
        <f>AW307+AX307</f>
        <v>0</v>
      </c>
      <c r="AW307" s="55">
        <f>G307*AO307</f>
        <v>0</v>
      </c>
      <c r="AX307" s="55">
        <f>G307*AP307</f>
        <v>0</v>
      </c>
      <c r="AY307" s="58" t="s">
        <v>403</v>
      </c>
      <c r="AZ307" s="58" t="s">
        <v>279</v>
      </c>
      <c r="BA307" s="33" t="s">
        <v>125</v>
      </c>
      <c r="BB307" s="59">
        <v>100028</v>
      </c>
      <c r="BC307" s="55">
        <f>AW307+AX307</f>
        <v>0</v>
      </c>
      <c r="BD307" s="55">
        <f>H307/(100-BE307)*100</f>
        <v>0</v>
      </c>
      <c r="BE307" s="55">
        <v>0</v>
      </c>
      <c r="BF307" s="55">
        <f>L307</f>
        <v>4.4527999999999998E-2</v>
      </c>
      <c r="BH307" s="55">
        <f>G307*AO307</f>
        <v>0</v>
      </c>
      <c r="BI307" s="55">
        <f>G307*AP307</f>
        <v>0</v>
      </c>
      <c r="BJ307" s="55">
        <f>G307*H307</f>
        <v>0</v>
      </c>
      <c r="BK307" s="55"/>
      <c r="BL307" s="55">
        <v>61</v>
      </c>
      <c r="BW307" s="55">
        <v>21</v>
      </c>
      <c r="BX307" s="3" t="s">
        <v>449</v>
      </c>
    </row>
    <row r="308" spans="1:76" x14ac:dyDescent="0.25">
      <c r="A308" s="60"/>
      <c r="D308" s="61" t="s">
        <v>450</v>
      </c>
      <c r="E308" s="61" t="s">
        <v>406</v>
      </c>
      <c r="G308" s="62">
        <v>15.9</v>
      </c>
      <c r="M308" s="63"/>
    </row>
    <row r="309" spans="1:76" x14ac:dyDescent="0.25">
      <c r="A309" s="60"/>
      <c r="D309" s="61" t="s">
        <v>451</v>
      </c>
      <c r="E309" s="61" t="s">
        <v>452</v>
      </c>
      <c r="G309" s="62">
        <v>5.3</v>
      </c>
      <c r="M309" s="63"/>
    </row>
    <row r="310" spans="1:76" x14ac:dyDescent="0.25">
      <c r="A310" s="60"/>
      <c r="D310" s="61" t="s">
        <v>453</v>
      </c>
      <c r="E310" s="61" t="s">
        <v>454</v>
      </c>
      <c r="G310" s="62">
        <v>2.65</v>
      </c>
      <c r="M310" s="63"/>
    </row>
    <row r="311" spans="1:76" x14ac:dyDescent="0.25">
      <c r="A311" s="60"/>
      <c r="D311" s="61" t="s">
        <v>455</v>
      </c>
      <c r="E311" s="61" t="s">
        <v>456</v>
      </c>
      <c r="G311" s="62">
        <v>7.95</v>
      </c>
      <c r="M311" s="63"/>
    </row>
    <row r="312" spans="1:76" x14ac:dyDescent="0.25">
      <c r="A312" s="60"/>
      <c r="D312" s="61" t="s">
        <v>457</v>
      </c>
      <c r="E312" s="61" t="s">
        <v>458</v>
      </c>
      <c r="G312" s="62">
        <v>13.25</v>
      </c>
      <c r="M312" s="63"/>
    </row>
    <row r="313" spans="1:76" x14ac:dyDescent="0.25">
      <c r="A313" s="60"/>
      <c r="D313" s="61" t="s">
        <v>455</v>
      </c>
      <c r="E313" s="61" t="s">
        <v>459</v>
      </c>
      <c r="G313" s="62">
        <v>7.95</v>
      </c>
      <c r="M313" s="63"/>
    </row>
    <row r="314" spans="1:76" x14ac:dyDescent="0.25">
      <c r="A314" s="60"/>
      <c r="D314" s="61" t="s">
        <v>451</v>
      </c>
      <c r="E314" s="61" t="s">
        <v>460</v>
      </c>
      <c r="G314" s="62">
        <v>5.3</v>
      </c>
      <c r="M314" s="63"/>
    </row>
    <row r="315" spans="1:76" x14ac:dyDescent="0.25">
      <c r="A315" s="60"/>
      <c r="D315" s="61" t="s">
        <v>450</v>
      </c>
      <c r="E315" s="61" t="s">
        <v>461</v>
      </c>
      <c r="G315" s="62">
        <v>15.9</v>
      </c>
      <c r="M315" s="63"/>
    </row>
    <row r="316" spans="1:76" x14ac:dyDescent="0.25">
      <c r="A316" s="60"/>
      <c r="D316" s="61" t="s">
        <v>462</v>
      </c>
      <c r="E316" s="61" t="s">
        <v>463</v>
      </c>
      <c r="G316" s="62">
        <v>19.95</v>
      </c>
      <c r="M316" s="63"/>
    </row>
    <row r="317" spans="1:76" x14ac:dyDescent="0.25">
      <c r="A317" s="60"/>
      <c r="D317" s="61" t="s">
        <v>453</v>
      </c>
      <c r="E317" s="61" t="s">
        <v>464</v>
      </c>
      <c r="G317" s="62">
        <v>2.65</v>
      </c>
      <c r="M317" s="63"/>
    </row>
    <row r="318" spans="1:76" x14ac:dyDescent="0.25">
      <c r="A318" s="60"/>
      <c r="C318" s="64" t="s">
        <v>127</v>
      </c>
      <c r="D318" s="159" t="s">
        <v>465</v>
      </c>
      <c r="E318" s="160"/>
      <c r="F318" s="160"/>
      <c r="G318" s="160"/>
      <c r="H318" s="161"/>
      <c r="I318" s="160"/>
      <c r="J318" s="160"/>
      <c r="K318" s="160"/>
      <c r="L318" s="160"/>
      <c r="M318" s="162"/>
      <c r="BX318" s="65" t="s">
        <v>465</v>
      </c>
    </row>
    <row r="319" spans="1:76" x14ac:dyDescent="0.25">
      <c r="A319" s="1" t="s">
        <v>466</v>
      </c>
      <c r="B319" s="2" t="s">
        <v>4</v>
      </c>
      <c r="C319" s="2" t="s">
        <v>467</v>
      </c>
      <c r="D319" s="82" t="s">
        <v>468</v>
      </c>
      <c r="E319" s="83"/>
      <c r="F319" s="2" t="s">
        <v>157</v>
      </c>
      <c r="G319" s="55">
        <v>268.7672</v>
      </c>
      <c r="H319" s="56">
        <v>0</v>
      </c>
      <c r="I319" s="55">
        <f>G319*H319</f>
        <v>0</v>
      </c>
      <c r="J319" s="55">
        <v>0</v>
      </c>
      <c r="K319" s="55">
        <v>5.3659999999999999E-2</v>
      </c>
      <c r="L319" s="55">
        <f>G319*K319</f>
        <v>14.422047952</v>
      </c>
      <c r="M319" s="57" t="s">
        <v>122</v>
      </c>
      <c r="Z319" s="55">
        <f>IF(AQ319="5",BJ319,0)</f>
        <v>0</v>
      </c>
      <c r="AB319" s="55">
        <f>IF(AQ319="1",BH319,0)</f>
        <v>0</v>
      </c>
      <c r="AC319" s="55">
        <f>IF(AQ319="1",BI319,0)</f>
        <v>0</v>
      </c>
      <c r="AD319" s="55">
        <f>IF(AQ319="7",BH319,0)</f>
        <v>0</v>
      </c>
      <c r="AE319" s="55">
        <f>IF(AQ319="7",BI319,0)</f>
        <v>0</v>
      </c>
      <c r="AF319" s="55">
        <f>IF(AQ319="2",BH319,0)</f>
        <v>0</v>
      </c>
      <c r="AG319" s="55">
        <f>IF(AQ319="2",BI319,0)</f>
        <v>0</v>
      </c>
      <c r="AH319" s="55">
        <f>IF(AQ319="0",BJ319,0)</f>
        <v>0</v>
      </c>
      <c r="AI319" s="33" t="s">
        <v>4</v>
      </c>
      <c r="AJ319" s="55">
        <f>IF(AN319=0,I319,0)</f>
        <v>0</v>
      </c>
      <c r="AK319" s="55">
        <f>IF(AN319=12,I319,0)</f>
        <v>0</v>
      </c>
      <c r="AL319" s="55">
        <f>IF(AN319=21,I319,0)</f>
        <v>0</v>
      </c>
      <c r="AN319" s="55">
        <v>21</v>
      </c>
      <c r="AO319" s="55">
        <f>H319*0.523220979</f>
        <v>0</v>
      </c>
      <c r="AP319" s="55">
        <f>H319*(1-0.523220979)</f>
        <v>0</v>
      </c>
      <c r="AQ319" s="58" t="s">
        <v>118</v>
      </c>
      <c r="AV319" s="55">
        <f>AW319+AX319</f>
        <v>0</v>
      </c>
      <c r="AW319" s="55">
        <f>G319*AO319</f>
        <v>0</v>
      </c>
      <c r="AX319" s="55">
        <f>G319*AP319</f>
        <v>0</v>
      </c>
      <c r="AY319" s="58" t="s">
        <v>403</v>
      </c>
      <c r="AZ319" s="58" t="s">
        <v>279</v>
      </c>
      <c r="BA319" s="33" t="s">
        <v>125</v>
      </c>
      <c r="BB319" s="59">
        <v>100028</v>
      </c>
      <c r="BC319" s="55">
        <f>AW319+AX319</f>
        <v>0</v>
      </c>
      <c r="BD319" s="55">
        <f>H319/(100-BE319)*100</f>
        <v>0</v>
      </c>
      <c r="BE319" s="55">
        <v>0</v>
      </c>
      <c r="BF319" s="55">
        <f>L319</f>
        <v>14.422047952</v>
      </c>
      <c r="BH319" s="55">
        <f>G319*AO319</f>
        <v>0</v>
      </c>
      <c r="BI319" s="55">
        <f>G319*AP319</f>
        <v>0</v>
      </c>
      <c r="BJ319" s="55">
        <f>G319*H319</f>
        <v>0</v>
      </c>
      <c r="BK319" s="55"/>
      <c r="BL319" s="55">
        <v>61</v>
      </c>
      <c r="BW319" s="55">
        <v>21</v>
      </c>
      <c r="BX319" s="3" t="s">
        <v>468</v>
      </c>
    </row>
    <row r="320" spans="1:76" ht="13.5" customHeight="1" x14ac:dyDescent="0.25">
      <c r="A320" s="60"/>
      <c r="D320" s="155" t="s">
        <v>469</v>
      </c>
      <c r="E320" s="156"/>
      <c r="F320" s="156"/>
      <c r="G320" s="156"/>
      <c r="H320" s="157"/>
      <c r="I320" s="156"/>
      <c r="J320" s="156"/>
      <c r="K320" s="156"/>
      <c r="L320" s="156"/>
      <c r="M320" s="158"/>
    </row>
    <row r="321" spans="1:13" x14ac:dyDescent="0.25">
      <c r="A321" s="60"/>
      <c r="D321" s="61" t="s">
        <v>470</v>
      </c>
      <c r="E321" s="61" t="s">
        <v>406</v>
      </c>
      <c r="G321" s="62">
        <v>23.1875</v>
      </c>
      <c r="M321" s="63"/>
    </row>
    <row r="322" spans="1:13" x14ac:dyDescent="0.25">
      <c r="A322" s="60"/>
      <c r="D322" s="61" t="s">
        <v>471</v>
      </c>
      <c r="E322" s="61" t="s">
        <v>472</v>
      </c>
      <c r="G322" s="62">
        <v>5.7119999999999997</v>
      </c>
      <c r="M322" s="63"/>
    </row>
    <row r="323" spans="1:13" x14ac:dyDescent="0.25">
      <c r="A323" s="60"/>
      <c r="D323" s="61" t="s">
        <v>360</v>
      </c>
      <c r="E323" s="61" t="s">
        <v>408</v>
      </c>
      <c r="G323" s="62">
        <v>12.932</v>
      </c>
      <c r="M323" s="63"/>
    </row>
    <row r="324" spans="1:13" x14ac:dyDescent="0.25">
      <c r="A324" s="60"/>
      <c r="D324" s="61" t="s">
        <v>409</v>
      </c>
      <c r="E324" s="61" t="s">
        <v>410</v>
      </c>
      <c r="G324" s="62">
        <v>13.170500000000001</v>
      </c>
      <c r="M324" s="63"/>
    </row>
    <row r="325" spans="1:13" x14ac:dyDescent="0.25">
      <c r="A325" s="60"/>
      <c r="D325" s="61" t="s">
        <v>411</v>
      </c>
      <c r="E325" s="61" t="s">
        <v>412</v>
      </c>
      <c r="G325" s="62">
        <v>5.3550000000000004</v>
      </c>
      <c r="M325" s="63"/>
    </row>
    <row r="326" spans="1:13" x14ac:dyDescent="0.25">
      <c r="A326" s="60"/>
      <c r="D326" s="61" t="s">
        <v>413</v>
      </c>
      <c r="E326" s="61" t="s">
        <v>414</v>
      </c>
      <c r="G326" s="62">
        <v>12.031000000000001</v>
      </c>
      <c r="M326" s="63"/>
    </row>
    <row r="327" spans="1:13" x14ac:dyDescent="0.25">
      <c r="A327" s="60"/>
      <c r="D327" s="61" t="s">
        <v>415</v>
      </c>
      <c r="E327" s="61" t="s">
        <v>416</v>
      </c>
      <c r="G327" s="62">
        <v>12.2165</v>
      </c>
      <c r="M327" s="63"/>
    </row>
    <row r="328" spans="1:13" x14ac:dyDescent="0.25">
      <c r="A328" s="60"/>
      <c r="D328" s="61" t="s">
        <v>417</v>
      </c>
      <c r="E328" s="61" t="s">
        <v>418</v>
      </c>
      <c r="G328" s="62">
        <v>5.1764999999999999</v>
      </c>
      <c r="M328" s="63"/>
    </row>
    <row r="329" spans="1:13" x14ac:dyDescent="0.25">
      <c r="A329" s="60"/>
      <c r="D329" s="61" t="s">
        <v>419</v>
      </c>
      <c r="E329" s="61" t="s">
        <v>420</v>
      </c>
      <c r="G329" s="62">
        <v>11.368499999999999</v>
      </c>
      <c r="M329" s="63"/>
    </row>
    <row r="330" spans="1:13" x14ac:dyDescent="0.25">
      <c r="A330" s="60"/>
      <c r="D330" s="61" t="s">
        <v>421</v>
      </c>
      <c r="E330" s="61" t="s">
        <v>422</v>
      </c>
      <c r="G330" s="62">
        <v>10.811999999999999</v>
      </c>
      <c r="M330" s="63"/>
    </row>
    <row r="331" spans="1:13" x14ac:dyDescent="0.25">
      <c r="A331" s="60"/>
      <c r="D331" s="61" t="s">
        <v>423</v>
      </c>
      <c r="E331" s="61" t="s">
        <v>424</v>
      </c>
      <c r="G331" s="62">
        <v>6.9615</v>
      </c>
      <c r="M331" s="63"/>
    </row>
    <row r="332" spans="1:13" x14ac:dyDescent="0.25">
      <c r="A332" s="60"/>
      <c r="D332" s="61" t="s">
        <v>473</v>
      </c>
      <c r="E332" s="61" t="s">
        <v>429</v>
      </c>
      <c r="G332" s="62">
        <v>18.8292</v>
      </c>
      <c r="M332" s="63"/>
    </row>
    <row r="333" spans="1:13" x14ac:dyDescent="0.25">
      <c r="A333" s="60"/>
      <c r="D333" s="61" t="s">
        <v>431</v>
      </c>
      <c r="E333" s="61" t="s">
        <v>432</v>
      </c>
      <c r="G333" s="62">
        <v>19.5228</v>
      </c>
      <c r="M333" s="63"/>
    </row>
    <row r="334" spans="1:13" x14ac:dyDescent="0.25">
      <c r="A334" s="60"/>
      <c r="D334" s="61" t="s">
        <v>433</v>
      </c>
      <c r="E334" s="61" t="s">
        <v>434</v>
      </c>
      <c r="G334" s="62">
        <v>10.856999999999999</v>
      </c>
      <c r="M334" s="63"/>
    </row>
    <row r="335" spans="1:13" x14ac:dyDescent="0.25">
      <c r="A335" s="60"/>
      <c r="D335" s="61" t="s">
        <v>435</v>
      </c>
      <c r="E335" s="61" t="s">
        <v>436</v>
      </c>
      <c r="G335" s="62">
        <v>9.1931999999999992</v>
      </c>
      <c r="M335" s="63"/>
    </row>
    <row r="336" spans="1:13" x14ac:dyDescent="0.25">
      <c r="A336" s="60"/>
      <c r="D336" s="61" t="s">
        <v>437</v>
      </c>
      <c r="E336" s="61" t="s">
        <v>438</v>
      </c>
      <c r="G336" s="62">
        <v>11.082599999999999</v>
      </c>
      <c r="M336" s="63"/>
    </row>
    <row r="337" spans="1:76" x14ac:dyDescent="0.25">
      <c r="A337" s="60"/>
      <c r="D337" s="61" t="s">
        <v>439</v>
      </c>
      <c r="E337" s="61" t="s">
        <v>440</v>
      </c>
      <c r="G337" s="62">
        <v>20.236999999999998</v>
      </c>
      <c r="M337" s="63"/>
    </row>
    <row r="338" spans="1:76" x14ac:dyDescent="0.25">
      <c r="A338" s="60"/>
      <c r="D338" s="61" t="s">
        <v>441</v>
      </c>
      <c r="E338" s="61" t="s">
        <v>442</v>
      </c>
      <c r="G338" s="62">
        <v>39.592799999999997</v>
      </c>
      <c r="M338" s="63"/>
    </row>
    <row r="339" spans="1:76" x14ac:dyDescent="0.25">
      <c r="A339" s="60"/>
      <c r="D339" s="61" t="s">
        <v>443</v>
      </c>
      <c r="E339" s="61" t="s">
        <v>444</v>
      </c>
      <c r="G339" s="62">
        <v>11.674799999999999</v>
      </c>
      <c r="M339" s="63"/>
    </row>
    <row r="340" spans="1:76" x14ac:dyDescent="0.25">
      <c r="A340" s="60"/>
      <c r="D340" s="61" t="s">
        <v>445</v>
      </c>
      <c r="E340" s="61" t="s">
        <v>446</v>
      </c>
      <c r="G340" s="62">
        <v>8.8547999999999991</v>
      </c>
      <c r="M340" s="63"/>
    </row>
    <row r="341" spans="1:76" ht="51" x14ac:dyDescent="0.25">
      <c r="A341" s="60"/>
      <c r="C341" s="64" t="s">
        <v>127</v>
      </c>
      <c r="D341" s="159" t="s">
        <v>474</v>
      </c>
      <c r="E341" s="160"/>
      <c r="F341" s="160"/>
      <c r="G341" s="160"/>
      <c r="H341" s="161"/>
      <c r="I341" s="160"/>
      <c r="J341" s="160"/>
      <c r="K341" s="160"/>
      <c r="L341" s="160"/>
      <c r="M341" s="162"/>
      <c r="BX341" s="65" t="s">
        <v>474</v>
      </c>
    </row>
    <row r="342" spans="1:76" x14ac:dyDescent="0.25">
      <c r="A342" s="1" t="s">
        <v>475</v>
      </c>
      <c r="B342" s="2" t="s">
        <v>4</v>
      </c>
      <c r="C342" s="2" t="s">
        <v>476</v>
      </c>
      <c r="D342" s="82" t="s">
        <v>477</v>
      </c>
      <c r="E342" s="83"/>
      <c r="F342" s="2" t="s">
        <v>219</v>
      </c>
      <c r="G342" s="55">
        <v>54</v>
      </c>
      <c r="H342" s="56">
        <v>0</v>
      </c>
      <c r="I342" s="55">
        <f>G342*H342</f>
        <v>0</v>
      </c>
      <c r="J342" s="55">
        <v>0</v>
      </c>
      <c r="K342" s="55">
        <v>1.0000000000000001E-5</v>
      </c>
      <c r="L342" s="55">
        <f>G342*K342</f>
        <v>5.4000000000000001E-4</v>
      </c>
      <c r="M342" s="57" t="s">
        <v>122</v>
      </c>
      <c r="Z342" s="55">
        <f>IF(AQ342="5",BJ342,0)</f>
        <v>0</v>
      </c>
      <c r="AB342" s="55">
        <f>IF(AQ342="1",BH342,0)</f>
        <v>0</v>
      </c>
      <c r="AC342" s="55">
        <f>IF(AQ342="1",BI342,0)</f>
        <v>0</v>
      </c>
      <c r="AD342" s="55">
        <f>IF(AQ342="7",BH342,0)</f>
        <v>0</v>
      </c>
      <c r="AE342" s="55">
        <f>IF(AQ342="7",BI342,0)</f>
        <v>0</v>
      </c>
      <c r="AF342" s="55">
        <f>IF(AQ342="2",BH342,0)</f>
        <v>0</v>
      </c>
      <c r="AG342" s="55">
        <f>IF(AQ342="2",BI342,0)</f>
        <v>0</v>
      </c>
      <c r="AH342" s="55">
        <f>IF(AQ342="0",BJ342,0)</f>
        <v>0</v>
      </c>
      <c r="AI342" s="33" t="s">
        <v>4</v>
      </c>
      <c r="AJ342" s="55">
        <f>IF(AN342=0,I342,0)</f>
        <v>0</v>
      </c>
      <c r="AK342" s="55">
        <f>IF(AN342=12,I342,0)</f>
        <v>0</v>
      </c>
      <c r="AL342" s="55">
        <f>IF(AN342=21,I342,0)</f>
        <v>0</v>
      </c>
      <c r="AN342" s="55">
        <v>21</v>
      </c>
      <c r="AO342" s="55">
        <f>H342*0.029840958</f>
        <v>0</v>
      </c>
      <c r="AP342" s="55">
        <f>H342*(1-0.029840958)</f>
        <v>0</v>
      </c>
      <c r="AQ342" s="58" t="s">
        <v>118</v>
      </c>
      <c r="AV342" s="55">
        <f>AW342+AX342</f>
        <v>0</v>
      </c>
      <c r="AW342" s="55">
        <f>G342*AO342</f>
        <v>0</v>
      </c>
      <c r="AX342" s="55">
        <f>G342*AP342</f>
        <v>0</v>
      </c>
      <c r="AY342" s="58" t="s">
        <v>403</v>
      </c>
      <c r="AZ342" s="58" t="s">
        <v>279</v>
      </c>
      <c r="BA342" s="33" t="s">
        <v>125</v>
      </c>
      <c r="BB342" s="59">
        <v>100028</v>
      </c>
      <c r="BC342" s="55">
        <f>AW342+AX342</f>
        <v>0</v>
      </c>
      <c r="BD342" s="55">
        <f>H342/(100-BE342)*100</f>
        <v>0</v>
      </c>
      <c r="BE342" s="55">
        <v>0</v>
      </c>
      <c r="BF342" s="55">
        <f>L342</f>
        <v>5.4000000000000001E-4</v>
      </c>
      <c r="BH342" s="55">
        <f>G342*AO342</f>
        <v>0</v>
      </c>
      <c r="BI342" s="55">
        <f>G342*AP342</f>
        <v>0</v>
      </c>
      <c r="BJ342" s="55">
        <f>G342*H342</f>
        <v>0</v>
      </c>
      <c r="BK342" s="55"/>
      <c r="BL342" s="55">
        <v>61</v>
      </c>
      <c r="BW342" s="55">
        <v>21</v>
      </c>
      <c r="BX342" s="3" t="s">
        <v>477</v>
      </c>
    </row>
    <row r="343" spans="1:76" x14ac:dyDescent="0.25">
      <c r="A343" s="60"/>
      <c r="D343" s="61" t="s">
        <v>478</v>
      </c>
      <c r="E343" s="61" t="s">
        <v>4</v>
      </c>
      <c r="G343" s="62">
        <v>54</v>
      </c>
      <c r="M343" s="63"/>
    </row>
    <row r="344" spans="1:76" x14ac:dyDescent="0.25">
      <c r="A344" s="66" t="s">
        <v>479</v>
      </c>
      <c r="B344" s="67" t="s">
        <v>4</v>
      </c>
      <c r="C344" s="67" t="s">
        <v>480</v>
      </c>
      <c r="D344" s="163" t="s">
        <v>481</v>
      </c>
      <c r="E344" s="164"/>
      <c r="F344" s="67" t="s">
        <v>219</v>
      </c>
      <c r="G344" s="69">
        <v>54</v>
      </c>
      <c r="H344" s="70">
        <v>0</v>
      </c>
      <c r="I344" s="69">
        <f>G344*H344</f>
        <v>0</v>
      </c>
      <c r="J344" s="69">
        <v>0</v>
      </c>
      <c r="K344" s="69">
        <v>8.0000000000000004E-4</v>
      </c>
      <c r="L344" s="69">
        <f>G344*K344</f>
        <v>4.3200000000000002E-2</v>
      </c>
      <c r="M344" s="71" t="s">
        <v>122</v>
      </c>
      <c r="Z344" s="55">
        <f>IF(AQ344="5",BJ344,0)</f>
        <v>0</v>
      </c>
      <c r="AB344" s="55">
        <f>IF(AQ344="1",BH344,0)</f>
        <v>0</v>
      </c>
      <c r="AC344" s="55">
        <f>IF(AQ344="1",BI344,0)</f>
        <v>0</v>
      </c>
      <c r="AD344" s="55">
        <f>IF(AQ344="7",BH344,0)</f>
        <v>0</v>
      </c>
      <c r="AE344" s="55">
        <f>IF(AQ344="7",BI344,0)</f>
        <v>0</v>
      </c>
      <c r="AF344" s="55">
        <f>IF(AQ344="2",BH344,0)</f>
        <v>0</v>
      </c>
      <c r="AG344" s="55">
        <f>IF(AQ344="2",BI344,0)</f>
        <v>0</v>
      </c>
      <c r="AH344" s="55">
        <f>IF(AQ344="0",BJ344,0)</f>
        <v>0</v>
      </c>
      <c r="AI344" s="33" t="s">
        <v>4</v>
      </c>
      <c r="AJ344" s="69">
        <f>IF(AN344=0,I344,0)</f>
        <v>0</v>
      </c>
      <c r="AK344" s="69">
        <f>IF(AN344=12,I344,0)</f>
        <v>0</v>
      </c>
      <c r="AL344" s="69">
        <f>IF(AN344=21,I344,0)</f>
        <v>0</v>
      </c>
      <c r="AN344" s="55">
        <v>21</v>
      </c>
      <c r="AO344" s="55">
        <f>H344*1</f>
        <v>0</v>
      </c>
      <c r="AP344" s="55">
        <f>H344*(1-1)</f>
        <v>0</v>
      </c>
      <c r="AQ344" s="72" t="s">
        <v>118</v>
      </c>
      <c r="AV344" s="55">
        <f>AW344+AX344</f>
        <v>0</v>
      </c>
      <c r="AW344" s="55">
        <f>G344*AO344</f>
        <v>0</v>
      </c>
      <c r="AX344" s="55">
        <f>G344*AP344</f>
        <v>0</v>
      </c>
      <c r="AY344" s="58" t="s">
        <v>403</v>
      </c>
      <c r="AZ344" s="58" t="s">
        <v>279</v>
      </c>
      <c r="BA344" s="33" t="s">
        <v>125</v>
      </c>
      <c r="BC344" s="55">
        <f>AW344+AX344</f>
        <v>0</v>
      </c>
      <c r="BD344" s="55">
        <f>H344/(100-BE344)*100</f>
        <v>0</v>
      </c>
      <c r="BE344" s="55">
        <v>0</v>
      </c>
      <c r="BF344" s="55">
        <f>L344</f>
        <v>4.3200000000000002E-2</v>
      </c>
      <c r="BH344" s="69">
        <f>G344*AO344</f>
        <v>0</v>
      </c>
      <c r="BI344" s="69">
        <f>G344*AP344</f>
        <v>0</v>
      </c>
      <c r="BJ344" s="69">
        <f>G344*H344</f>
        <v>0</v>
      </c>
      <c r="BK344" s="69"/>
      <c r="BL344" s="55">
        <v>61</v>
      </c>
      <c r="BW344" s="55">
        <v>21</v>
      </c>
      <c r="BX344" s="68" t="s">
        <v>481</v>
      </c>
    </row>
    <row r="345" spans="1:76" x14ac:dyDescent="0.25">
      <c r="A345" s="60"/>
      <c r="D345" s="61" t="s">
        <v>478</v>
      </c>
      <c r="E345" s="61" t="s">
        <v>4</v>
      </c>
      <c r="G345" s="62">
        <v>54</v>
      </c>
      <c r="M345" s="63"/>
    </row>
    <row r="346" spans="1:76" x14ac:dyDescent="0.25">
      <c r="A346" s="50" t="s">
        <v>4</v>
      </c>
      <c r="B346" s="51" t="s">
        <v>4</v>
      </c>
      <c r="C346" s="51" t="s">
        <v>482</v>
      </c>
      <c r="D346" s="153" t="s">
        <v>483</v>
      </c>
      <c r="E346" s="154"/>
      <c r="F346" s="52" t="s">
        <v>78</v>
      </c>
      <c r="G346" s="52" t="s">
        <v>78</v>
      </c>
      <c r="H346" s="53" t="s">
        <v>78</v>
      </c>
      <c r="I346" s="26">
        <f>SUM(I347:I350)</f>
        <v>0</v>
      </c>
      <c r="J346" s="33" t="s">
        <v>4</v>
      </c>
      <c r="K346" s="33" t="s">
        <v>4</v>
      </c>
      <c r="L346" s="26">
        <f>SUM(L347:L350)</f>
        <v>2.3173599999999999E-2</v>
      </c>
      <c r="M346" s="54" t="s">
        <v>4</v>
      </c>
      <c r="AI346" s="33" t="s">
        <v>4</v>
      </c>
      <c r="AS346" s="26">
        <f>SUM(AJ347:AJ350)</f>
        <v>0</v>
      </c>
      <c r="AT346" s="26">
        <f>SUM(AK347:AK350)</f>
        <v>0</v>
      </c>
      <c r="AU346" s="26">
        <f>SUM(AL347:AL350)</f>
        <v>0</v>
      </c>
    </row>
    <row r="347" spans="1:76" x14ac:dyDescent="0.25">
      <c r="A347" s="1" t="s">
        <v>140</v>
      </c>
      <c r="B347" s="2" t="s">
        <v>4</v>
      </c>
      <c r="C347" s="2" t="s">
        <v>484</v>
      </c>
      <c r="D347" s="82" t="s">
        <v>485</v>
      </c>
      <c r="E347" s="83"/>
      <c r="F347" s="2" t="s">
        <v>157</v>
      </c>
      <c r="G347" s="55">
        <v>1.3468</v>
      </c>
      <c r="H347" s="56">
        <v>0</v>
      </c>
      <c r="I347" s="55">
        <f>G347*H347</f>
        <v>0</v>
      </c>
      <c r="J347" s="55">
        <v>0</v>
      </c>
      <c r="K347" s="55">
        <v>9.6200000000000001E-3</v>
      </c>
      <c r="L347" s="55">
        <f>G347*K347</f>
        <v>1.2956216E-2</v>
      </c>
      <c r="M347" s="57" t="s">
        <v>122</v>
      </c>
      <c r="Z347" s="55">
        <f>IF(AQ347="5",BJ347,0)</f>
        <v>0</v>
      </c>
      <c r="AB347" s="55">
        <f>IF(AQ347="1",BH347,0)</f>
        <v>0</v>
      </c>
      <c r="AC347" s="55">
        <f>IF(AQ347="1",BI347,0)</f>
        <v>0</v>
      </c>
      <c r="AD347" s="55">
        <f>IF(AQ347="7",BH347,0)</f>
        <v>0</v>
      </c>
      <c r="AE347" s="55">
        <f>IF(AQ347="7",BI347,0)</f>
        <v>0</v>
      </c>
      <c r="AF347" s="55">
        <f>IF(AQ347="2",BH347,0)</f>
        <v>0</v>
      </c>
      <c r="AG347" s="55">
        <f>IF(AQ347="2",BI347,0)</f>
        <v>0</v>
      </c>
      <c r="AH347" s="55">
        <f>IF(AQ347="0",BJ347,0)</f>
        <v>0</v>
      </c>
      <c r="AI347" s="33" t="s">
        <v>4</v>
      </c>
      <c r="AJ347" s="55">
        <f>IF(AN347=0,I347,0)</f>
        <v>0</v>
      </c>
      <c r="AK347" s="55">
        <f>IF(AN347=12,I347,0)</f>
        <v>0</v>
      </c>
      <c r="AL347" s="55">
        <f>IF(AN347=21,I347,0)</f>
        <v>0</v>
      </c>
      <c r="AN347" s="55">
        <v>21</v>
      </c>
      <c r="AO347" s="55">
        <f>H347*0.322248693</f>
        <v>0</v>
      </c>
      <c r="AP347" s="55">
        <f>H347*(1-0.322248693)</f>
        <v>0</v>
      </c>
      <c r="AQ347" s="58" t="s">
        <v>118</v>
      </c>
      <c r="AV347" s="55">
        <f>AW347+AX347</f>
        <v>0</v>
      </c>
      <c r="AW347" s="55">
        <f>G347*AO347</f>
        <v>0</v>
      </c>
      <c r="AX347" s="55">
        <f>G347*AP347</f>
        <v>0</v>
      </c>
      <c r="AY347" s="58" t="s">
        <v>486</v>
      </c>
      <c r="AZ347" s="58" t="s">
        <v>279</v>
      </c>
      <c r="BA347" s="33" t="s">
        <v>125</v>
      </c>
      <c r="BB347" s="59">
        <v>100038</v>
      </c>
      <c r="BC347" s="55">
        <f>AW347+AX347</f>
        <v>0</v>
      </c>
      <c r="BD347" s="55">
        <f>H347/(100-BE347)*100</f>
        <v>0</v>
      </c>
      <c r="BE347" s="55">
        <v>0</v>
      </c>
      <c r="BF347" s="55">
        <f>L347</f>
        <v>1.2956216E-2</v>
      </c>
      <c r="BH347" s="55">
        <f>G347*AO347</f>
        <v>0</v>
      </c>
      <c r="BI347" s="55">
        <f>G347*AP347</f>
        <v>0</v>
      </c>
      <c r="BJ347" s="55">
        <f>G347*H347</f>
        <v>0</v>
      </c>
      <c r="BK347" s="55"/>
      <c r="BL347" s="55">
        <v>62</v>
      </c>
      <c r="BW347" s="55">
        <v>21</v>
      </c>
      <c r="BX347" s="3" t="s">
        <v>485</v>
      </c>
    </row>
    <row r="348" spans="1:76" x14ac:dyDescent="0.25">
      <c r="A348" s="60"/>
      <c r="D348" s="61" t="s">
        <v>487</v>
      </c>
      <c r="E348" s="61" t="s">
        <v>372</v>
      </c>
      <c r="G348" s="62">
        <v>1.3468</v>
      </c>
      <c r="M348" s="63"/>
    </row>
    <row r="349" spans="1:76" ht="51" x14ac:dyDescent="0.25">
      <c r="A349" s="60"/>
      <c r="C349" s="64" t="s">
        <v>127</v>
      </c>
      <c r="D349" s="159" t="s">
        <v>488</v>
      </c>
      <c r="E349" s="160"/>
      <c r="F349" s="160"/>
      <c r="G349" s="160"/>
      <c r="H349" s="161"/>
      <c r="I349" s="160"/>
      <c r="J349" s="160"/>
      <c r="K349" s="160"/>
      <c r="L349" s="160"/>
      <c r="M349" s="162"/>
      <c r="BX349" s="65" t="s">
        <v>488</v>
      </c>
    </row>
    <row r="350" spans="1:76" x14ac:dyDescent="0.25">
      <c r="A350" s="1" t="s">
        <v>489</v>
      </c>
      <c r="B350" s="2" t="s">
        <v>4</v>
      </c>
      <c r="C350" s="2" t="s">
        <v>490</v>
      </c>
      <c r="D350" s="82" t="s">
        <v>491</v>
      </c>
      <c r="E350" s="83"/>
      <c r="F350" s="2" t="s">
        <v>157</v>
      </c>
      <c r="G350" s="55">
        <v>17.317599999999999</v>
      </c>
      <c r="H350" s="56">
        <v>0</v>
      </c>
      <c r="I350" s="55">
        <f>G350*H350</f>
        <v>0</v>
      </c>
      <c r="J350" s="55">
        <v>0</v>
      </c>
      <c r="K350" s="55">
        <v>5.9000000000000003E-4</v>
      </c>
      <c r="L350" s="55">
        <f>G350*K350</f>
        <v>1.0217383999999999E-2</v>
      </c>
      <c r="M350" s="57" t="s">
        <v>122</v>
      </c>
      <c r="Z350" s="55">
        <f>IF(AQ350="5",BJ350,0)</f>
        <v>0</v>
      </c>
      <c r="AB350" s="55">
        <f>IF(AQ350="1",BH350,0)</f>
        <v>0</v>
      </c>
      <c r="AC350" s="55">
        <f>IF(AQ350="1",BI350,0)</f>
        <v>0</v>
      </c>
      <c r="AD350" s="55">
        <f>IF(AQ350="7",BH350,0)</f>
        <v>0</v>
      </c>
      <c r="AE350" s="55">
        <f>IF(AQ350="7",BI350,0)</f>
        <v>0</v>
      </c>
      <c r="AF350" s="55">
        <f>IF(AQ350="2",BH350,0)</f>
        <v>0</v>
      </c>
      <c r="AG350" s="55">
        <f>IF(AQ350="2",BI350,0)</f>
        <v>0</v>
      </c>
      <c r="AH350" s="55">
        <f>IF(AQ350="0",BJ350,0)</f>
        <v>0</v>
      </c>
      <c r="AI350" s="33" t="s">
        <v>4</v>
      </c>
      <c r="AJ350" s="55">
        <f>IF(AN350=0,I350,0)</f>
        <v>0</v>
      </c>
      <c r="AK350" s="55">
        <f>IF(AN350=12,I350,0)</f>
        <v>0</v>
      </c>
      <c r="AL350" s="55">
        <f>IF(AN350=21,I350,0)</f>
        <v>0</v>
      </c>
      <c r="AN350" s="55">
        <v>21</v>
      </c>
      <c r="AO350" s="55">
        <f>H350*0.559532718</f>
        <v>0</v>
      </c>
      <c r="AP350" s="55">
        <f>H350*(1-0.559532718)</f>
        <v>0</v>
      </c>
      <c r="AQ350" s="58" t="s">
        <v>118</v>
      </c>
      <c r="AV350" s="55">
        <f>AW350+AX350</f>
        <v>0</v>
      </c>
      <c r="AW350" s="55">
        <f>G350*AO350</f>
        <v>0</v>
      </c>
      <c r="AX350" s="55">
        <f>G350*AP350</f>
        <v>0</v>
      </c>
      <c r="AY350" s="58" t="s">
        <v>486</v>
      </c>
      <c r="AZ350" s="58" t="s">
        <v>279</v>
      </c>
      <c r="BA350" s="33" t="s">
        <v>125</v>
      </c>
      <c r="BB350" s="59">
        <v>100038</v>
      </c>
      <c r="BC350" s="55">
        <f>AW350+AX350</f>
        <v>0</v>
      </c>
      <c r="BD350" s="55">
        <f>H350/(100-BE350)*100</f>
        <v>0</v>
      </c>
      <c r="BE350" s="55">
        <v>0</v>
      </c>
      <c r="BF350" s="55">
        <f>L350</f>
        <v>1.0217383999999999E-2</v>
      </c>
      <c r="BH350" s="55">
        <f>G350*AO350</f>
        <v>0</v>
      </c>
      <c r="BI350" s="55">
        <f>G350*AP350</f>
        <v>0</v>
      </c>
      <c r="BJ350" s="55">
        <f>G350*H350</f>
        <v>0</v>
      </c>
      <c r="BK350" s="55"/>
      <c r="BL350" s="55">
        <v>62</v>
      </c>
      <c r="BW350" s="55">
        <v>21</v>
      </c>
      <c r="BX350" s="3" t="s">
        <v>491</v>
      </c>
    </row>
    <row r="351" spans="1:76" x14ac:dyDescent="0.25">
      <c r="A351" s="60"/>
      <c r="D351" s="61" t="s">
        <v>393</v>
      </c>
      <c r="E351" s="61" t="s">
        <v>372</v>
      </c>
      <c r="G351" s="62">
        <v>17.317599999999999</v>
      </c>
      <c r="M351" s="63"/>
    </row>
    <row r="352" spans="1:76" ht="25.5" x14ac:dyDescent="0.25">
      <c r="A352" s="60"/>
      <c r="C352" s="64" t="s">
        <v>127</v>
      </c>
      <c r="D352" s="159" t="s">
        <v>492</v>
      </c>
      <c r="E352" s="160"/>
      <c r="F352" s="160"/>
      <c r="G352" s="160"/>
      <c r="H352" s="161"/>
      <c r="I352" s="160"/>
      <c r="J352" s="160"/>
      <c r="K352" s="160"/>
      <c r="L352" s="160"/>
      <c r="M352" s="162"/>
      <c r="BX352" s="65" t="s">
        <v>492</v>
      </c>
    </row>
    <row r="353" spans="1:76" x14ac:dyDescent="0.25">
      <c r="A353" s="50" t="s">
        <v>4</v>
      </c>
      <c r="B353" s="51" t="s">
        <v>4</v>
      </c>
      <c r="C353" s="51" t="s">
        <v>493</v>
      </c>
      <c r="D353" s="153" t="s">
        <v>494</v>
      </c>
      <c r="E353" s="154"/>
      <c r="F353" s="52" t="s">
        <v>78</v>
      </c>
      <c r="G353" s="52" t="s">
        <v>78</v>
      </c>
      <c r="H353" s="53" t="s">
        <v>78</v>
      </c>
      <c r="I353" s="26">
        <f>SUM(I354:I420)</f>
        <v>0</v>
      </c>
      <c r="J353" s="33" t="s">
        <v>4</v>
      </c>
      <c r="K353" s="33" t="s">
        <v>4</v>
      </c>
      <c r="L353" s="26">
        <f>SUM(L354:L420)</f>
        <v>153.74996555999999</v>
      </c>
      <c r="M353" s="54" t="s">
        <v>4</v>
      </c>
      <c r="AI353" s="33" t="s">
        <v>4</v>
      </c>
      <c r="AS353" s="26">
        <f>SUM(AJ354:AJ420)</f>
        <v>0</v>
      </c>
      <c r="AT353" s="26">
        <f>SUM(AK354:AK420)</f>
        <v>0</v>
      </c>
      <c r="AU353" s="26">
        <f>SUM(AL354:AL420)</f>
        <v>0</v>
      </c>
    </row>
    <row r="354" spans="1:76" x14ac:dyDescent="0.25">
      <c r="A354" s="1" t="s">
        <v>495</v>
      </c>
      <c r="B354" s="2" t="s">
        <v>4</v>
      </c>
      <c r="C354" s="2" t="s">
        <v>496</v>
      </c>
      <c r="D354" s="82" t="s">
        <v>497</v>
      </c>
      <c r="E354" s="83"/>
      <c r="F354" s="2" t="s">
        <v>157</v>
      </c>
      <c r="G354" s="55">
        <v>103.88</v>
      </c>
      <c r="H354" s="56">
        <v>0</v>
      </c>
      <c r="I354" s="55">
        <f>G354*H354</f>
        <v>0</v>
      </c>
      <c r="J354" s="55">
        <v>0</v>
      </c>
      <c r="K354" s="55">
        <v>4.265E-2</v>
      </c>
      <c r="L354" s="55">
        <f>G354*K354</f>
        <v>4.4304819999999996</v>
      </c>
      <c r="M354" s="57" t="s">
        <v>122</v>
      </c>
      <c r="Z354" s="55">
        <f>IF(AQ354="5",BJ354,0)</f>
        <v>0</v>
      </c>
      <c r="AB354" s="55">
        <f>IF(AQ354="1",BH354,0)</f>
        <v>0</v>
      </c>
      <c r="AC354" s="55">
        <f>IF(AQ354="1",BI354,0)</f>
        <v>0</v>
      </c>
      <c r="AD354" s="55">
        <f>IF(AQ354="7",BH354,0)</f>
        <v>0</v>
      </c>
      <c r="AE354" s="55">
        <f>IF(AQ354="7",BI354,0)</f>
        <v>0</v>
      </c>
      <c r="AF354" s="55">
        <f>IF(AQ354="2",BH354,0)</f>
        <v>0</v>
      </c>
      <c r="AG354" s="55">
        <f>IF(AQ354="2",BI354,0)</f>
        <v>0</v>
      </c>
      <c r="AH354" s="55">
        <f>IF(AQ354="0",BJ354,0)</f>
        <v>0</v>
      </c>
      <c r="AI354" s="33" t="s">
        <v>4</v>
      </c>
      <c r="AJ354" s="55">
        <f>IF(AN354=0,I354,0)</f>
        <v>0</v>
      </c>
      <c r="AK354" s="55">
        <f>IF(AN354=12,I354,0)</f>
        <v>0</v>
      </c>
      <c r="AL354" s="55">
        <f>IF(AN354=21,I354,0)</f>
        <v>0</v>
      </c>
      <c r="AN354" s="55">
        <v>21</v>
      </c>
      <c r="AO354" s="55">
        <f>H354*0.793407672</f>
        <v>0</v>
      </c>
      <c r="AP354" s="55">
        <f>H354*(1-0.793407672)</f>
        <v>0</v>
      </c>
      <c r="AQ354" s="58" t="s">
        <v>118</v>
      </c>
      <c r="AV354" s="55">
        <f>AW354+AX354</f>
        <v>0</v>
      </c>
      <c r="AW354" s="55">
        <f>G354*AO354</f>
        <v>0</v>
      </c>
      <c r="AX354" s="55">
        <f>G354*AP354</f>
        <v>0</v>
      </c>
      <c r="AY354" s="58" t="s">
        <v>498</v>
      </c>
      <c r="AZ354" s="58" t="s">
        <v>279</v>
      </c>
      <c r="BA354" s="33" t="s">
        <v>125</v>
      </c>
      <c r="BB354" s="59">
        <v>100033</v>
      </c>
      <c r="BC354" s="55">
        <f>AW354+AX354</f>
        <v>0</v>
      </c>
      <c r="BD354" s="55">
        <f>H354/(100-BE354)*100</f>
        <v>0</v>
      </c>
      <c r="BE354" s="55">
        <v>0</v>
      </c>
      <c r="BF354" s="55">
        <f>L354</f>
        <v>4.4304819999999996</v>
      </c>
      <c r="BH354" s="55">
        <f>G354*AO354</f>
        <v>0</v>
      </c>
      <c r="BI354" s="55">
        <f>G354*AP354</f>
        <v>0</v>
      </c>
      <c r="BJ354" s="55">
        <f>G354*H354</f>
        <v>0</v>
      </c>
      <c r="BK354" s="55"/>
      <c r="BL354" s="55">
        <v>63</v>
      </c>
      <c r="BW354" s="55">
        <v>21</v>
      </c>
      <c r="BX354" s="3" t="s">
        <v>497</v>
      </c>
    </row>
    <row r="355" spans="1:76" ht="13.5" customHeight="1" x14ac:dyDescent="0.25">
      <c r="A355" s="60"/>
      <c r="D355" s="155" t="s">
        <v>499</v>
      </c>
      <c r="E355" s="156"/>
      <c r="F355" s="156"/>
      <c r="G355" s="156"/>
      <c r="H355" s="157"/>
      <c r="I355" s="156"/>
      <c r="J355" s="156"/>
      <c r="K355" s="156"/>
      <c r="L355" s="156"/>
      <c r="M355" s="158"/>
    </row>
    <row r="356" spans="1:76" x14ac:dyDescent="0.25">
      <c r="A356" s="60"/>
      <c r="D356" s="61" t="s">
        <v>500</v>
      </c>
      <c r="E356" s="61" t="s">
        <v>501</v>
      </c>
      <c r="G356" s="62">
        <v>15.79</v>
      </c>
      <c r="M356" s="63"/>
    </row>
    <row r="357" spans="1:76" x14ac:dyDescent="0.25">
      <c r="A357" s="60"/>
      <c r="D357" s="61" t="s">
        <v>502</v>
      </c>
      <c r="E357" s="61" t="s">
        <v>503</v>
      </c>
      <c r="G357" s="62">
        <v>2.61</v>
      </c>
      <c r="M357" s="63"/>
    </row>
    <row r="358" spans="1:76" x14ac:dyDescent="0.25">
      <c r="A358" s="60"/>
      <c r="D358" s="61" t="s">
        <v>504</v>
      </c>
      <c r="E358" s="61" t="s">
        <v>505</v>
      </c>
      <c r="G358" s="62">
        <v>1.89</v>
      </c>
      <c r="M358" s="63"/>
    </row>
    <row r="359" spans="1:76" x14ac:dyDescent="0.25">
      <c r="A359" s="60"/>
      <c r="D359" s="61" t="s">
        <v>506</v>
      </c>
      <c r="E359" s="61" t="s">
        <v>507</v>
      </c>
      <c r="G359" s="62">
        <v>5.2</v>
      </c>
      <c r="M359" s="63"/>
    </row>
    <row r="360" spans="1:76" x14ac:dyDescent="0.25">
      <c r="A360" s="60"/>
      <c r="D360" s="61" t="s">
        <v>508</v>
      </c>
      <c r="E360" s="61" t="s">
        <v>509</v>
      </c>
      <c r="G360" s="62">
        <v>4.7300000000000004</v>
      </c>
      <c r="M360" s="63"/>
    </row>
    <row r="361" spans="1:76" x14ac:dyDescent="0.25">
      <c r="A361" s="60"/>
      <c r="D361" s="61" t="s">
        <v>510</v>
      </c>
      <c r="E361" s="61" t="s">
        <v>511</v>
      </c>
      <c r="G361" s="62">
        <v>4.42</v>
      </c>
      <c r="M361" s="63"/>
    </row>
    <row r="362" spans="1:76" x14ac:dyDescent="0.25">
      <c r="A362" s="60"/>
      <c r="D362" s="61" t="s">
        <v>512</v>
      </c>
      <c r="E362" s="61" t="s">
        <v>513</v>
      </c>
      <c r="G362" s="62">
        <v>5.34</v>
      </c>
      <c r="M362" s="63"/>
    </row>
    <row r="363" spans="1:76" x14ac:dyDescent="0.25">
      <c r="A363" s="60"/>
      <c r="D363" s="61" t="s">
        <v>514</v>
      </c>
      <c r="E363" s="61" t="s">
        <v>515</v>
      </c>
      <c r="G363" s="62">
        <v>5.21</v>
      </c>
      <c r="M363" s="63"/>
    </row>
    <row r="364" spans="1:76" x14ac:dyDescent="0.25">
      <c r="A364" s="60"/>
      <c r="D364" s="61" t="s">
        <v>516</v>
      </c>
      <c r="E364" s="61" t="s">
        <v>517</v>
      </c>
      <c r="G364" s="62">
        <v>5.63</v>
      </c>
      <c r="M364" s="63"/>
    </row>
    <row r="365" spans="1:76" x14ac:dyDescent="0.25">
      <c r="A365" s="60"/>
      <c r="D365" s="61" t="s">
        <v>518</v>
      </c>
      <c r="E365" s="61" t="s">
        <v>519</v>
      </c>
      <c r="G365" s="62">
        <v>16.84</v>
      </c>
      <c r="M365" s="63"/>
    </row>
    <row r="366" spans="1:76" x14ac:dyDescent="0.25">
      <c r="A366" s="60"/>
      <c r="D366" s="61" t="s">
        <v>520</v>
      </c>
      <c r="E366" s="61" t="s">
        <v>521</v>
      </c>
      <c r="G366" s="62">
        <v>9.5500000000000007</v>
      </c>
      <c r="M366" s="63"/>
    </row>
    <row r="367" spans="1:76" x14ac:dyDescent="0.25">
      <c r="A367" s="60"/>
      <c r="D367" s="61" t="s">
        <v>522</v>
      </c>
      <c r="E367" s="61" t="s">
        <v>314</v>
      </c>
      <c r="G367" s="62">
        <v>8.5</v>
      </c>
      <c r="M367" s="63"/>
    </row>
    <row r="368" spans="1:76" x14ac:dyDescent="0.25">
      <c r="A368" s="60"/>
      <c r="D368" s="61" t="s">
        <v>523</v>
      </c>
      <c r="E368" s="61" t="s">
        <v>318</v>
      </c>
      <c r="G368" s="62">
        <v>1.86</v>
      </c>
      <c r="M368" s="63"/>
    </row>
    <row r="369" spans="1:76" x14ac:dyDescent="0.25">
      <c r="A369" s="60"/>
      <c r="D369" s="61" t="s">
        <v>524</v>
      </c>
      <c r="E369" s="61" t="s">
        <v>525</v>
      </c>
      <c r="G369" s="62">
        <v>6.51</v>
      </c>
      <c r="M369" s="63"/>
    </row>
    <row r="370" spans="1:76" x14ac:dyDescent="0.25">
      <c r="A370" s="60"/>
      <c r="D370" s="61" t="s">
        <v>526</v>
      </c>
      <c r="E370" s="61" t="s">
        <v>324</v>
      </c>
      <c r="G370" s="62">
        <v>4.93</v>
      </c>
      <c r="M370" s="63"/>
    </row>
    <row r="371" spans="1:76" x14ac:dyDescent="0.25">
      <c r="A371" s="60"/>
      <c r="D371" s="61" t="s">
        <v>527</v>
      </c>
      <c r="E371" s="61" t="s">
        <v>528</v>
      </c>
      <c r="G371" s="62">
        <v>4.87</v>
      </c>
      <c r="M371" s="63"/>
    </row>
    <row r="372" spans="1:76" ht="25.5" x14ac:dyDescent="0.25">
      <c r="A372" s="60"/>
      <c r="C372" s="64" t="s">
        <v>127</v>
      </c>
      <c r="D372" s="159" t="s">
        <v>529</v>
      </c>
      <c r="E372" s="160"/>
      <c r="F372" s="160"/>
      <c r="G372" s="160"/>
      <c r="H372" s="161"/>
      <c r="I372" s="160"/>
      <c r="J372" s="160"/>
      <c r="K372" s="160"/>
      <c r="L372" s="160"/>
      <c r="M372" s="162"/>
      <c r="BX372" s="65" t="s">
        <v>529</v>
      </c>
    </row>
    <row r="373" spans="1:76" x14ac:dyDescent="0.25">
      <c r="A373" s="1" t="s">
        <v>187</v>
      </c>
      <c r="B373" s="2" t="s">
        <v>4</v>
      </c>
      <c r="C373" s="2" t="s">
        <v>530</v>
      </c>
      <c r="D373" s="82" t="s">
        <v>531</v>
      </c>
      <c r="E373" s="83"/>
      <c r="F373" s="2" t="s">
        <v>157</v>
      </c>
      <c r="G373" s="55">
        <v>397.63</v>
      </c>
      <c r="H373" s="56">
        <v>0</v>
      </c>
      <c r="I373" s="55">
        <f>G373*H373</f>
        <v>0</v>
      </c>
      <c r="J373" s="55">
        <v>0</v>
      </c>
      <c r="K373" s="55">
        <v>3.415E-2</v>
      </c>
      <c r="L373" s="55">
        <f>G373*K373</f>
        <v>13.579064499999999</v>
      </c>
      <c r="M373" s="57" t="s">
        <v>122</v>
      </c>
      <c r="Z373" s="55">
        <f>IF(AQ373="5",BJ373,0)</f>
        <v>0</v>
      </c>
      <c r="AB373" s="55">
        <f>IF(AQ373="1",BH373,0)</f>
        <v>0</v>
      </c>
      <c r="AC373" s="55">
        <f>IF(AQ373="1",BI373,0)</f>
        <v>0</v>
      </c>
      <c r="AD373" s="55">
        <f>IF(AQ373="7",BH373,0)</f>
        <v>0</v>
      </c>
      <c r="AE373" s="55">
        <f>IF(AQ373="7",BI373,0)</f>
        <v>0</v>
      </c>
      <c r="AF373" s="55">
        <f>IF(AQ373="2",BH373,0)</f>
        <v>0</v>
      </c>
      <c r="AG373" s="55">
        <f>IF(AQ373="2",BI373,0)</f>
        <v>0</v>
      </c>
      <c r="AH373" s="55">
        <f>IF(AQ373="0",BJ373,0)</f>
        <v>0</v>
      </c>
      <c r="AI373" s="33" t="s">
        <v>4</v>
      </c>
      <c r="AJ373" s="55">
        <f>IF(AN373=0,I373,0)</f>
        <v>0</v>
      </c>
      <c r="AK373" s="55">
        <f>IF(AN373=12,I373,0)</f>
        <v>0</v>
      </c>
      <c r="AL373" s="55">
        <f>IF(AN373=21,I373,0)</f>
        <v>0</v>
      </c>
      <c r="AN373" s="55">
        <v>21</v>
      </c>
      <c r="AO373" s="55">
        <f>H373*0.7621303</f>
        <v>0</v>
      </c>
      <c r="AP373" s="55">
        <f>H373*(1-0.7621303)</f>
        <v>0</v>
      </c>
      <c r="AQ373" s="58" t="s">
        <v>118</v>
      </c>
      <c r="AV373" s="55">
        <f>AW373+AX373</f>
        <v>0</v>
      </c>
      <c r="AW373" s="55">
        <f>G373*AO373</f>
        <v>0</v>
      </c>
      <c r="AX373" s="55">
        <f>G373*AP373</f>
        <v>0</v>
      </c>
      <c r="AY373" s="58" t="s">
        <v>498</v>
      </c>
      <c r="AZ373" s="58" t="s">
        <v>279</v>
      </c>
      <c r="BA373" s="33" t="s">
        <v>125</v>
      </c>
      <c r="BB373" s="59">
        <v>100033</v>
      </c>
      <c r="BC373" s="55">
        <f>AW373+AX373</f>
        <v>0</v>
      </c>
      <c r="BD373" s="55">
        <f>H373/(100-BE373)*100</f>
        <v>0</v>
      </c>
      <c r="BE373" s="55">
        <v>0</v>
      </c>
      <c r="BF373" s="55">
        <f>L373</f>
        <v>13.579064499999999</v>
      </c>
      <c r="BH373" s="55">
        <f>G373*AO373</f>
        <v>0</v>
      </c>
      <c r="BI373" s="55">
        <f>G373*AP373</f>
        <v>0</v>
      </c>
      <c r="BJ373" s="55">
        <f>G373*H373</f>
        <v>0</v>
      </c>
      <c r="BK373" s="55"/>
      <c r="BL373" s="55">
        <v>63</v>
      </c>
      <c r="BW373" s="55">
        <v>21</v>
      </c>
      <c r="BX373" s="3" t="s">
        <v>531</v>
      </c>
    </row>
    <row r="374" spans="1:76" ht="13.5" customHeight="1" x14ac:dyDescent="0.25">
      <c r="A374" s="60"/>
      <c r="D374" s="155" t="s">
        <v>499</v>
      </c>
      <c r="E374" s="156"/>
      <c r="F374" s="156"/>
      <c r="G374" s="156"/>
      <c r="H374" s="157"/>
      <c r="I374" s="156"/>
      <c r="J374" s="156"/>
      <c r="K374" s="156"/>
      <c r="L374" s="156"/>
      <c r="M374" s="158"/>
    </row>
    <row r="375" spans="1:76" x14ac:dyDescent="0.25">
      <c r="A375" s="60"/>
      <c r="D375" s="61" t="s">
        <v>532</v>
      </c>
      <c r="E375" s="61" t="s">
        <v>533</v>
      </c>
      <c r="G375" s="62">
        <v>22.2</v>
      </c>
      <c r="M375" s="63"/>
    </row>
    <row r="376" spans="1:76" x14ac:dyDescent="0.25">
      <c r="A376" s="60"/>
      <c r="D376" s="61" t="s">
        <v>534</v>
      </c>
      <c r="E376" s="61" t="s">
        <v>535</v>
      </c>
      <c r="G376" s="62">
        <v>21.64</v>
      </c>
      <c r="M376" s="63"/>
    </row>
    <row r="377" spans="1:76" x14ac:dyDescent="0.25">
      <c r="A377" s="60"/>
      <c r="D377" s="61" t="s">
        <v>536</v>
      </c>
      <c r="E377" s="61" t="s">
        <v>537</v>
      </c>
      <c r="G377" s="62">
        <v>20.81</v>
      </c>
      <c r="M377" s="63"/>
    </row>
    <row r="378" spans="1:76" x14ac:dyDescent="0.25">
      <c r="A378" s="60"/>
      <c r="D378" s="61" t="s">
        <v>538</v>
      </c>
      <c r="E378" s="61" t="s">
        <v>539</v>
      </c>
      <c r="G378" s="62">
        <v>21.75</v>
      </c>
      <c r="M378" s="63"/>
    </row>
    <row r="379" spans="1:76" x14ac:dyDescent="0.25">
      <c r="A379" s="60"/>
      <c r="D379" s="61" t="s">
        <v>540</v>
      </c>
      <c r="E379" s="61" t="s">
        <v>541</v>
      </c>
      <c r="G379" s="62">
        <v>19.22</v>
      </c>
      <c r="M379" s="63"/>
    </row>
    <row r="380" spans="1:76" x14ac:dyDescent="0.25">
      <c r="A380" s="60"/>
      <c r="D380" s="61" t="s">
        <v>542</v>
      </c>
      <c r="E380" s="61" t="s">
        <v>543</v>
      </c>
      <c r="G380" s="62">
        <v>20.36</v>
      </c>
      <c r="M380" s="63"/>
    </row>
    <row r="381" spans="1:76" x14ac:dyDescent="0.25">
      <c r="A381" s="60"/>
      <c r="D381" s="61" t="s">
        <v>544</v>
      </c>
      <c r="E381" s="61" t="s">
        <v>545</v>
      </c>
      <c r="G381" s="62">
        <v>7.3</v>
      </c>
      <c r="M381" s="63"/>
    </row>
    <row r="382" spans="1:76" x14ac:dyDescent="0.25">
      <c r="A382" s="60"/>
      <c r="D382" s="61" t="s">
        <v>546</v>
      </c>
      <c r="E382" s="61" t="s">
        <v>547</v>
      </c>
      <c r="G382" s="62">
        <v>29.33</v>
      </c>
      <c r="M382" s="63"/>
    </row>
    <row r="383" spans="1:76" x14ac:dyDescent="0.25">
      <c r="A383" s="60"/>
      <c r="D383" s="61" t="s">
        <v>548</v>
      </c>
      <c r="E383" s="61" t="s">
        <v>310</v>
      </c>
      <c r="G383" s="62">
        <v>154.38</v>
      </c>
      <c r="M383" s="63"/>
    </row>
    <row r="384" spans="1:76" x14ac:dyDescent="0.25">
      <c r="A384" s="60"/>
      <c r="D384" s="61" t="s">
        <v>549</v>
      </c>
      <c r="E384" s="61" t="s">
        <v>550</v>
      </c>
      <c r="G384" s="62">
        <v>36.67</v>
      </c>
      <c r="M384" s="63"/>
    </row>
    <row r="385" spans="1:76" x14ac:dyDescent="0.25">
      <c r="A385" s="60"/>
      <c r="D385" s="61" t="s">
        <v>551</v>
      </c>
      <c r="E385" s="61" t="s">
        <v>552</v>
      </c>
      <c r="G385" s="62">
        <v>25.08</v>
      </c>
      <c r="M385" s="63"/>
    </row>
    <row r="386" spans="1:76" x14ac:dyDescent="0.25">
      <c r="A386" s="60"/>
      <c r="D386" s="61" t="s">
        <v>553</v>
      </c>
      <c r="E386" s="61" t="s">
        <v>554</v>
      </c>
      <c r="G386" s="62">
        <v>18.89</v>
      </c>
      <c r="M386" s="63"/>
    </row>
    <row r="387" spans="1:76" ht="25.5" x14ac:dyDescent="0.25">
      <c r="A387" s="60"/>
      <c r="C387" s="64" t="s">
        <v>127</v>
      </c>
      <c r="D387" s="159" t="s">
        <v>529</v>
      </c>
      <c r="E387" s="160"/>
      <c r="F387" s="160"/>
      <c r="G387" s="160"/>
      <c r="H387" s="161"/>
      <c r="I387" s="160"/>
      <c r="J387" s="160"/>
      <c r="K387" s="160"/>
      <c r="L387" s="160"/>
      <c r="M387" s="162"/>
      <c r="BX387" s="65" t="s">
        <v>529</v>
      </c>
    </row>
    <row r="388" spans="1:76" x14ac:dyDescent="0.25">
      <c r="A388" s="1" t="s">
        <v>555</v>
      </c>
      <c r="B388" s="2" t="s">
        <v>4</v>
      </c>
      <c r="C388" s="2" t="s">
        <v>556</v>
      </c>
      <c r="D388" s="82" t="s">
        <v>557</v>
      </c>
      <c r="E388" s="83"/>
      <c r="F388" s="2" t="s">
        <v>157</v>
      </c>
      <c r="G388" s="55">
        <v>397.63</v>
      </c>
      <c r="H388" s="56">
        <v>0</v>
      </c>
      <c r="I388" s="55">
        <f>G388*H388</f>
        <v>0</v>
      </c>
      <c r="J388" s="55">
        <v>0</v>
      </c>
      <c r="K388" s="55">
        <v>6.9499999999999996E-3</v>
      </c>
      <c r="L388" s="55">
        <f>G388*K388</f>
        <v>2.7635284999999996</v>
      </c>
      <c r="M388" s="57" t="s">
        <v>122</v>
      </c>
      <c r="Z388" s="55">
        <f>IF(AQ388="5",BJ388,0)</f>
        <v>0</v>
      </c>
      <c r="AB388" s="55">
        <f>IF(AQ388="1",BH388,0)</f>
        <v>0</v>
      </c>
      <c r="AC388" s="55">
        <f>IF(AQ388="1",BI388,0)</f>
        <v>0</v>
      </c>
      <c r="AD388" s="55">
        <f>IF(AQ388="7",BH388,0)</f>
        <v>0</v>
      </c>
      <c r="AE388" s="55">
        <f>IF(AQ388="7",BI388,0)</f>
        <v>0</v>
      </c>
      <c r="AF388" s="55">
        <f>IF(AQ388="2",BH388,0)</f>
        <v>0</v>
      </c>
      <c r="AG388" s="55">
        <f>IF(AQ388="2",BI388,0)</f>
        <v>0</v>
      </c>
      <c r="AH388" s="55">
        <f>IF(AQ388="0",BJ388,0)</f>
        <v>0</v>
      </c>
      <c r="AI388" s="33" t="s">
        <v>4</v>
      </c>
      <c r="AJ388" s="55">
        <f>IF(AN388=0,I388,0)</f>
        <v>0</v>
      </c>
      <c r="AK388" s="55">
        <f>IF(AN388=12,I388,0)</f>
        <v>0</v>
      </c>
      <c r="AL388" s="55">
        <f>IF(AN388=21,I388,0)</f>
        <v>0</v>
      </c>
      <c r="AN388" s="55">
        <v>21</v>
      </c>
      <c r="AO388" s="55">
        <f>H388*0.455741677</f>
        <v>0</v>
      </c>
      <c r="AP388" s="55">
        <f>H388*(1-0.455741677)</f>
        <v>0</v>
      </c>
      <c r="AQ388" s="58" t="s">
        <v>118</v>
      </c>
      <c r="AV388" s="55">
        <f>AW388+AX388</f>
        <v>0</v>
      </c>
      <c r="AW388" s="55">
        <f>G388*AO388</f>
        <v>0</v>
      </c>
      <c r="AX388" s="55">
        <f>G388*AP388</f>
        <v>0</v>
      </c>
      <c r="AY388" s="58" t="s">
        <v>498</v>
      </c>
      <c r="AZ388" s="58" t="s">
        <v>279</v>
      </c>
      <c r="BA388" s="33" t="s">
        <v>125</v>
      </c>
      <c r="BB388" s="59">
        <v>100033</v>
      </c>
      <c r="BC388" s="55">
        <f>AW388+AX388</f>
        <v>0</v>
      </c>
      <c r="BD388" s="55">
        <f>H388/(100-BE388)*100</f>
        <v>0</v>
      </c>
      <c r="BE388" s="55">
        <v>0</v>
      </c>
      <c r="BF388" s="55">
        <f>L388</f>
        <v>2.7635284999999996</v>
      </c>
      <c r="BH388" s="55">
        <f>G388*AO388</f>
        <v>0</v>
      </c>
      <c r="BI388" s="55">
        <f>G388*AP388</f>
        <v>0</v>
      </c>
      <c r="BJ388" s="55">
        <f>G388*H388</f>
        <v>0</v>
      </c>
      <c r="BK388" s="55"/>
      <c r="BL388" s="55">
        <v>63</v>
      </c>
      <c r="BW388" s="55">
        <v>21</v>
      </c>
      <c r="BX388" s="3" t="s">
        <v>557</v>
      </c>
    </row>
    <row r="389" spans="1:76" ht="13.5" customHeight="1" x14ac:dyDescent="0.25">
      <c r="A389" s="60"/>
      <c r="D389" s="155" t="s">
        <v>558</v>
      </c>
      <c r="E389" s="156"/>
      <c r="F389" s="156"/>
      <c r="G389" s="156"/>
      <c r="H389" s="157"/>
      <c r="I389" s="156"/>
      <c r="J389" s="156"/>
      <c r="K389" s="156"/>
      <c r="L389" s="156"/>
      <c r="M389" s="158"/>
    </row>
    <row r="390" spans="1:76" x14ac:dyDescent="0.25">
      <c r="A390" s="60"/>
      <c r="D390" s="61" t="s">
        <v>532</v>
      </c>
      <c r="E390" s="61" t="s">
        <v>533</v>
      </c>
      <c r="G390" s="62">
        <v>22.2</v>
      </c>
      <c r="M390" s="63"/>
    </row>
    <row r="391" spans="1:76" x14ac:dyDescent="0.25">
      <c r="A391" s="60"/>
      <c r="D391" s="61" t="s">
        <v>534</v>
      </c>
      <c r="E391" s="61" t="s">
        <v>535</v>
      </c>
      <c r="G391" s="62">
        <v>21.64</v>
      </c>
      <c r="M391" s="63"/>
    </row>
    <row r="392" spans="1:76" x14ac:dyDescent="0.25">
      <c r="A392" s="60"/>
      <c r="D392" s="61" t="s">
        <v>536</v>
      </c>
      <c r="E392" s="61" t="s">
        <v>537</v>
      </c>
      <c r="G392" s="62">
        <v>20.81</v>
      </c>
      <c r="M392" s="63"/>
    </row>
    <row r="393" spans="1:76" x14ac:dyDescent="0.25">
      <c r="A393" s="60"/>
      <c r="D393" s="61" t="s">
        <v>538</v>
      </c>
      <c r="E393" s="61" t="s">
        <v>539</v>
      </c>
      <c r="G393" s="62">
        <v>21.75</v>
      </c>
      <c r="M393" s="63"/>
    </row>
    <row r="394" spans="1:76" x14ac:dyDescent="0.25">
      <c r="A394" s="60"/>
      <c r="D394" s="61" t="s">
        <v>540</v>
      </c>
      <c r="E394" s="61" t="s">
        <v>541</v>
      </c>
      <c r="G394" s="62">
        <v>19.22</v>
      </c>
      <c r="M394" s="63"/>
    </row>
    <row r="395" spans="1:76" x14ac:dyDescent="0.25">
      <c r="A395" s="60"/>
      <c r="D395" s="61" t="s">
        <v>542</v>
      </c>
      <c r="E395" s="61" t="s">
        <v>543</v>
      </c>
      <c r="G395" s="62">
        <v>20.36</v>
      </c>
      <c r="M395" s="63"/>
    </row>
    <row r="396" spans="1:76" x14ac:dyDescent="0.25">
      <c r="A396" s="60"/>
      <c r="D396" s="61" t="s">
        <v>544</v>
      </c>
      <c r="E396" s="61" t="s">
        <v>545</v>
      </c>
      <c r="G396" s="62">
        <v>7.3</v>
      </c>
      <c r="M396" s="63"/>
    </row>
    <row r="397" spans="1:76" x14ac:dyDescent="0.25">
      <c r="A397" s="60"/>
      <c r="D397" s="61" t="s">
        <v>548</v>
      </c>
      <c r="E397" s="61" t="s">
        <v>310</v>
      </c>
      <c r="G397" s="62">
        <v>154.38</v>
      </c>
      <c r="M397" s="63"/>
    </row>
    <row r="398" spans="1:76" x14ac:dyDescent="0.25">
      <c r="A398" s="60"/>
      <c r="D398" s="61" t="s">
        <v>546</v>
      </c>
      <c r="E398" s="61" t="s">
        <v>547</v>
      </c>
      <c r="G398" s="62">
        <v>29.33</v>
      </c>
      <c r="M398" s="63"/>
    </row>
    <row r="399" spans="1:76" x14ac:dyDescent="0.25">
      <c r="A399" s="60"/>
      <c r="D399" s="61" t="s">
        <v>549</v>
      </c>
      <c r="E399" s="61" t="s">
        <v>550</v>
      </c>
      <c r="G399" s="62">
        <v>36.67</v>
      </c>
      <c r="M399" s="63"/>
    </row>
    <row r="400" spans="1:76" x14ac:dyDescent="0.25">
      <c r="A400" s="60"/>
      <c r="D400" s="61" t="s">
        <v>551</v>
      </c>
      <c r="E400" s="61" t="s">
        <v>552</v>
      </c>
      <c r="G400" s="62">
        <v>25.08</v>
      </c>
      <c r="M400" s="63"/>
    </row>
    <row r="401" spans="1:76" x14ac:dyDescent="0.25">
      <c r="A401" s="60"/>
      <c r="D401" s="61" t="s">
        <v>553</v>
      </c>
      <c r="E401" s="61" t="s">
        <v>554</v>
      </c>
      <c r="G401" s="62">
        <v>18.89</v>
      </c>
      <c r="M401" s="63"/>
    </row>
    <row r="402" spans="1:76" ht="25.5" x14ac:dyDescent="0.25">
      <c r="A402" s="60"/>
      <c r="C402" s="64" t="s">
        <v>127</v>
      </c>
      <c r="D402" s="159" t="s">
        <v>529</v>
      </c>
      <c r="E402" s="160"/>
      <c r="F402" s="160"/>
      <c r="G402" s="160"/>
      <c r="H402" s="161"/>
      <c r="I402" s="160"/>
      <c r="J402" s="160"/>
      <c r="K402" s="160"/>
      <c r="L402" s="160"/>
      <c r="M402" s="162"/>
      <c r="BX402" s="65" t="s">
        <v>529</v>
      </c>
    </row>
    <row r="403" spans="1:76" x14ac:dyDescent="0.25">
      <c r="A403" s="1" t="s">
        <v>559</v>
      </c>
      <c r="B403" s="2" t="s">
        <v>4</v>
      </c>
      <c r="C403" s="2" t="s">
        <v>560</v>
      </c>
      <c r="D403" s="82" t="s">
        <v>561</v>
      </c>
      <c r="E403" s="83"/>
      <c r="F403" s="2" t="s">
        <v>121</v>
      </c>
      <c r="G403" s="55">
        <v>3.7824</v>
      </c>
      <c r="H403" s="56">
        <v>0</v>
      </c>
      <c r="I403" s="55">
        <f>G403*H403</f>
        <v>0</v>
      </c>
      <c r="J403" s="55">
        <v>0</v>
      </c>
      <c r="K403" s="55">
        <v>2.3633999999999999</v>
      </c>
      <c r="L403" s="55">
        <f>G403*K403</f>
        <v>8.93932416</v>
      </c>
      <c r="M403" s="57" t="s">
        <v>122</v>
      </c>
      <c r="Z403" s="55">
        <f>IF(AQ403="5",BJ403,0)</f>
        <v>0</v>
      </c>
      <c r="AB403" s="55">
        <f>IF(AQ403="1",BH403,0)</f>
        <v>0</v>
      </c>
      <c r="AC403" s="55">
        <f>IF(AQ403="1",BI403,0)</f>
        <v>0</v>
      </c>
      <c r="AD403" s="55">
        <f>IF(AQ403="7",BH403,0)</f>
        <v>0</v>
      </c>
      <c r="AE403" s="55">
        <f>IF(AQ403="7",BI403,0)</f>
        <v>0</v>
      </c>
      <c r="AF403" s="55">
        <f>IF(AQ403="2",BH403,0)</f>
        <v>0</v>
      </c>
      <c r="AG403" s="55">
        <f>IF(AQ403="2",BI403,0)</f>
        <v>0</v>
      </c>
      <c r="AH403" s="55">
        <f>IF(AQ403="0",BJ403,0)</f>
        <v>0</v>
      </c>
      <c r="AI403" s="33" t="s">
        <v>4</v>
      </c>
      <c r="AJ403" s="55">
        <f>IF(AN403=0,I403,0)</f>
        <v>0</v>
      </c>
      <c r="AK403" s="55">
        <f>IF(AN403=12,I403,0)</f>
        <v>0</v>
      </c>
      <c r="AL403" s="55">
        <f>IF(AN403=21,I403,0)</f>
        <v>0</v>
      </c>
      <c r="AN403" s="55">
        <v>21</v>
      </c>
      <c r="AO403" s="55">
        <f>H403*0.778567767</f>
        <v>0</v>
      </c>
      <c r="AP403" s="55">
        <f>H403*(1-0.778567767)</f>
        <v>0</v>
      </c>
      <c r="AQ403" s="58" t="s">
        <v>118</v>
      </c>
      <c r="AV403" s="55">
        <f>AW403+AX403</f>
        <v>0</v>
      </c>
      <c r="AW403" s="55">
        <f>G403*AO403</f>
        <v>0</v>
      </c>
      <c r="AX403" s="55">
        <f>G403*AP403</f>
        <v>0</v>
      </c>
      <c r="AY403" s="58" t="s">
        <v>498</v>
      </c>
      <c r="AZ403" s="58" t="s">
        <v>279</v>
      </c>
      <c r="BA403" s="33" t="s">
        <v>125</v>
      </c>
      <c r="BB403" s="59">
        <v>100033</v>
      </c>
      <c r="BC403" s="55">
        <f>AW403+AX403</f>
        <v>0</v>
      </c>
      <c r="BD403" s="55">
        <f>H403/(100-BE403)*100</f>
        <v>0</v>
      </c>
      <c r="BE403" s="55">
        <v>0</v>
      </c>
      <c r="BF403" s="55">
        <f>L403</f>
        <v>8.93932416</v>
      </c>
      <c r="BH403" s="55">
        <f>G403*AO403</f>
        <v>0</v>
      </c>
      <c r="BI403" s="55">
        <f>G403*AP403</f>
        <v>0</v>
      </c>
      <c r="BJ403" s="55">
        <f>G403*H403</f>
        <v>0</v>
      </c>
      <c r="BK403" s="55"/>
      <c r="BL403" s="55">
        <v>63</v>
      </c>
      <c r="BW403" s="55">
        <v>21</v>
      </c>
      <c r="BX403" s="3" t="s">
        <v>561</v>
      </c>
    </row>
    <row r="404" spans="1:76" ht="13.5" customHeight="1" x14ac:dyDescent="0.25">
      <c r="A404" s="60"/>
      <c r="D404" s="155" t="s">
        <v>562</v>
      </c>
      <c r="E404" s="156"/>
      <c r="F404" s="156"/>
      <c r="G404" s="156"/>
      <c r="H404" s="157"/>
      <c r="I404" s="156"/>
      <c r="J404" s="156"/>
      <c r="K404" s="156"/>
      <c r="L404" s="156"/>
      <c r="M404" s="158"/>
    </row>
    <row r="405" spans="1:76" x14ac:dyDescent="0.25">
      <c r="A405" s="60"/>
      <c r="D405" s="61" t="s">
        <v>563</v>
      </c>
      <c r="E405" s="61" t="s">
        <v>4</v>
      </c>
      <c r="G405" s="62">
        <v>3.7824</v>
      </c>
      <c r="M405" s="63"/>
    </row>
    <row r="406" spans="1:76" ht="51" x14ac:dyDescent="0.25">
      <c r="A406" s="60"/>
      <c r="C406" s="64" t="s">
        <v>127</v>
      </c>
      <c r="D406" s="159" t="s">
        <v>564</v>
      </c>
      <c r="E406" s="160"/>
      <c r="F406" s="160"/>
      <c r="G406" s="160"/>
      <c r="H406" s="161"/>
      <c r="I406" s="160"/>
      <c r="J406" s="160"/>
      <c r="K406" s="160"/>
      <c r="L406" s="160"/>
      <c r="M406" s="162"/>
      <c r="BX406" s="65" t="s">
        <v>564</v>
      </c>
    </row>
    <row r="407" spans="1:76" x14ac:dyDescent="0.25">
      <c r="A407" s="1" t="s">
        <v>565</v>
      </c>
      <c r="B407" s="2" t="s">
        <v>4</v>
      </c>
      <c r="C407" s="2" t="s">
        <v>566</v>
      </c>
      <c r="D407" s="82" t="s">
        <v>567</v>
      </c>
      <c r="E407" s="83"/>
      <c r="F407" s="2" t="s">
        <v>219</v>
      </c>
      <c r="G407" s="55">
        <v>126.08</v>
      </c>
      <c r="H407" s="56">
        <v>0</v>
      </c>
      <c r="I407" s="55">
        <f>G407*H407</f>
        <v>0</v>
      </c>
      <c r="J407" s="55">
        <v>0</v>
      </c>
      <c r="K407" s="55">
        <v>1.2800000000000001E-3</v>
      </c>
      <c r="L407" s="55">
        <f>G407*K407</f>
        <v>0.16138240000000001</v>
      </c>
      <c r="M407" s="57" t="s">
        <v>122</v>
      </c>
      <c r="Z407" s="55">
        <f>IF(AQ407="5",BJ407,0)</f>
        <v>0</v>
      </c>
      <c r="AB407" s="55">
        <f>IF(AQ407="1",BH407,0)</f>
        <v>0</v>
      </c>
      <c r="AC407" s="55">
        <f>IF(AQ407="1",BI407,0)</f>
        <v>0</v>
      </c>
      <c r="AD407" s="55">
        <f>IF(AQ407="7",BH407,0)</f>
        <v>0</v>
      </c>
      <c r="AE407" s="55">
        <f>IF(AQ407="7",BI407,0)</f>
        <v>0</v>
      </c>
      <c r="AF407" s="55">
        <f>IF(AQ407="2",BH407,0)</f>
        <v>0</v>
      </c>
      <c r="AG407" s="55">
        <f>IF(AQ407="2",BI407,0)</f>
        <v>0</v>
      </c>
      <c r="AH407" s="55">
        <f>IF(AQ407="0",BJ407,0)</f>
        <v>0</v>
      </c>
      <c r="AI407" s="33" t="s">
        <v>4</v>
      </c>
      <c r="AJ407" s="55">
        <f>IF(AN407=0,I407,0)</f>
        <v>0</v>
      </c>
      <c r="AK407" s="55">
        <f>IF(AN407=12,I407,0)</f>
        <v>0</v>
      </c>
      <c r="AL407" s="55">
        <f>IF(AN407=21,I407,0)</f>
        <v>0</v>
      </c>
      <c r="AN407" s="55">
        <v>21</v>
      </c>
      <c r="AO407" s="55">
        <f>H407*0.347363601</f>
        <v>0</v>
      </c>
      <c r="AP407" s="55">
        <f>H407*(1-0.347363601)</f>
        <v>0</v>
      </c>
      <c r="AQ407" s="58" t="s">
        <v>118</v>
      </c>
      <c r="AV407" s="55">
        <f>AW407+AX407</f>
        <v>0</v>
      </c>
      <c r="AW407" s="55">
        <f>G407*AO407</f>
        <v>0</v>
      </c>
      <c r="AX407" s="55">
        <f>G407*AP407</f>
        <v>0</v>
      </c>
      <c r="AY407" s="58" t="s">
        <v>498</v>
      </c>
      <c r="AZ407" s="58" t="s">
        <v>279</v>
      </c>
      <c r="BA407" s="33" t="s">
        <v>125</v>
      </c>
      <c r="BB407" s="59">
        <v>100033</v>
      </c>
      <c r="BC407" s="55">
        <f>AW407+AX407</f>
        <v>0</v>
      </c>
      <c r="BD407" s="55">
        <f>H407/(100-BE407)*100</f>
        <v>0</v>
      </c>
      <c r="BE407" s="55">
        <v>0</v>
      </c>
      <c r="BF407" s="55">
        <f>L407</f>
        <v>0.16138240000000001</v>
      </c>
      <c r="BH407" s="55">
        <f>G407*AO407</f>
        <v>0</v>
      </c>
      <c r="BI407" s="55">
        <f>G407*AP407</f>
        <v>0</v>
      </c>
      <c r="BJ407" s="55">
        <f>G407*H407</f>
        <v>0</v>
      </c>
      <c r="BK407" s="55"/>
      <c r="BL407" s="55">
        <v>63</v>
      </c>
      <c r="BW407" s="55">
        <v>21</v>
      </c>
      <c r="BX407" s="3" t="s">
        <v>567</v>
      </c>
    </row>
    <row r="408" spans="1:76" x14ac:dyDescent="0.25">
      <c r="A408" s="60"/>
      <c r="D408" s="61" t="s">
        <v>568</v>
      </c>
      <c r="E408" s="61" t="s">
        <v>4</v>
      </c>
      <c r="G408" s="62">
        <v>126.08</v>
      </c>
      <c r="M408" s="63"/>
    </row>
    <row r="409" spans="1:76" ht="25.5" x14ac:dyDescent="0.25">
      <c r="A409" s="60"/>
      <c r="C409" s="64" t="s">
        <v>127</v>
      </c>
      <c r="D409" s="159" t="s">
        <v>569</v>
      </c>
      <c r="E409" s="160"/>
      <c r="F409" s="160"/>
      <c r="G409" s="160"/>
      <c r="H409" s="161"/>
      <c r="I409" s="160"/>
      <c r="J409" s="160"/>
      <c r="K409" s="160"/>
      <c r="L409" s="160"/>
      <c r="M409" s="162"/>
      <c r="BX409" s="65" t="s">
        <v>569</v>
      </c>
    </row>
    <row r="410" spans="1:76" x14ac:dyDescent="0.25">
      <c r="A410" s="1" t="s">
        <v>570</v>
      </c>
      <c r="B410" s="2" t="s">
        <v>4</v>
      </c>
      <c r="C410" s="2" t="s">
        <v>571</v>
      </c>
      <c r="D410" s="82" t="s">
        <v>572</v>
      </c>
      <c r="E410" s="83"/>
      <c r="F410" s="2" t="s">
        <v>157</v>
      </c>
      <c r="G410" s="55">
        <v>63.04</v>
      </c>
      <c r="H410" s="56">
        <v>0</v>
      </c>
      <c r="I410" s="55">
        <f>G410*H410</f>
        <v>0</v>
      </c>
      <c r="J410" s="55">
        <v>0</v>
      </c>
      <c r="K410" s="55">
        <v>0.11799999999999999</v>
      </c>
      <c r="L410" s="55">
        <f>G410*K410</f>
        <v>7.4387199999999991</v>
      </c>
      <c r="M410" s="57" t="s">
        <v>122</v>
      </c>
      <c r="Z410" s="55">
        <f>IF(AQ410="5",BJ410,0)</f>
        <v>0</v>
      </c>
      <c r="AB410" s="55">
        <f>IF(AQ410="1",BH410,0)</f>
        <v>0</v>
      </c>
      <c r="AC410" s="55">
        <f>IF(AQ410="1",BI410,0)</f>
        <v>0</v>
      </c>
      <c r="AD410" s="55">
        <f>IF(AQ410="7",BH410,0)</f>
        <v>0</v>
      </c>
      <c r="AE410" s="55">
        <f>IF(AQ410="7",BI410,0)</f>
        <v>0</v>
      </c>
      <c r="AF410" s="55">
        <f>IF(AQ410="2",BH410,0)</f>
        <v>0</v>
      </c>
      <c r="AG410" s="55">
        <f>IF(AQ410="2",BI410,0)</f>
        <v>0</v>
      </c>
      <c r="AH410" s="55">
        <f>IF(AQ410="0",BJ410,0)</f>
        <v>0</v>
      </c>
      <c r="AI410" s="33" t="s">
        <v>4</v>
      </c>
      <c r="AJ410" s="55">
        <f>IF(AN410=0,I410,0)</f>
        <v>0</v>
      </c>
      <c r="AK410" s="55">
        <f>IF(AN410=12,I410,0)</f>
        <v>0</v>
      </c>
      <c r="AL410" s="55">
        <f>IF(AN410=21,I410,0)</f>
        <v>0</v>
      </c>
      <c r="AN410" s="55">
        <v>21</v>
      </c>
      <c r="AO410" s="55">
        <f>H410*0.5945</f>
        <v>0</v>
      </c>
      <c r="AP410" s="55">
        <f>H410*(1-0.5945)</f>
        <v>0</v>
      </c>
      <c r="AQ410" s="58" t="s">
        <v>118</v>
      </c>
      <c r="AV410" s="55">
        <f>AW410+AX410</f>
        <v>0</v>
      </c>
      <c r="AW410" s="55">
        <f>G410*AO410</f>
        <v>0</v>
      </c>
      <c r="AX410" s="55">
        <f>G410*AP410</f>
        <v>0</v>
      </c>
      <c r="AY410" s="58" t="s">
        <v>498</v>
      </c>
      <c r="AZ410" s="58" t="s">
        <v>279</v>
      </c>
      <c r="BA410" s="33" t="s">
        <v>125</v>
      </c>
      <c r="BB410" s="59">
        <v>100033</v>
      </c>
      <c r="BC410" s="55">
        <f>AW410+AX410</f>
        <v>0</v>
      </c>
      <c r="BD410" s="55">
        <f>H410/(100-BE410)*100</f>
        <v>0</v>
      </c>
      <c r="BE410" s="55">
        <v>0</v>
      </c>
      <c r="BF410" s="55">
        <f>L410</f>
        <v>7.4387199999999991</v>
      </c>
      <c r="BH410" s="55">
        <f>G410*AO410</f>
        <v>0</v>
      </c>
      <c r="BI410" s="55">
        <f>G410*AP410</f>
        <v>0</v>
      </c>
      <c r="BJ410" s="55">
        <f>G410*H410</f>
        <v>0</v>
      </c>
      <c r="BK410" s="55"/>
      <c r="BL410" s="55">
        <v>63</v>
      </c>
      <c r="BW410" s="55">
        <v>21</v>
      </c>
      <c r="BX410" s="3" t="s">
        <v>572</v>
      </c>
    </row>
    <row r="411" spans="1:76" x14ac:dyDescent="0.25">
      <c r="A411" s="60"/>
      <c r="D411" s="61" t="s">
        <v>573</v>
      </c>
      <c r="E411" s="61" t="s">
        <v>4</v>
      </c>
      <c r="G411" s="62">
        <v>63.04</v>
      </c>
      <c r="M411" s="63"/>
    </row>
    <row r="412" spans="1:76" ht="89.25" x14ac:dyDescent="0.25">
      <c r="A412" s="60"/>
      <c r="C412" s="64" t="s">
        <v>127</v>
      </c>
      <c r="D412" s="159" t="s">
        <v>574</v>
      </c>
      <c r="E412" s="160"/>
      <c r="F412" s="160"/>
      <c r="G412" s="160"/>
      <c r="H412" s="161"/>
      <c r="I412" s="160"/>
      <c r="J412" s="160"/>
      <c r="K412" s="160"/>
      <c r="L412" s="160"/>
      <c r="M412" s="162"/>
      <c r="BX412" s="65" t="s">
        <v>574</v>
      </c>
    </row>
    <row r="413" spans="1:76" x14ac:dyDescent="0.25">
      <c r="A413" s="1" t="s">
        <v>575</v>
      </c>
      <c r="B413" s="2" t="s">
        <v>4</v>
      </c>
      <c r="C413" s="2" t="s">
        <v>576</v>
      </c>
      <c r="D413" s="82" t="s">
        <v>577</v>
      </c>
      <c r="E413" s="83"/>
      <c r="F413" s="2" t="s">
        <v>121</v>
      </c>
      <c r="G413" s="55">
        <v>45.9</v>
      </c>
      <c r="H413" s="56">
        <v>0</v>
      </c>
      <c r="I413" s="55">
        <f>G413*H413</f>
        <v>0</v>
      </c>
      <c r="J413" s="55">
        <v>0</v>
      </c>
      <c r="K413" s="55">
        <v>2.5249999999999999</v>
      </c>
      <c r="L413" s="55">
        <f>G413*K413</f>
        <v>115.89749999999999</v>
      </c>
      <c r="M413" s="57" t="s">
        <v>122</v>
      </c>
      <c r="Z413" s="55">
        <f>IF(AQ413="5",BJ413,0)</f>
        <v>0</v>
      </c>
      <c r="AB413" s="55">
        <f>IF(AQ413="1",BH413,0)</f>
        <v>0</v>
      </c>
      <c r="AC413" s="55">
        <f>IF(AQ413="1",BI413,0)</f>
        <v>0</v>
      </c>
      <c r="AD413" s="55">
        <f>IF(AQ413="7",BH413,0)</f>
        <v>0</v>
      </c>
      <c r="AE413" s="55">
        <f>IF(AQ413="7",BI413,0)</f>
        <v>0</v>
      </c>
      <c r="AF413" s="55">
        <f>IF(AQ413="2",BH413,0)</f>
        <v>0</v>
      </c>
      <c r="AG413" s="55">
        <f>IF(AQ413="2",BI413,0)</f>
        <v>0</v>
      </c>
      <c r="AH413" s="55">
        <f>IF(AQ413="0",BJ413,0)</f>
        <v>0</v>
      </c>
      <c r="AI413" s="33" t="s">
        <v>4</v>
      </c>
      <c r="AJ413" s="55">
        <f>IF(AN413=0,I413,0)</f>
        <v>0</v>
      </c>
      <c r="AK413" s="55">
        <f>IF(AN413=12,I413,0)</f>
        <v>0</v>
      </c>
      <c r="AL413" s="55">
        <f>IF(AN413=21,I413,0)</f>
        <v>0</v>
      </c>
      <c r="AN413" s="55">
        <v>21</v>
      </c>
      <c r="AO413" s="55">
        <f>H413*0.745160501</f>
        <v>0</v>
      </c>
      <c r="AP413" s="55">
        <f>H413*(1-0.745160501)</f>
        <v>0</v>
      </c>
      <c r="AQ413" s="58" t="s">
        <v>118</v>
      </c>
      <c r="AV413" s="55">
        <f>AW413+AX413</f>
        <v>0</v>
      </c>
      <c r="AW413" s="55">
        <f>G413*AO413</f>
        <v>0</v>
      </c>
      <c r="AX413" s="55">
        <f>G413*AP413</f>
        <v>0</v>
      </c>
      <c r="AY413" s="58" t="s">
        <v>498</v>
      </c>
      <c r="AZ413" s="58" t="s">
        <v>279</v>
      </c>
      <c r="BA413" s="33" t="s">
        <v>125</v>
      </c>
      <c r="BB413" s="59">
        <v>100033</v>
      </c>
      <c r="BC413" s="55">
        <f>AW413+AX413</f>
        <v>0</v>
      </c>
      <c r="BD413" s="55">
        <f>H413/(100-BE413)*100</f>
        <v>0</v>
      </c>
      <c r="BE413" s="55">
        <v>0</v>
      </c>
      <c r="BF413" s="55">
        <f>L413</f>
        <v>115.89749999999999</v>
      </c>
      <c r="BH413" s="55">
        <f>G413*AO413</f>
        <v>0</v>
      </c>
      <c r="BI413" s="55">
        <f>G413*AP413</f>
        <v>0</v>
      </c>
      <c r="BJ413" s="55">
        <f>G413*H413</f>
        <v>0</v>
      </c>
      <c r="BK413" s="55"/>
      <c r="BL413" s="55">
        <v>63</v>
      </c>
      <c r="BW413" s="55">
        <v>21</v>
      </c>
      <c r="BX413" s="3" t="s">
        <v>577</v>
      </c>
    </row>
    <row r="414" spans="1:76" ht="13.5" customHeight="1" x14ac:dyDescent="0.25">
      <c r="A414" s="60"/>
      <c r="D414" s="155" t="s">
        <v>578</v>
      </c>
      <c r="E414" s="156"/>
      <c r="F414" s="156"/>
      <c r="G414" s="156"/>
      <c r="H414" s="157"/>
      <c r="I414" s="156"/>
      <c r="J414" s="156"/>
      <c r="K414" s="156"/>
      <c r="L414" s="156"/>
      <c r="M414" s="158"/>
    </row>
    <row r="415" spans="1:76" x14ac:dyDescent="0.25">
      <c r="A415" s="60"/>
      <c r="D415" s="61" t="s">
        <v>579</v>
      </c>
      <c r="E415" s="61" t="s">
        <v>4</v>
      </c>
      <c r="G415" s="62">
        <v>45.9</v>
      </c>
      <c r="M415" s="63"/>
    </row>
    <row r="416" spans="1:76" ht="76.5" x14ac:dyDescent="0.25">
      <c r="A416" s="60"/>
      <c r="C416" s="64" t="s">
        <v>127</v>
      </c>
      <c r="D416" s="159" t="s">
        <v>580</v>
      </c>
      <c r="E416" s="160"/>
      <c r="F416" s="160"/>
      <c r="G416" s="160"/>
      <c r="H416" s="161"/>
      <c r="I416" s="160"/>
      <c r="J416" s="160"/>
      <c r="K416" s="160"/>
      <c r="L416" s="160"/>
      <c r="M416" s="162"/>
      <c r="BX416" s="65" t="s">
        <v>580</v>
      </c>
    </row>
    <row r="417" spans="1:76" x14ac:dyDescent="0.25">
      <c r="A417" s="1" t="s">
        <v>581</v>
      </c>
      <c r="B417" s="2" t="s">
        <v>4</v>
      </c>
      <c r="C417" s="2" t="s">
        <v>582</v>
      </c>
      <c r="D417" s="82" t="s">
        <v>583</v>
      </c>
      <c r="E417" s="83"/>
      <c r="F417" s="2" t="s">
        <v>219</v>
      </c>
      <c r="G417" s="55">
        <v>474.15</v>
      </c>
      <c r="H417" s="56">
        <v>0</v>
      </c>
      <c r="I417" s="55">
        <f>G417*H417</f>
        <v>0</v>
      </c>
      <c r="J417" s="55">
        <v>0</v>
      </c>
      <c r="K417" s="55">
        <v>1.6000000000000001E-4</v>
      </c>
      <c r="L417" s="55">
        <f>G417*K417</f>
        <v>7.5864000000000001E-2</v>
      </c>
      <c r="M417" s="57" t="s">
        <v>122</v>
      </c>
      <c r="Z417" s="55">
        <f>IF(AQ417="5",BJ417,0)</f>
        <v>0</v>
      </c>
      <c r="AB417" s="55">
        <f>IF(AQ417="1",BH417,0)</f>
        <v>0</v>
      </c>
      <c r="AC417" s="55">
        <f>IF(AQ417="1",BI417,0)</f>
        <v>0</v>
      </c>
      <c r="AD417" s="55">
        <f>IF(AQ417="7",BH417,0)</f>
        <v>0</v>
      </c>
      <c r="AE417" s="55">
        <f>IF(AQ417="7",BI417,0)</f>
        <v>0</v>
      </c>
      <c r="AF417" s="55">
        <f>IF(AQ417="2",BH417,0)</f>
        <v>0</v>
      </c>
      <c r="AG417" s="55">
        <f>IF(AQ417="2",BI417,0)</f>
        <v>0</v>
      </c>
      <c r="AH417" s="55">
        <f>IF(AQ417="0",BJ417,0)</f>
        <v>0</v>
      </c>
      <c r="AI417" s="33" t="s">
        <v>4</v>
      </c>
      <c r="AJ417" s="55">
        <f>IF(AN417=0,I417,0)</f>
        <v>0</v>
      </c>
      <c r="AK417" s="55">
        <f>IF(AN417=12,I417,0)</f>
        <v>0</v>
      </c>
      <c r="AL417" s="55">
        <f>IF(AN417=21,I417,0)</f>
        <v>0</v>
      </c>
      <c r="AN417" s="55">
        <v>21</v>
      </c>
      <c r="AO417" s="55">
        <f>H417*0.660756501</f>
        <v>0</v>
      </c>
      <c r="AP417" s="55">
        <f>H417*(1-0.660756501)</f>
        <v>0</v>
      </c>
      <c r="AQ417" s="58" t="s">
        <v>118</v>
      </c>
      <c r="AV417" s="55">
        <f>AW417+AX417</f>
        <v>0</v>
      </c>
      <c r="AW417" s="55">
        <f>G417*AO417</f>
        <v>0</v>
      </c>
      <c r="AX417" s="55">
        <f>G417*AP417</f>
        <v>0</v>
      </c>
      <c r="AY417" s="58" t="s">
        <v>498</v>
      </c>
      <c r="AZ417" s="58" t="s">
        <v>279</v>
      </c>
      <c r="BA417" s="33" t="s">
        <v>125</v>
      </c>
      <c r="BB417" s="59">
        <v>100033</v>
      </c>
      <c r="BC417" s="55">
        <f>AW417+AX417</f>
        <v>0</v>
      </c>
      <c r="BD417" s="55">
        <f>H417/(100-BE417)*100</f>
        <v>0</v>
      </c>
      <c r="BE417" s="55">
        <v>0</v>
      </c>
      <c r="BF417" s="55">
        <f>L417</f>
        <v>7.5864000000000001E-2</v>
      </c>
      <c r="BH417" s="55">
        <f>G417*AO417</f>
        <v>0</v>
      </c>
      <c r="BI417" s="55">
        <f>G417*AP417</f>
        <v>0</v>
      </c>
      <c r="BJ417" s="55">
        <f>G417*H417</f>
        <v>0</v>
      </c>
      <c r="BK417" s="55"/>
      <c r="BL417" s="55">
        <v>63</v>
      </c>
      <c r="BW417" s="55">
        <v>21</v>
      </c>
      <c r="BX417" s="3" t="s">
        <v>583</v>
      </c>
    </row>
    <row r="418" spans="1:76" ht="13.5" customHeight="1" x14ac:dyDescent="0.25">
      <c r="A418" s="60"/>
      <c r="D418" s="155" t="s">
        <v>584</v>
      </c>
      <c r="E418" s="156"/>
      <c r="F418" s="156"/>
      <c r="G418" s="156"/>
      <c r="H418" s="157"/>
      <c r="I418" s="156"/>
      <c r="J418" s="156"/>
      <c r="K418" s="156"/>
      <c r="L418" s="156"/>
      <c r="M418" s="158"/>
    </row>
    <row r="419" spans="1:76" x14ac:dyDescent="0.25">
      <c r="A419" s="60"/>
      <c r="D419" s="61" t="s">
        <v>585</v>
      </c>
      <c r="E419" s="61" t="s">
        <v>586</v>
      </c>
      <c r="G419" s="62">
        <v>474.15</v>
      </c>
      <c r="M419" s="63"/>
    </row>
    <row r="420" spans="1:76" x14ac:dyDescent="0.25">
      <c r="A420" s="1" t="s">
        <v>587</v>
      </c>
      <c r="B420" s="2" t="s">
        <v>4</v>
      </c>
      <c r="C420" s="2" t="s">
        <v>588</v>
      </c>
      <c r="D420" s="82" t="s">
        <v>589</v>
      </c>
      <c r="E420" s="83"/>
      <c r="F420" s="2" t="s">
        <v>157</v>
      </c>
      <c r="G420" s="55">
        <v>510</v>
      </c>
      <c r="H420" s="56">
        <v>0</v>
      </c>
      <c r="I420" s="55">
        <f>G420*H420</f>
        <v>0</v>
      </c>
      <c r="J420" s="55">
        <v>0</v>
      </c>
      <c r="K420" s="55">
        <v>9.1E-4</v>
      </c>
      <c r="L420" s="55">
        <f>G420*K420</f>
        <v>0.46410000000000001</v>
      </c>
      <c r="M420" s="57" t="s">
        <v>122</v>
      </c>
      <c r="Z420" s="55">
        <f>IF(AQ420="5",BJ420,0)</f>
        <v>0</v>
      </c>
      <c r="AB420" s="55">
        <f>IF(AQ420="1",BH420,0)</f>
        <v>0</v>
      </c>
      <c r="AC420" s="55">
        <f>IF(AQ420="1",BI420,0)</f>
        <v>0</v>
      </c>
      <c r="AD420" s="55">
        <f>IF(AQ420="7",BH420,0)</f>
        <v>0</v>
      </c>
      <c r="AE420" s="55">
        <f>IF(AQ420="7",BI420,0)</f>
        <v>0</v>
      </c>
      <c r="AF420" s="55">
        <f>IF(AQ420="2",BH420,0)</f>
        <v>0</v>
      </c>
      <c r="AG420" s="55">
        <f>IF(AQ420="2",BI420,0)</f>
        <v>0</v>
      </c>
      <c r="AH420" s="55">
        <f>IF(AQ420="0",BJ420,0)</f>
        <v>0</v>
      </c>
      <c r="AI420" s="33" t="s">
        <v>4</v>
      </c>
      <c r="AJ420" s="55">
        <f>IF(AN420=0,I420,0)</f>
        <v>0</v>
      </c>
      <c r="AK420" s="55">
        <f>IF(AN420=12,I420,0)</f>
        <v>0</v>
      </c>
      <c r="AL420" s="55">
        <f>IF(AN420=21,I420,0)</f>
        <v>0</v>
      </c>
      <c r="AN420" s="55">
        <v>21</v>
      </c>
      <c r="AO420" s="55">
        <f>H420*0.605487179</f>
        <v>0</v>
      </c>
      <c r="AP420" s="55">
        <f>H420*(1-0.605487179)</f>
        <v>0</v>
      </c>
      <c r="AQ420" s="58" t="s">
        <v>118</v>
      </c>
      <c r="AV420" s="55">
        <f>AW420+AX420</f>
        <v>0</v>
      </c>
      <c r="AW420" s="55">
        <f>G420*AO420</f>
        <v>0</v>
      </c>
      <c r="AX420" s="55">
        <f>G420*AP420</f>
        <v>0</v>
      </c>
      <c r="AY420" s="58" t="s">
        <v>498</v>
      </c>
      <c r="AZ420" s="58" t="s">
        <v>279</v>
      </c>
      <c r="BA420" s="33" t="s">
        <v>125</v>
      </c>
      <c r="BB420" s="59">
        <v>100033</v>
      </c>
      <c r="BC420" s="55">
        <f>AW420+AX420</f>
        <v>0</v>
      </c>
      <c r="BD420" s="55">
        <f>H420/(100-BE420)*100</f>
        <v>0</v>
      </c>
      <c r="BE420" s="55">
        <v>0</v>
      </c>
      <c r="BF420" s="55">
        <f>L420</f>
        <v>0.46410000000000001</v>
      </c>
      <c r="BH420" s="55">
        <f>G420*AO420</f>
        <v>0</v>
      </c>
      <c r="BI420" s="55">
        <f>G420*AP420</f>
        <v>0</v>
      </c>
      <c r="BJ420" s="55">
        <f>G420*H420</f>
        <v>0</v>
      </c>
      <c r="BK420" s="55"/>
      <c r="BL420" s="55">
        <v>63</v>
      </c>
      <c r="BW420" s="55">
        <v>21</v>
      </c>
      <c r="BX420" s="3" t="s">
        <v>589</v>
      </c>
    </row>
    <row r="421" spans="1:76" x14ac:dyDescent="0.25">
      <c r="A421" s="60"/>
      <c r="D421" s="61" t="s">
        <v>590</v>
      </c>
      <c r="E421" s="61" t="s">
        <v>4</v>
      </c>
      <c r="G421" s="62">
        <v>510</v>
      </c>
      <c r="M421" s="63"/>
    </row>
    <row r="422" spans="1:76" x14ac:dyDescent="0.25">
      <c r="A422" s="50" t="s">
        <v>4</v>
      </c>
      <c r="B422" s="51" t="s">
        <v>4</v>
      </c>
      <c r="C422" s="51" t="s">
        <v>591</v>
      </c>
      <c r="D422" s="153" t="s">
        <v>592</v>
      </c>
      <c r="E422" s="154"/>
      <c r="F422" s="52" t="s">
        <v>78</v>
      </c>
      <c r="G422" s="52" t="s">
        <v>78</v>
      </c>
      <c r="H422" s="53" t="s">
        <v>78</v>
      </c>
      <c r="I422" s="26">
        <f>SUM(I423:I431)</f>
        <v>0</v>
      </c>
      <c r="J422" s="33" t="s">
        <v>4</v>
      </c>
      <c r="K422" s="33" t="s">
        <v>4</v>
      </c>
      <c r="L422" s="26">
        <f>SUM(L423:L431)</f>
        <v>0.65393999999999997</v>
      </c>
      <c r="M422" s="54" t="s">
        <v>4</v>
      </c>
      <c r="AI422" s="33" t="s">
        <v>4</v>
      </c>
      <c r="AS422" s="26">
        <f>SUM(AJ423:AJ431)</f>
        <v>0</v>
      </c>
      <c r="AT422" s="26">
        <f>SUM(AK423:AK431)</f>
        <v>0</v>
      </c>
      <c r="AU422" s="26">
        <f>SUM(AL423:AL431)</f>
        <v>0</v>
      </c>
    </row>
    <row r="423" spans="1:76" x14ac:dyDescent="0.25">
      <c r="A423" s="1" t="s">
        <v>593</v>
      </c>
      <c r="B423" s="2" t="s">
        <v>4</v>
      </c>
      <c r="C423" s="2" t="s">
        <v>594</v>
      </c>
      <c r="D423" s="82" t="s">
        <v>595</v>
      </c>
      <c r="E423" s="83"/>
      <c r="F423" s="2" t="s">
        <v>145</v>
      </c>
      <c r="G423" s="55">
        <v>2</v>
      </c>
      <c r="H423" s="56">
        <v>0</v>
      </c>
      <c r="I423" s="55">
        <f>G423*H423</f>
        <v>0</v>
      </c>
      <c r="J423" s="55">
        <v>0</v>
      </c>
      <c r="K423" s="55">
        <v>6.9309999999999997E-2</v>
      </c>
      <c r="L423" s="55">
        <f>G423*K423</f>
        <v>0.13861999999999999</v>
      </c>
      <c r="M423" s="57" t="s">
        <v>122</v>
      </c>
      <c r="Z423" s="55">
        <f>IF(AQ423="5",BJ423,0)</f>
        <v>0</v>
      </c>
      <c r="AB423" s="55">
        <f>IF(AQ423="1",BH423,0)</f>
        <v>0</v>
      </c>
      <c r="AC423" s="55">
        <f>IF(AQ423="1",BI423,0)</f>
        <v>0</v>
      </c>
      <c r="AD423" s="55">
        <f>IF(AQ423="7",BH423,0)</f>
        <v>0</v>
      </c>
      <c r="AE423" s="55">
        <f>IF(AQ423="7",BI423,0)</f>
        <v>0</v>
      </c>
      <c r="AF423" s="55">
        <f>IF(AQ423="2",BH423,0)</f>
        <v>0</v>
      </c>
      <c r="AG423" s="55">
        <f>IF(AQ423="2",BI423,0)</f>
        <v>0</v>
      </c>
      <c r="AH423" s="55">
        <f>IF(AQ423="0",BJ423,0)</f>
        <v>0</v>
      </c>
      <c r="AI423" s="33" t="s">
        <v>4</v>
      </c>
      <c r="AJ423" s="55">
        <f>IF(AN423=0,I423,0)</f>
        <v>0</v>
      </c>
      <c r="AK423" s="55">
        <f>IF(AN423=12,I423,0)</f>
        <v>0</v>
      </c>
      <c r="AL423" s="55">
        <f>IF(AN423=21,I423,0)</f>
        <v>0</v>
      </c>
      <c r="AN423" s="55">
        <v>21</v>
      </c>
      <c r="AO423" s="55">
        <f>H423*0.674155104</f>
        <v>0</v>
      </c>
      <c r="AP423" s="55">
        <f>H423*(1-0.674155104)</f>
        <v>0</v>
      </c>
      <c r="AQ423" s="58" t="s">
        <v>118</v>
      </c>
      <c r="AV423" s="55">
        <f>AW423+AX423</f>
        <v>0</v>
      </c>
      <c r="AW423" s="55">
        <f>G423*AO423</f>
        <v>0</v>
      </c>
      <c r="AX423" s="55">
        <f>G423*AP423</f>
        <v>0</v>
      </c>
      <c r="AY423" s="58" t="s">
        <v>596</v>
      </c>
      <c r="AZ423" s="58" t="s">
        <v>279</v>
      </c>
      <c r="BA423" s="33" t="s">
        <v>125</v>
      </c>
      <c r="BB423" s="59">
        <v>100030</v>
      </c>
      <c r="BC423" s="55">
        <f>AW423+AX423</f>
        <v>0</v>
      </c>
      <c r="BD423" s="55">
        <f>H423/(100-BE423)*100</f>
        <v>0</v>
      </c>
      <c r="BE423" s="55">
        <v>0</v>
      </c>
      <c r="BF423" s="55">
        <f>L423</f>
        <v>0.13861999999999999</v>
      </c>
      <c r="BH423" s="55">
        <f>G423*AO423</f>
        <v>0</v>
      </c>
      <c r="BI423" s="55">
        <f>G423*AP423</f>
        <v>0</v>
      </c>
      <c r="BJ423" s="55">
        <f>G423*H423</f>
        <v>0</v>
      </c>
      <c r="BK423" s="55"/>
      <c r="BL423" s="55">
        <v>64</v>
      </c>
      <c r="BW423" s="55">
        <v>21</v>
      </c>
      <c r="BX423" s="3" t="s">
        <v>595</v>
      </c>
    </row>
    <row r="424" spans="1:76" ht="13.5" customHeight="1" x14ac:dyDescent="0.25">
      <c r="A424" s="60"/>
      <c r="D424" s="155" t="s">
        <v>597</v>
      </c>
      <c r="E424" s="156"/>
      <c r="F424" s="156"/>
      <c r="G424" s="156"/>
      <c r="H424" s="157"/>
      <c r="I424" s="156"/>
      <c r="J424" s="156"/>
      <c r="K424" s="156"/>
      <c r="L424" s="156"/>
      <c r="M424" s="158"/>
    </row>
    <row r="425" spans="1:76" x14ac:dyDescent="0.25">
      <c r="A425" s="60"/>
      <c r="D425" s="61" t="s">
        <v>118</v>
      </c>
      <c r="E425" s="61" t="s">
        <v>598</v>
      </c>
      <c r="G425" s="62">
        <v>1</v>
      </c>
      <c r="M425" s="63"/>
    </row>
    <row r="426" spans="1:76" x14ac:dyDescent="0.25">
      <c r="A426" s="60"/>
      <c r="D426" s="61" t="s">
        <v>118</v>
      </c>
      <c r="E426" s="61" t="s">
        <v>599</v>
      </c>
      <c r="G426" s="62">
        <v>1</v>
      </c>
      <c r="M426" s="63"/>
    </row>
    <row r="427" spans="1:76" x14ac:dyDescent="0.25">
      <c r="A427" s="1" t="s">
        <v>600</v>
      </c>
      <c r="B427" s="2" t="s">
        <v>4</v>
      </c>
      <c r="C427" s="2" t="s">
        <v>601</v>
      </c>
      <c r="D427" s="82" t="s">
        <v>602</v>
      </c>
      <c r="E427" s="83"/>
      <c r="F427" s="2" t="s">
        <v>145</v>
      </c>
      <c r="G427" s="55">
        <v>1</v>
      </c>
      <c r="H427" s="56">
        <v>0</v>
      </c>
      <c r="I427" s="55">
        <f>G427*H427</f>
        <v>0</v>
      </c>
      <c r="J427" s="55">
        <v>0</v>
      </c>
      <c r="K427" s="55">
        <v>3.1269999999999999E-2</v>
      </c>
      <c r="L427" s="55">
        <f>G427*K427</f>
        <v>3.1269999999999999E-2</v>
      </c>
      <c r="M427" s="57" t="s">
        <v>122</v>
      </c>
      <c r="Z427" s="55">
        <f>IF(AQ427="5",BJ427,0)</f>
        <v>0</v>
      </c>
      <c r="AB427" s="55">
        <f>IF(AQ427="1",BH427,0)</f>
        <v>0</v>
      </c>
      <c r="AC427" s="55">
        <f>IF(AQ427="1",BI427,0)</f>
        <v>0</v>
      </c>
      <c r="AD427" s="55">
        <f>IF(AQ427="7",BH427,0)</f>
        <v>0</v>
      </c>
      <c r="AE427" s="55">
        <f>IF(AQ427="7",BI427,0)</f>
        <v>0</v>
      </c>
      <c r="AF427" s="55">
        <f>IF(AQ427="2",BH427,0)</f>
        <v>0</v>
      </c>
      <c r="AG427" s="55">
        <f>IF(AQ427="2",BI427,0)</f>
        <v>0</v>
      </c>
      <c r="AH427" s="55">
        <f>IF(AQ427="0",BJ427,0)</f>
        <v>0</v>
      </c>
      <c r="AI427" s="33" t="s">
        <v>4</v>
      </c>
      <c r="AJ427" s="55">
        <f>IF(AN427=0,I427,0)</f>
        <v>0</v>
      </c>
      <c r="AK427" s="55">
        <f>IF(AN427=12,I427,0)</f>
        <v>0</v>
      </c>
      <c r="AL427" s="55">
        <f>IF(AN427=21,I427,0)</f>
        <v>0</v>
      </c>
      <c r="AN427" s="55">
        <v>21</v>
      </c>
      <c r="AO427" s="55">
        <f>H427*0.640164336</f>
        <v>0</v>
      </c>
      <c r="AP427" s="55">
        <f>H427*(1-0.640164336)</f>
        <v>0</v>
      </c>
      <c r="AQ427" s="58" t="s">
        <v>118</v>
      </c>
      <c r="AV427" s="55">
        <f>AW427+AX427</f>
        <v>0</v>
      </c>
      <c r="AW427" s="55">
        <f>G427*AO427</f>
        <v>0</v>
      </c>
      <c r="AX427" s="55">
        <f>G427*AP427</f>
        <v>0</v>
      </c>
      <c r="AY427" s="58" t="s">
        <v>596</v>
      </c>
      <c r="AZ427" s="58" t="s">
        <v>279</v>
      </c>
      <c r="BA427" s="33" t="s">
        <v>125</v>
      </c>
      <c r="BB427" s="59">
        <v>100030</v>
      </c>
      <c r="BC427" s="55">
        <f>AW427+AX427</f>
        <v>0</v>
      </c>
      <c r="BD427" s="55">
        <f>H427/(100-BE427)*100</f>
        <v>0</v>
      </c>
      <c r="BE427" s="55">
        <v>0</v>
      </c>
      <c r="BF427" s="55">
        <f>L427</f>
        <v>3.1269999999999999E-2</v>
      </c>
      <c r="BH427" s="55">
        <f>G427*AO427</f>
        <v>0</v>
      </c>
      <c r="BI427" s="55">
        <f>G427*AP427</f>
        <v>0</v>
      </c>
      <c r="BJ427" s="55">
        <f>G427*H427</f>
        <v>0</v>
      </c>
      <c r="BK427" s="55"/>
      <c r="BL427" s="55">
        <v>64</v>
      </c>
      <c r="BW427" s="55">
        <v>21</v>
      </c>
      <c r="BX427" s="3" t="s">
        <v>602</v>
      </c>
    </row>
    <row r="428" spans="1:76" ht="13.5" customHeight="1" x14ac:dyDescent="0.25">
      <c r="A428" s="60"/>
      <c r="D428" s="155" t="s">
        <v>603</v>
      </c>
      <c r="E428" s="156"/>
      <c r="F428" s="156"/>
      <c r="G428" s="156"/>
      <c r="H428" s="157"/>
      <c r="I428" s="156"/>
      <c r="J428" s="156"/>
      <c r="K428" s="156"/>
      <c r="L428" s="156"/>
      <c r="M428" s="158"/>
    </row>
    <row r="429" spans="1:76" x14ac:dyDescent="0.25">
      <c r="A429" s="60"/>
      <c r="D429" s="61" t="s">
        <v>118</v>
      </c>
      <c r="E429" s="61" t="s">
        <v>604</v>
      </c>
      <c r="G429" s="62">
        <v>1</v>
      </c>
      <c r="M429" s="63"/>
    </row>
    <row r="430" spans="1:76" ht="127.5" x14ac:dyDescent="0.25">
      <c r="A430" s="60"/>
      <c r="C430" s="64" t="s">
        <v>127</v>
      </c>
      <c r="D430" s="159" t="s">
        <v>605</v>
      </c>
      <c r="E430" s="160"/>
      <c r="F430" s="160"/>
      <c r="G430" s="160"/>
      <c r="H430" s="161"/>
      <c r="I430" s="160"/>
      <c r="J430" s="160"/>
      <c r="K430" s="160"/>
      <c r="L430" s="160"/>
      <c r="M430" s="162"/>
      <c r="BX430" s="65" t="s">
        <v>605</v>
      </c>
    </row>
    <row r="431" spans="1:76" x14ac:dyDescent="0.25">
      <c r="A431" s="1" t="s">
        <v>606</v>
      </c>
      <c r="B431" s="2" t="s">
        <v>4</v>
      </c>
      <c r="C431" s="2" t="s">
        <v>607</v>
      </c>
      <c r="D431" s="82" t="s">
        <v>602</v>
      </c>
      <c r="E431" s="83"/>
      <c r="F431" s="2" t="s">
        <v>145</v>
      </c>
      <c r="G431" s="55">
        <v>15</v>
      </c>
      <c r="H431" s="56">
        <v>0</v>
      </c>
      <c r="I431" s="55">
        <f>G431*H431</f>
        <v>0</v>
      </c>
      <c r="J431" s="55">
        <v>0</v>
      </c>
      <c r="K431" s="55">
        <v>3.227E-2</v>
      </c>
      <c r="L431" s="55">
        <f>G431*K431</f>
        <v>0.48404999999999998</v>
      </c>
      <c r="M431" s="57" t="s">
        <v>122</v>
      </c>
      <c r="Z431" s="55">
        <f>IF(AQ431="5",BJ431,0)</f>
        <v>0</v>
      </c>
      <c r="AB431" s="55">
        <f>IF(AQ431="1",BH431,0)</f>
        <v>0</v>
      </c>
      <c r="AC431" s="55">
        <f>IF(AQ431="1",BI431,0)</f>
        <v>0</v>
      </c>
      <c r="AD431" s="55">
        <f>IF(AQ431="7",BH431,0)</f>
        <v>0</v>
      </c>
      <c r="AE431" s="55">
        <f>IF(AQ431="7",BI431,0)</f>
        <v>0</v>
      </c>
      <c r="AF431" s="55">
        <f>IF(AQ431="2",BH431,0)</f>
        <v>0</v>
      </c>
      <c r="AG431" s="55">
        <f>IF(AQ431="2",BI431,0)</f>
        <v>0</v>
      </c>
      <c r="AH431" s="55">
        <f>IF(AQ431="0",BJ431,0)</f>
        <v>0</v>
      </c>
      <c r="AI431" s="33" t="s">
        <v>4</v>
      </c>
      <c r="AJ431" s="55">
        <f>IF(AN431=0,I431,0)</f>
        <v>0</v>
      </c>
      <c r="AK431" s="55">
        <f>IF(AN431=12,I431,0)</f>
        <v>0</v>
      </c>
      <c r="AL431" s="55">
        <f>IF(AN431=21,I431,0)</f>
        <v>0</v>
      </c>
      <c r="AN431" s="55">
        <v>21</v>
      </c>
      <c r="AO431" s="55">
        <f>H431*0.658099707</f>
        <v>0</v>
      </c>
      <c r="AP431" s="55">
        <f>H431*(1-0.658099707)</f>
        <v>0</v>
      </c>
      <c r="AQ431" s="58" t="s">
        <v>118</v>
      </c>
      <c r="AV431" s="55">
        <f>AW431+AX431</f>
        <v>0</v>
      </c>
      <c r="AW431" s="55">
        <f>G431*AO431</f>
        <v>0</v>
      </c>
      <c r="AX431" s="55">
        <f>G431*AP431</f>
        <v>0</v>
      </c>
      <c r="AY431" s="58" t="s">
        <v>596</v>
      </c>
      <c r="AZ431" s="58" t="s">
        <v>279</v>
      </c>
      <c r="BA431" s="33" t="s">
        <v>125</v>
      </c>
      <c r="BB431" s="59">
        <v>100030</v>
      </c>
      <c r="BC431" s="55">
        <f>AW431+AX431</f>
        <v>0</v>
      </c>
      <c r="BD431" s="55">
        <f>H431/(100-BE431)*100</f>
        <v>0</v>
      </c>
      <c r="BE431" s="55">
        <v>0</v>
      </c>
      <c r="BF431" s="55">
        <f>L431</f>
        <v>0.48404999999999998</v>
      </c>
      <c r="BH431" s="55">
        <f>G431*AO431</f>
        <v>0</v>
      </c>
      <c r="BI431" s="55">
        <f>G431*AP431</f>
        <v>0</v>
      </c>
      <c r="BJ431" s="55">
        <f>G431*H431</f>
        <v>0</v>
      </c>
      <c r="BK431" s="55"/>
      <c r="BL431" s="55">
        <v>64</v>
      </c>
      <c r="BW431" s="55">
        <v>21</v>
      </c>
      <c r="BX431" s="3" t="s">
        <v>602</v>
      </c>
    </row>
    <row r="432" spans="1:76" ht="13.5" customHeight="1" x14ac:dyDescent="0.25">
      <c r="A432" s="60"/>
      <c r="D432" s="155" t="s">
        <v>608</v>
      </c>
      <c r="E432" s="156"/>
      <c r="F432" s="156"/>
      <c r="G432" s="156"/>
      <c r="H432" s="157"/>
      <c r="I432" s="156"/>
      <c r="J432" s="156"/>
      <c r="K432" s="156"/>
      <c r="L432" s="156"/>
      <c r="M432" s="158"/>
    </row>
    <row r="433" spans="1:76" x14ac:dyDescent="0.25">
      <c r="A433" s="60"/>
      <c r="D433" s="61" t="s">
        <v>216</v>
      </c>
      <c r="E433" s="61" t="s">
        <v>4</v>
      </c>
      <c r="G433" s="62">
        <v>15</v>
      </c>
      <c r="M433" s="63"/>
    </row>
    <row r="434" spans="1:76" ht="127.5" x14ac:dyDescent="0.25">
      <c r="A434" s="60"/>
      <c r="C434" s="64" t="s">
        <v>127</v>
      </c>
      <c r="D434" s="159" t="s">
        <v>605</v>
      </c>
      <c r="E434" s="160"/>
      <c r="F434" s="160"/>
      <c r="G434" s="160"/>
      <c r="H434" s="161"/>
      <c r="I434" s="160"/>
      <c r="J434" s="160"/>
      <c r="K434" s="160"/>
      <c r="L434" s="160"/>
      <c r="M434" s="162"/>
      <c r="BX434" s="65" t="s">
        <v>605</v>
      </c>
    </row>
    <row r="435" spans="1:76" x14ac:dyDescent="0.25">
      <c r="A435" s="50" t="s">
        <v>4</v>
      </c>
      <c r="B435" s="51" t="s">
        <v>4</v>
      </c>
      <c r="C435" s="51" t="s">
        <v>609</v>
      </c>
      <c r="D435" s="153" t="s">
        <v>610</v>
      </c>
      <c r="E435" s="154"/>
      <c r="F435" s="52" t="s">
        <v>78</v>
      </c>
      <c r="G435" s="52" t="s">
        <v>78</v>
      </c>
      <c r="H435" s="53" t="s">
        <v>78</v>
      </c>
      <c r="I435" s="26">
        <f>SUM(I436:I563)</f>
        <v>0</v>
      </c>
      <c r="J435" s="33" t="s">
        <v>4</v>
      </c>
      <c r="K435" s="33" t="s">
        <v>4</v>
      </c>
      <c r="L435" s="26">
        <f>SUM(L436:L563)</f>
        <v>8.0475434549999996</v>
      </c>
      <c r="M435" s="54" t="s">
        <v>4</v>
      </c>
      <c r="AI435" s="33" t="s">
        <v>4</v>
      </c>
      <c r="AS435" s="26">
        <f>SUM(AJ436:AJ563)</f>
        <v>0</v>
      </c>
      <c r="AT435" s="26">
        <f>SUM(AK436:AK563)</f>
        <v>0</v>
      </c>
      <c r="AU435" s="26">
        <f>SUM(AL436:AL563)</f>
        <v>0</v>
      </c>
    </row>
    <row r="436" spans="1:76" x14ac:dyDescent="0.25">
      <c r="A436" s="1" t="s">
        <v>611</v>
      </c>
      <c r="B436" s="2" t="s">
        <v>4</v>
      </c>
      <c r="C436" s="2" t="s">
        <v>612</v>
      </c>
      <c r="D436" s="82" t="s">
        <v>613</v>
      </c>
      <c r="E436" s="83"/>
      <c r="F436" s="2" t="s">
        <v>157</v>
      </c>
      <c r="G436" s="55">
        <v>103.88</v>
      </c>
      <c r="H436" s="56">
        <v>0</v>
      </c>
      <c r="I436" s="55">
        <f>G436*H436</f>
        <v>0</v>
      </c>
      <c r="J436" s="55">
        <v>0</v>
      </c>
      <c r="K436" s="55">
        <v>4.6299999999999996E-3</v>
      </c>
      <c r="L436" s="55">
        <f>G436*K436</f>
        <v>0.48096439999999996</v>
      </c>
      <c r="M436" s="57" t="s">
        <v>122</v>
      </c>
      <c r="Z436" s="55">
        <f>IF(AQ436="5",BJ436,0)</f>
        <v>0</v>
      </c>
      <c r="AB436" s="55">
        <f>IF(AQ436="1",BH436,0)</f>
        <v>0</v>
      </c>
      <c r="AC436" s="55">
        <f>IF(AQ436="1",BI436,0)</f>
        <v>0</v>
      </c>
      <c r="AD436" s="55">
        <f>IF(AQ436="7",BH436,0)</f>
        <v>0</v>
      </c>
      <c r="AE436" s="55">
        <f>IF(AQ436="7",BI436,0)</f>
        <v>0</v>
      </c>
      <c r="AF436" s="55">
        <f>IF(AQ436="2",BH436,0)</f>
        <v>0</v>
      </c>
      <c r="AG436" s="55">
        <f>IF(AQ436="2",BI436,0)</f>
        <v>0</v>
      </c>
      <c r="AH436" s="55">
        <f>IF(AQ436="0",BJ436,0)</f>
        <v>0</v>
      </c>
      <c r="AI436" s="33" t="s">
        <v>4</v>
      </c>
      <c r="AJ436" s="55">
        <f>IF(AN436=0,I436,0)</f>
        <v>0</v>
      </c>
      <c r="AK436" s="55">
        <f>IF(AN436=12,I436,0)</f>
        <v>0</v>
      </c>
      <c r="AL436" s="55">
        <f>IF(AN436=21,I436,0)</f>
        <v>0</v>
      </c>
      <c r="AN436" s="55">
        <v>21</v>
      </c>
      <c r="AO436" s="55">
        <f>H436*0.713737374</f>
        <v>0</v>
      </c>
      <c r="AP436" s="55">
        <f>H436*(1-0.713737374)</f>
        <v>0</v>
      </c>
      <c r="AQ436" s="58" t="s">
        <v>162</v>
      </c>
      <c r="AV436" s="55">
        <f>AW436+AX436</f>
        <v>0</v>
      </c>
      <c r="AW436" s="55">
        <f>G436*AO436</f>
        <v>0</v>
      </c>
      <c r="AX436" s="55">
        <f>G436*AP436</f>
        <v>0</v>
      </c>
      <c r="AY436" s="58" t="s">
        <v>614</v>
      </c>
      <c r="AZ436" s="58" t="s">
        <v>615</v>
      </c>
      <c r="BA436" s="33" t="s">
        <v>125</v>
      </c>
      <c r="BB436" s="59">
        <v>100034</v>
      </c>
      <c r="BC436" s="55">
        <f>AW436+AX436</f>
        <v>0</v>
      </c>
      <c r="BD436" s="55">
        <f>H436/(100-BE436)*100</f>
        <v>0</v>
      </c>
      <c r="BE436" s="55">
        <v>0</v>
      </c>
      <c r="BF436" s="55">
        <f>L436</f>
        <v>0.48096439999999996</v>
      </c>
      <c r="BH436" s="55">
        <f>G436*AO436</f>
        <v>0</v>
      </c>
      <c r="BI436" s="55">
        <f>G436*AP436</f>
        <v>0</v>
      </c>
      <c r="BJ436" s="55">
        <f>G436*H436</f>
        <v>0</v>
      </c>
      <c r="BK436" s="55"/>
      <c r="BL436" s="55">
        <v>711</v>
      </c>
      <c r="BW436" s="55">
        <v>21</v>
      </c>
      <c r="BX436" s="3" t="s">
        <v>613</v>
      </c>
    </row>
    <row r="437" spans="1:76" ht="13.5" customHeight="1" x14ac:dyDescent="0.25">
      <c r="A437" s="60"/>
      <c r="D437" s="155" t="s">
        <v>616</v>
      </c>
      <c r="E437" s="156"/>
      <c r="F437" s="156"/>
      <c r="G437" s="156"/>
      <c r="H437" s="157"/>
      <c r="I437" s="156"/>
      <c r="J437" s="156"/>
      <c r="K437" s="156"/>
      <c r="L437" s="156"/>
      <c r="M437" s="158"/>
    </row>
    <row r="438" spans="1:76" x14ac:dyDescent="0.25">
      <c r="A438" s="60"/>
      <c r="D438" s="61" t="s">
        <v>500</v>
      </c>
      <c r="E438" s="61" t="s">
        <v>501</v>
      </c>
      <c r="G438" s="62">
        <v>15.79</v>
      </c>
      <c r="M438" s="63"/>
    </row>
    <row r="439" spans="1:76" x14ac:dyDescent="0.25">
      <c r="A439" s="60"/>
      <c r="D439" s="61" t="s">
        <v>502</v>
      </c>
      <c r="E439" s="61" t="s">
        <v>503</v>
      </c>
      <c r="G439" s="62">
        <v>2.61</v>
      </c>
      <c r="M439" s="63"/>
    </row>
    <row r="440" spans="1:76" x14ac:dyDescent="0.25">
      <c r="A440" s="60"/>
      <c r="D440" s="61" t="s">
        <v>504</v>
      </c>
      <c r="E440" s="61" t="s">
        <v>505</v>
      </c>
      <c r="G440" s="62">
        <v>1.89</v>
      </c>
      <c r="M440" s="63"/>
    </row>
    <row r="441" spans="1:76" x14ac:dyDescent="0.25">
      <c r="A441" s="60"/>
      <c r="D441" s="61" t="s">
        <v>506</v>
      </c>
      <c r="E441" s="61" t="s">
        <v>507</v>
      </c>
      <c r="G441" s="62">
        <v>5.2</v>
      </c>
      <c r="M441" s="63"/>
    </row>
    <row r="442" spans="1:76" x14ac:dyDescent="0.25">
      <c r="A442" s="60"/>
      <c r="D442" s="61" t="s">
        <v>510</v>
      </c>
      <c r="E442" s="61" t="s">
        <v>511</v>
      </c>
      <c r="G442" s="62">
        <v>4.42</v>
      </c>
      <c r="M442" s="63"/>
    </row>
    <row r="443" spans="1:76" x14ac:dyDescent="0.25">
      <c r="A443" s="60"/>
      <c r="D443" s="61" t="s">
        <v>508</v>
      </c>
      <c r="E443" s="61" t="s">
        <v>509</v>
      </c>
      <c r="G443" s="62">
        <v>4.7300000000000004</v>
      </c>
      <c r="M443" s="63"/>
    </row>
    <row r="444" spans="1:76" x14ac:dyDescent="0.25">
      <c r="A444" s="60"/>
      <c r="D444" s="61" t="s">
        <v>512</v>
      </c>
      <c r="E444" s="61" t="s">
        <v>513</v>
      </c>
      <c r="G444" s="62">
        <v>5.34</v>
      </c>
      <c r="M444" s="63"/>
    </row>
    <row r="445" spans="1:76" x14ac:dyDescent="0.25">
      <c r="A445" s="60"/>
      <c r="D445" s="61" t="s">
        <v>514</v>
      </c>
      <c r="E445" s="61" t="s">
        <v>515</v>
      </c>
      <c r="G445" s="62">
        <v>5.21</v>
      </c>
      <c r="M445" s="63"/>
    </row>
    <row r="446" spans="1:76" x14ac:dyDescent="0.25">
      <c r="A446" s="60"/>
      <c r="D446" s="61" t="s">
        <v>516</v>
      </c>
      <c r="E446" s="61" t="s">
        <v>517</v>
      </c>
      <c r="G446" s="62">
        <v>5.63</v>
      </c>
      <c r="M446" s="63"/>
    </row>
    <row r="447" spans="1:76" x14ac:dyDescent="0.25">
      <c r="A447" s="60"/>
      <c r="D447" s="61" t="s">
        <v>518</v>
      </c>
      <c r="E447" s="61" t="s">
        <v>519</v>
      </c>
      <c r="G447" s="62">
        <v>16.84</v>
      </c>
      <c r="M447" s="63"/>
    </row>
    <row r="448" spans="1:76" x14ac:dyDescent="0.25">
      <c r="A448" s="60"/>
      <c r="D448" s="61" t="s">
        <v>520</v>
      </c>
      <c r="E448" s="61" t="s">
        <v>521</v>
      </c>
      <c r="G448" s="62">
        <v>9.5500000000000007</v>
      </c>
      <c r="M448" s="63"/>
    </row>
    <row r="449" spans="1:76" x14ac:dyDescent="0.25">
      <c r="A449" s="60"/>
      <c r="D449" s="61" t="s">
        <v>522</v>
      </c>
      <c r="E449" s="61" t="s">
        <v>314</v>
      </c>
      <c r="G449" s="62">
        <v>8.5</v>
      </c>
      <c r="M449" s="63"/>
    </row>
    <row r="450" spans="1:76" x14ac:dyDescent="0.25">
      <c r="A450" s="60"/>
      <c r="D450" s="61" t="s">
        <v>523</v>
      </c>
      <c r="E450" s="61" t="s">
        <v>318</v>
      </c>
      <c r="G450" s="62">
        <v>1.86</v>
      </c>
      <c r="M450" s="63"/>
    </row>
    <row r="451" spans="1:76" x14ac:dyDescent="0.25">
      <c r="A451" s="60"/>
      <c r="D451" s="61" t="s">
        <v>524</v>
      </c>
      <c r="E451" s="61" t="s">
        <v>525</v>
      </c>
      <c r="G451" s="62">
        <v>6.51</v>
      </c>
      <c r="M451" s="63"/>
    </row>
    <row r="452" spans="1:76" x14ac:dyDescent="0.25">
      <c r="A452" s="60"/>
      <c r="D452" s="61" t="s">
        <v>526</v>
      </c>
      <c r="E452" s="61" t="s">
        <v>324</v>
      </c>
      <c r="G452" s="62">
        <v>4.93</v>
      </c>
      <c r="M452" s="63"/>
    </row>
    <row r="453" spans="1:76" x14ac:dyDescent="0.25">
      <c r="A453" s="60"/>
      <c r="D453" s="61" t="s">
        <v>527</v>
      </c>
      <c r="E453" s="61" t="s">
        <v>528</v>
      </c>
      <c r="G453" s="62">
        <v>4.87</v>
      </c>
      <c r="M453" s="63"/>
    </row>
    <row r="454" spans="1:76" ht="38.25" x14ac:dyDescent="0.25">
      <c r="A454" s="60"/>
      <c r="C454" s="64" t="s">
        <v>127</v>
      </c>
      <c r="D454" s="159" t="s">
        <v>617</v>
      </c>
      <c r="E454" s="160"/>
      <c r="F454" s="160"/>
      <c r="G454" s="160"/>
      <c r="H454" s="161"/>
      <c r="I454" s="160"/>
      <c r="J454" s="160"/>
      <c r="K454" s="160"/>
      <c r="L454" s="160"/>
      <c r="M454" s="162"/>
      <c r="BX454" s="65" t="s">
        <v>617</v>
      </c>
    </row>
    <row r="455" spans="1:76" x14ac:dyDescent="0.25">
      <c r="A455" s="1" t="s">
        <v>618</v>
      </c>
      <c r="B455" s="2" t="s">
        <v>4</v>
      </c>
      <c r="C455" s="2" t="s">
        <v>619</v>
      </c>
      <c r="D455" s="82" t="s">
        <v>620</v>
      </c>
      <c r="E455" s="83"/>
      <c r="F455" s="2" t="s">
        <v>219</v>
      </c>
      <c r="G455" s="55">
        <v>165.08</v>
      </c>
      <c r="H455" s="56">
        <v>0</v>
      </c>
      <c r="I455" s="55">
        <f>G455*H455</f>
        <v>0</v>
      </c>
      <c r="J455" s="55">
        <v>0</v>
      </c>
      <c r="K455" s="55">
        <v>5.9999999999999995E-4</v>
      </c>
      <c r="L455" s="55">
        <f>G455*K455</f>
        <v>9.9047999999999997E-2</v>
      </c>
      <c r="M455" s="57" t="s">
        <v>122</v>
      </c>
      <c r="Z455" s="55">
        <f>IF(AQ455="5",BJ455,0)</f>
        <v>0</v>
      </c>
      <c r="AB455" s="55">
        <f>IF(AQ455="1",BH455,0)</f>
        <v>0</v>
      </c>
      <c r="AC455" s="55">
        <f>IF(AQ455="1",BI455,0)</f>
        <v>0</v>
      </c>
      <c r="AD455" s="55">
        <f>IF(AQ455="7",BH455,0)</f>
        <v>0</v>
      </c>
      <c r="AE455" s="55">
        <f>IF(AQ455="7",BI455,0)</f>
        <v>0</v>
      </c>
      <c r="AF455" s="55">
        <f>IF(AQ455="2",BH455,0)</f>
        <v>0</v>
      </c>
      <c r="AG455" s="55">
        <f>IF(AQ455="2",BI455,0)</f>
        <v>0</v>
      </c>
      <c r="AH455" s="55">
        <f>IF(AQ455="0",BJ455,0)</f>
        <v>0</v>
      </c>
      <c r="AI455" s="33" t="s">
        <v>4</v>
      </c>
      <c r="AJ455" s="55">
        <f>IF(AN455=0,I455,0)</f>
        <v>0</v>
      </c>
      <c r="AK455" s="55">
        <f>IF(AN455=12,I455,0)</f>
        <v>0</v>
      </c>
      <c r="AL455" s="55">
        <f>IF(AN455=21,I455,0)</f>
        <v>0</v>
      </c>
      <c r="AN455" s="55">
        <v>21</v>
      </c>
      <c r="AO455" s="55">
        <f>H455*0.71519084</f>
        <v>0</v>
      </c>
      <c r="AP455" s="55">
        <f>H455*(1-0.71519084)</f>
        <v>0</v>
      </c>
      <c r="AQ455" s="58" t="s">
        <v>162</v>
      </c>
      <c r="AV455" s="55">
        <f>AW455+AX455</f>
        <v>0</v>
      </c>
      <c r="AW455" s="55">
        <f>G455*AO455</f>
        <v>0</v>
      </c>
      <c r="AX455" s="55">
        <f>G455*AP455</f>
        <v>0</v>
      </c>
      <c r="AY455" s="58" t="s">
        <v>614</v>
      </c>
      <c r="AZ455" s="58" t="s">
        <v>615</v>
      </c>
      <c r="BA455" s="33" t="s">
        <v>125</v>
      </c>
      <c r="BB455" s="59">
        <v>100034</v>
      </c>
      <c r="BC455" s="55">
        <f>AW455+AX455</f>
        <v>0</v>
      </c>
      <c r="BD455" s="55">
        <f>H455/(100-BE455)*100</f>
        <v>0</v>
      </c>
      <c r="BE455" s="55">
        <v>0</v>
      </c>
      <c r="BF455" s="55">
        <f>L455</f>
        <v>9.9047999999999997E-2</v>
      </c>
      <c r="BH455" s="55">
        <f>G455*AO455</f>
        <v>0</v>
      </c>
      <c r="BI455" s="55">
        <f>G455*AP455</f>
        <v>0</v>
      </c>
      <c r="BJ455" s="55">
        <f>G455*H455</f>
        <v>0</v>
      </c>
      <c r="BK455" s="55"/>
      <c r="BL455" s="55">
        <v>711</v>
      </c>
      <c r="BW455" s="55">
        <v>21</v>
      </c>
      <c r="BX455" s="3" t="s">
        <v>620</v>
      </c>
    </row>
    <row r="456" spans="1:76" ht="13.5" customHeight="1" x14ac:dyDescent="0.25">
      <c r="A456" s="60"/>
      <c r="D456" s="155" t="s">
        <v>621</v>
      </c>
      <c r="E456" s="156"/>
      <c r="F456" s="156"/>
      <c r="G456" s="156"/>
      <c r="H456" s="157"/>
      <c r="I456" s="156"/>
      <c r="J456" s="156"/>
      <c r="K456" s="156"/>
      <c r="L456" s="156"/>
      <c r="M456" s="158"/>
    </row>
    <row r="457" spans="1:76" x14ac:dyDescent="0.25">
      <c r="A457" s="60"/>
      <c r="D457" s="61" t="s">
        <v>622</v>
      </c>
      <c r="E457" s="61" t="s">
        <v>501</v>
      </c>
      <c r="G457" s="62">
        <v>18.079999999999998</v>
      </c>
      <c r="M457" s="63"/>
    </row>
    <row r="458" spans="1:76" x14ac:dyDescent="0.25">
      <c r="A458" s="60"/>
      <c r="D458" s="61" t="s">
        <v>623</v>
      </c>
      <c r="E458" s="61" t="s">
        <v>503</v>
      </c>
      <c r="G458" s="62">
        <v>7.16</v>
      </c>
      <c r="M458" s="63"/>
    </row>
    <row r="459" spans="1:76" x14ac:dyDescent="0.25">
      <c r="A459" s="60"/>
      <c r="D459" s="61" t="s">
        <v>624</v>
      </c>
      <c r="E459" s="61" t="s">
        <v>505</v>
      </c>
      <c r="G459" s="62">
        <v>6.08</v>
      </c>
      <c r="M459" s="63"/>
    </row>
    <row r="460" spans="1:76" x14ac:dyDescent="0.25">
      <c r="A460" s="60"/>
      <c r="D460" s="61" t="s">
        <v>625</v>
      </c>
      <c r="E460" s="61" t="s">
        <v>507</v>
      </c>
      <c r="G460" s="62">
        <v>9.43</v>
      </c>
      <c r="M460" s="63"/>
    </row>
    <row r="461" spans="1:76" x14ac:dyDescent="0.25">
      <c r="A461" s="60"/>
      <c r="D461" s="61" t="s">
        <v>626</v>
      </c>
      <c r="E461" s="61" t="s">
        <v>509</v>
      </c>
      <c r="G461" s="62">
        <v>8.84</v>
      </c>
      <c r="M461" s="63"/>
    </row>
    <row r="462" spans="1:76" x14ac:dyDescent="0.25">
      <c r="A462" s="60"/>
      <c r="D462" s="61" t="s">
        <v>627</v>
      </c>
      <c r="E462" s="61" t="s">
        <v>511</v>
      </c>
      <c r="G462" s="62">
        <v>9.01</v>
      </c>
      <c r="M462" s="63"/>
    </row>
    <row r="463" spans="1:76" x14ac:dyDescent="0.25">
      <c r="A463" s="60"/>
      <c r="D463" s="61" t="s">
        <v>628</v>
      </c>
      <c r="E463" s="61" t="s">
        <v>513</v>
      </c>
      <c r="G463" s="62">
        <v>9.2899999999999991</v>
      </c>
      <c r="M463" s="63"/>
    </row>
    <row r="464" spans="1:76" x14ac:dyDescent="0.25">
      <c r="A464" s="60"/>
      <c r="D464" s="61" t="s">
        <v>629</v>
      </c>
      <c r="E464" s="61" t="s">
        <v>515</v>
      </c>
      <c r="G464" s="62">
        <v>9.18</v>
      </c>
      <c r="M464" s="63"/>
    </row>
    <row r="465" spans="1:76" x14ac:dyDescent="0.25">
      <c r="A465" s="60"/>
      <c r="D465" s="61" t="s">
        <v>630</v>
      </c>
      <c r="E465" s="61" t="s">
        <v>517</v>
      </c>
      <c r="G465" s="62">
        <v>9.6999999999999993</v>
      </c>
      <c r="M465" s="63"/>
    </row>
    <row r="466" spans="1:76" x14ac:dyDescent="0.25">
      <c r="A466" s="60"/>
      <c r="D466" s="61" t="s">
        <v>631</v>
      </c>
      <c r="E466" s="61" t="s">
        <v>519</v>
      </c>
      <c r="G466" s="62">
        <v>17.920000000000002</v>
      </c>
      <c r="M466" s="63"/>
    </row>
    <row r="467" spans="1:76" x14ac:dyDescent="0.25">
      <c r="A467" s="60"/>
      <c r="D467" s="61" t="s">
        <v>632</v>
      </c>
      <c r="E467" s="61" t="s">
        <v>521</v>
      </c>
      <c r="G467" s="62">
        <v>12.65</v>
      </c>
      <c r="M467" s="63"/>
    </row>
    <row r="468" spans="1:76" x14ac:dyDescent="0.25">
      <c r="A468" s="60"/>
      <c r="D468" s="61" t="s">
        <v>633</v>
      </c>
      <c r="E468" s="61" t="s">
        <v>314</v>
      </c>
      <c r="G468" s="62">
        <v>12.05</v>
      </c>
      <c r="M468" s="63"/>
    </row>
    <row r="469" spans="1:76" x14ac:dyDescent="0.25">
      <c r="A469" s="60"/>
      <c r="D469" s="61" t="s">
        <v>634</v>
      </c>
      <c r="E469" s="61" t="s">
        <v>318</v>
      </c>
      <c r="G469" s="62">
        <v>5.79</v>
      </c>
      <c r="M469" s="63"/>
    </row>
    <row r="470" spans="1:76" x14ac:dyDescent="0.25">
      <c r="A470" s="60"/>
      <c r="D470" s="61" t="s">
        <v>635</v>
      </c>
      <c r="E470" s="61" t="s">
        <v>525</v>
      </c>
      <c r="G470" s="62">
        <v>12.15</v>
      </c>
      <c r="M470" s="63"/>
    </row>
    <row r="471" spans="1:76" x14ac:dyDescent="0.25">
      <c r="A471" s="60"/>
      <c r="D471" s="61" t="s">
        <v>636</v>
      </c>
      <c r="E471" s="61" t="s">
        <v>324</v>
      </c>
      <c r="G471" s="62">
        <v>8.9</v>
      </c>
      <c r="M471" s="63"/>
    </row>
    <row r="472" spans="1:76" x14ac:dyDescent="0.25">
      <c r="A472" s="60"/>
      <c r="D472" s="61" t="s">
        <v>637</v>
      </c>
      <c r="E472" s="61" t="s">
        <v>528</v>
      </c>
      <c r="G472" s="62">
        <v>8.85</v>
      </c>
      <c r="M472" s="63"/>
    </row>
    <row r="473" spans="1:76" ht="25.5" x14ac:dyDescent="0.25">
      <c r="A473" s="1" t="s">
        <v>638</v>
      </c>
      <c r="B473" s="2" t="s">
        <v>4</v>
      </c>
      <c r="C473" s="2" t="s">
        <v>639</v>
      </c>
      <c r="D473" s="82" t="s">
        <v>640</v>
      </c>
      <c r="E473" s="83"/>
      <c r="F473" s="2" t="s">
        <v>145</v>
      </c>
      <c r="G473" s="55">
        <v>83</v>
      </c>
      <c r="H473" s="56">
        <v>0</v>
      </c>
      <c r="I473" s="55">
        <f>G473*H473</f>
        <v>0</v>
      </c>
      <c r="J473" s="55">
        <v>0</v>
      </c>
      <c r="K473" s="55">
        <v>1.1E-4</v>
      </c>
      <c r="L473" s="55">
        <f>G473*K473</f>
        <v>9.130000000000001E-3</v>
      </c>
      <c r="M473" s="57" t="s">
        <v>122</v>
      </c>
      <c r="Z473" s="55">
        <f>IF(AQ473="5",BJ473,0)</f>
        <v>0</v>
      </c>
      <c r="AB473" s="55">
        <f>IF(AQ473="1",BH473,0)</f>
        <v>0</v>
      </c>
      <c r="AC473" s="55">
        <f>IF(AQ473="1",BI473,0)</f>
        <v>0</v>
      </c>
      <c r="AD473" s="55">
        <f>IF(AQ473="7",BH473,0)</f>
        <v>0</v>
      </c>
      <c r="AE473" s="55">
        <f>IF(AQ473="7",BI473,0)</f>
        <v>0</v>
      </c>
      <c r="AF473" s="55">
        <f>IF(AQ473="2",BH473,0)</f>
        <v>0</v>
      </c>
      <c r="AG473" s="55">
        <f>IF(AQ473="2",BI473,0)</f>
        <v>0</v>
      </c>
      <c r="AH473" s="55">
        <f>IF(AQ473="0",BJ473,0)</f>
        <v>0</v>
      </c>
      <c r="AI473" s="33" t="s">
        <v>4</v>
      </c>
      <c r="AJ473" s="55">
        <f>IF(AN473=0,I473,0)</f>
        <v>0</v>
      </c>
      <c r="AK473" s="55">
        <f>IF(AN473=12,I473,0)</f>
        <v>0</v>
      </c>
      <c r="AL473" s="55">
        <f>IF(AN473=21,I473,0)</f>
        <v>0</v>
      </c>
      <c r="AN473" s="55">
        <v>21</v>
      </c>
      <c r="AO473" s="55">
        <f>H473*0.868931212</f>
        <v>0</v>
      </c>
      <c r="AP473" s="55">
        <f>H473*(1-0.868931212)</f>
        <v>0</v>
      </c>
      <c r="AQ473" s="58" t="s">
        <v>162</v>
      </c>
      <c r="AV473" s="55">
        <f>AW473+AX473</f>
        <v>0</v>
      </c>
      <c r="AW473" s="55">
        <f>G473*AO473</f>
        <v>0</v>
      </c>
      <c r="AX473" s="55">
        <f>G473*AP473</f>
        <v>0</v>
      </c>
      <c r="AY473" s="58" t="s">
        <v>614</v>
      </c>
      <c r="AZ473" s="58" t="s">
        <v>615</v>
      </c>
      <c r="BA473" s="33" t="s">
        <v>125</v>
      </c>
      <c r="BB473" s="59">
        <v>100034</v>
      </c>
      <c r="BC473" s="55">
        <f>AW473+AX473</f>
        <v>0</v>
      </c>
      <c r="BD473" s="55">
        <f>H473/(100-BE473)*100</f>
        <v>0</v>
      </c>
      <c r="BE473" s="55">
        <v>0</v>
      </c>
      <c r="BF473" s="55">
        <f>L473</f>
        <v>9.130000000000001E-3</v>
      </c>
      <c r="BH473" s="55">
        <f>G473*AO473</f>
        <v>0</v>
      </c>
      <c r="BI473" s="55">
        <f>G473*AP473</f>
        <v>0</v>
      </c>
      <c r="BJ473" s="55">
        <f>G473*H473</f>
        <v>0</v>
      </c>
      <c r="BK473" s="55"/>
      <c r="BL473" s="55">
        <v>711</v>
      </c>
      <c r="BW473" s="55">
        <v>21</v>
      </c>
      <c r="BX473" s="3" t="s">
        <v>640</v>
      </c>
    </row>
    <row r="474" spans="1:76" x14ac:dyDescent="0.25">
      <c r="A474" s="60"/>
      <c r="D474" s="61" t="s">
        <v>184</v>
      </c>
      <c r="E474" s="61" t="s">
        <v>641</v>
      </c>
      <c r="G474" s="62">
        <v>11</v>
      </c>
      <c r="M474" s="63"/>
    </row>
    <row r="475" spans="1:76" x14ac:dyDescent="0.25">
      <c r="A475" s="60"/>
      <c r="D475" s="61" t="s">
        <v>189</v>
      </c>
      <c r="E475" s="61" t="s">
        <v>642</v>
      </c>
      <c r="G475" s="62">
        <v>12</v>
      </c>
      <c r="M475" s="63"/>
    </row>
    <row r="476" spans="1:76" x14ac:dyDescent="0.25">
      <c r="A476" s="60"/>
      <c r="D476" s="61" t="s">
        <v>181</v>
      </c>
      <c r="E476" s="61" t="s">
        <v>643</v>
      </c>
      <c r="G476" s="62">
        <v>10</v>
      </c>
      <c r="M476" s="63"/>
    </row>
    <row r="477" spans="1:76" x14ac:dyDescent="0.25">
      <c r="A477" s="60"/>
      <c r="D477" s="61" t="s">
        <v>169</v>
      </c>
      <c r="E477" s="61" t="s">
        <v>644</v>
      </c>
      <c r="G477" s="62">
        <v>8</v>
      </c>
      <c r="M477" s="63"/>
    </row>
    <row r="478" spans="1:76" x14ac:dyDescent="0.25">
      <c r="A478" s="60"/>
      <c r="D478" s="61" t="s">
        <v>154</v>
      </c>
      <c r="E478" s="61" t="s">
        <v>645</v>
      </c>
      <c r="G478" s="62">
        <v>6</v>
      </c>
      <c r="M478" s="63"/>
    </row>
    <row r="479" spans="1:76" x14ac:dyDescent="0.25">
      <c r="A479" s="60"/>
      <c r="D479" s="61" t="s">
        <v>142</v>
      </c>
      <c r="E479" s="61" t="s">
        <v>646</v>
      </c>
      <c r="G479" s="62">
        <v>4</v>
      </c>
      <c r="M479" s="63"/>
    </row>
    <row r="480" spans="1:76" x14ac:dyDescent="0.25">
      <c r="A480" s="60"/>
      <c r="D480" s="61" t="s">
        <v>142</v>
      </c>
      <c r="E480" s="61" t="s">
        <v>647</v>
      </c>
      <c r="G480" s="62">
        <v>4</v>
      </c>
      <c r="M480" s="63"/>
    </row>
    <row r="481" spans="1:76" x14ac:dyDescent="0.25">
      <c r="A481" s="60"/>
      <c r="D481" s="61" t="s">
        <v>142</v>
      </c>
      <c r="E481" s="61" t="s">
        <v>648</v>
      </c>
      <c r="G481" s="62">
        <v>4</v>
      </c>
      <c r="M481" s="63"/>
    </row>
    <row r="482" spans="1:76" x14ac:dyDescent="0.25">
      <c r="A482" s="60"/>
      <c r="D482" s="61" t="s">
        <v>142</v>
      </c>
      <c r="E482" s="61" t="s">
        <v>649</v>
      </c>
      <c r="G482" s="62">
        <v>4</v>
      </c>
      <c r="M482" s="63"/>
    </row>
    <row r="483" spans="1:76" x14ac:dyDescent="0.25">
      <c r="A483" s="60"/>
      <c r="D483" s="61" t="s">
        <v>189</v>
      </c>
      <c r="E483" s="61" t="s">
        <v>650</v>
      </c>
      <c r="G483" s="62">
        <v>12</v>
      </c>
      <c r="M483" s="63"/>
    </row>
    <row r="484" spans="1:76" x14ac:dyDescent="0.25">
      <c r="A484" s="60"/>
      <c r="D484" s="61" t="s">
        <v>169</v>
      </c>
      <c r="E484" s="61" t="s">
        <v>651</v>
      </c>
      <c r="G484" s="62">
        <v>8</v>
      </c>
      <c r="M484" s="63"/>
    </row>
    <row r="485" spans="1:76" x14ac:dyDescent="0.25">
      <c r="A485" s="1" t="s">
        <v>652</v>
      </c>
      <c r="B485" s="2" t="s">
        <v>4</v>
      </c>
      <c r="C485" s="2" t="s">
        <v>653</v>
      </c>
      <c r="D485" s="82" t="s">
        <v>654</v>
      </c>
      <c r="E485" s="83"/>
      <c r="F485" s="2" t="s">
        <v>157</v>
      </c>
      <c r="G485" s="55">
        <v>271.07549999999998</v>
      </c>
      <c r="H485" s="56">
        <v>0</v>
      </c>
      <c r="I485" s="55">
        <f>G485*H485</f>
        <v>0</v>
      </c>
      <c r="J485" s="55">
        <v>0</v>
      </c>
      <c r="K485" s="55">
        <v>2.1000000000000001E-4</v>
      </c>
      <c r="L485" s="55">
        <f>G485*K485</f>
        <v>5.6925854999999997E-2</v>
      </c>
      <c r="M485" s="57" t="s">
        <v>122</v>
      </c>
      <c r="Z485" s="55">
        <f>IF(AQ485="5",BJ485,0)</f>
        <v>0</v>
      </c>
      <c r="AB485" s="55">
        <f>IF(AQ485="1",BH485,0)</f>
        <v>0</v>
      </c>
      <c r="AC485" s="55">
        <f>IF(AQ485="1",BI485,0)</f>
        <v>0</v>
      </c>
      <c r="AD485" s="55">
        <f>IF(AQ485="7",BH485,0)</f>
        <v>0</v>
      </c>
      <c r="AE485" s="55">
        <f>IF(AQ485="7",BI485,0)</f>
        <v>0</v>
      </c>
      <c r="AF485" s="55">
        <f>IF(AQ485="2",BH485,0)</f>
        <v>0</v>
      </c>
      <c r="AG485" s="55">
        <f>IF(AQ485="2",BI485,0)</f>
        <v>0</v>
      </c>
      <c r="AH485" s="55">
        <f>IF(AQ485="0",BJ485,0)</f>
        <v>0</v>
      </c>
      <c r="AI485" s="33" t="s">
        <v>4</v>
      </c>
      <c r="AJ485" s="55">
        <f>IF(AN485=0,I485,0)</f>
        <v>0</v>
      </c>
      <c r="AK485" s="55">
        <f>IF(AN485=12,I485,0)</f>
        <v>0</v>
      </c>
      <c r="AL485" s="55">
        <f>IF(AN485=21,I485,0)</f>
        <v>0</v>
      </c>
      <c r="AN485" s="55">
        <v>21</v>
      </c>
      <c r="AO485" s="55">
        <f>H485*0.33887356</f>
        <v>0</v>
      </c>
      <c r="AP485" s="55">
        <f>H485*(1-0.33887356)</f>
        <v>0</v>
      </c>
      <c r="AQ485" s="58" t="s">
        <v>162</v>
      </c>
      <c r="AV485" s="55">
        <f>AW485+AX485</f>
        <v>0</v>
      </c>
      <c r="AW485" s="55">
        <f>G485*AO485</f>
        <v>0</v>
      </c>
      <c r="AX485" s="55">
        <f>G485*AP485</f>
        <v>0</v>
      </c>
      <c r="AY485" s="58" t="s">
        <v>614</v>
      </c>
      <c r="AZ485" s="58" t="s">
        <v>615</v>
      </c>
      <c r="BA485" s="33" t="s">
        <v>125</v>
      </c>
      <c r="BB485" s="59">
        <v>100034</v>
      </c>
      <c r="BC485" s="55">
        <f>AW485+AX485</f>
        <v>0</v>
      </c>
      <c r="BD485" s="55">
        <f>H485/(100-BE485)*100</f>
        <v>0</v>
      </c>
      <c r="BE485" s="55">
        <v>0</v>
      </c>
      <c r="BF485" s="55">
        <f>L485</f>
        <v>5.6925854999999997E-2</v>
      </c>
      <c r="BH485" s="55">
        <f>G485*AO485</f>
        <v>0</v>
      </c>
      <c r="BI485" s="55">
        <f>G485*AP485</f>
        <v>0</v>
      </c>
      <c r="BJ485" s="55">
        <f>G485*H485</f>
        <v>0</v>
      </c>
      <c r="BK485" s="55"/>
      <c r="BL485" s="55">
        <v>711</v>
      </c>
      <c r="BW485" s="55">
        <v>21</v>
      </c>
      <c r="BX485" s="3" t="s">
        <v>654</v>
      </c>
    </row>
    <row r="486" spans="1:76" x14ac:dyDescent="0.25">
      <c r="A486" s="60"/>
      <c r="D486" s="61" t="s">
        <v>655</v>
      </c>
      <c r="E486" s="61" t="s">
        <v>656</v>
      </c>
      <c r="G486" s="62">
        <v>6.3</v>
      </c>
      <c r="M486" s="63"/>
    </row>
    <row r="487" spans="1:76" x14ac:dyDescent="0.25">
      <c r="A487" s="60"/>
      <c r="D487" s="61" t="s">
        <v>657</v>
      </c>
      <c r="E487" s="61" t="s">
        <v>658</v>
      </c>
      <c r="G487" s="62">
        <v>14.150499999999999</v>
      </c>
      <c r="M487" s="63"/>
    </row>
    <row r="488" spans="1:76" x14ac:dyDescent="0.25">
      <c r="A488" s="60"/>
      <c r="D488" s="61" t="s">
        <v>342</v>
      </c>
      <c r="E488" s="61" t="s">
        <v>659</v>
      </c>
      <c r="G488" s="62">
        <v>22.076499999999999</v>
      </c>
      <c r="M488" s="63"/>
    </row>
    <row r="489" spans="1:76" x14ac:dyDescent="0.25">
      <c r="A489" s="60"/>
      <c r="D489" s="61" t="s">
        <v>289</v>
      </c>
      <c r="E489" s="61" t="s">
        <v>290</v>
      </c>
      <c r="G489" s="62">
        <v>36.3245</v>
      </c>
      <c r="M489" s="63"/>
    </row>
    <row r="490" spans="1:76" x14ac:dyDescent="0.25">
      <c r="A490" s="60"/>
      <c r="D490" s="61" t="s">
        <v>660</v>
      </c>
      <c r="E490" s="61" t="s">
        <v>513</v>
      </c>
      <c r="G490" s="62">
        <v>21.7195</v>
      </c>
      <c r="M490" s="63"/>
    </row>
    <row r="491" spans="1:76" x14ac:dyDescent="0.25">
      <c r="A491" s="60"/>
      <c r="D491" s="61" t="s">
        <v>661</v>
      </c>
      <c r="E491" s="61" t="s">
        <v>515</v>
      </c>
      <c r="G491" s="62">
        <v>21.439</v>
      </c>
      <c r="M491" s="63"/>
    </row>
    <row r="492" spans="1:76" x14ac:dyDescent="0.25">
      <c r="A492" s="60"/>
      <c r="D492" s="61" t="s">
        <v>662</v>
      </c>
      <c r="E492" s="61" t="s">
        <v>517</v>
      </c>
      <c r="G492" s="62">
        <v>22.765000000000001</v>
      </c>
      <c r="M492" s="63"/>
    </row>
    <row r="493" spans="1:76" x14ac:dyDescent="0.25">
      <c r="A493" s="60"/>
      <c r="D493" s="61" t="s">
        <v>663</v>
      </c>
      <c r="E493" s="61" t="s">
        <v>519</v>
      </c>
      <c r="G493" s="62">
        <v>45.887999999999998</v>
      </c>
      <c r="M493" s="63"/>
    </row>
    <row r="494" spans="1:76" x14ac:dyDescent="0.25">
      <c r="A494" s="60"/>
      <c r="D494" s="61" t="s">
        <v>307</v>
      </c>
      <c r="E494" s="61" t="s">
        <v>308</v>
      </c>
      <c r="G494" s="62">
        <v>23.050999999999998</v>
      </c>
      <c r="M494" s="63"/>
    </row>
    <row r="495" spans="1:76" x14ac:dyDescent="0.25">
      <c r="A495" s="60"/>
      <c r="D495" s="61" t="s">
        <v>664</v>
      </c>
      <c r="E495" s="61" t="s">
        <v>312</v>
      </c>
      <c r="G495" s="62">
        <v>18.861999999999998</v>
      </c>
      <c r="M495" s="63"/>
    </row>
    <row r="496" spans="1:76" x14ac:dyDescent="0.25">
      <c r="A496" s="60"/>
      <c r="D496" s="61" t="s">
        <v>317</v>
      </c>
      <c r="E496" s="61" t="s">
        <v>318</v>
      </c>
      <c r="G496" s="62">
        <v>13.188499999999999</v>
      </c>
      <c r="M496" s="63"/>
    </row>
    <row r="497" spans="1:76" x14ac:dyDescent="0.25">
      <c r="A497" s="60"/>
      <c r="D497" s="61" t="s">
        <v>665</v>
      </c>
      <c r="E497" s="61" t="s">
        <v>525</v>
      </c>
      <c r="G497" s="62">
        <v>29.406500000000001</v>
      </c>
      <c r="M497" s="63"/>
    </row>
    <row r="498" spans="1:76" x14ac:dyDescent="0.25">
      <c r="A498" s="60"/>
      <c r="D498" s="61" t="s">
        <v>666</v>
      </c>
      <c r="E498" s="61" t="s">
        <v>667</v>
      </c>
      <c r="G498" s="62">
        <v>-46.206000000000003</v>
      </c>
      <c r="M498" s="63"/>
    </row>
    <row r="499" spans="1:76" x14ac:dyDescent="0.25">
      <c r="A499" s="60"/>
      <c r="D499" s="61" t="s">
        <v>323</v>
      </c>
      <c r="E499" s="61" t="s">
        <v>324</v>
      </c>
      <c r="G499" s="62">
        <v>21.119</v>
      </c>
      <c r="M499" s="63"/>
    </row>
    <row r="500" spans="1:76" x14ac:dyDescent="0.25">
      <c r="A500" s="60"/>
      <c r="D500" s="61" t="s">
        <v>325</v>
      </c>
      <c r="E500" s="61" t="s">
        <v>326</v>
      </c>
      <c r="G500" s="62">
        <v>20.991499999999998</v>
      </c>
      <c r="M500" s="63"/>
    </row>
    <row r="501" spans="1:76" x14ac:dyDescent="0.25">
      <c r="A501" s="60"/>
      <c r="C501" s="64" t="s">
        <v>127</v>
      </c>
      <c r="D501" s="159" t="s">
        <v>668</v>
      </c>
      <c r="E501" s="160"/>
      <c r="F501" s="160"/>
      <c r="G501" s="160"/>
      <c r="H501" s="161"/>
      <c r="I501" s="160"/>
      <c r="J501" s="160"/>
      <c r="K501" s="160"/>
      <c r="L501" s="160"/>
      <c r="M501" s="162"/>
      <c r="BX501" s="65" t="s">
        <v>668</v>
      </c>
    </row>
    <row r="502" spans="1:76" x14ac:dyDescent="0.25">
      <c r="A502" s="1" t="s">
        <v>669</v>
      </c>
      <c r="B502" s="2" t="s">
        <v>4</v>
      </c>
      <c r="C502" s="2" t="s">
        <v>670</v>
      </c>
      <c r="D502" s="82" t="s">
        <v>671</v>
      </c>
      <c r="E502" s="83"/>
      <c r="F502" s="2" t="s">
        <v>157</v>
      </c>
      <c r="G502" s="55">
        <v>271.07549999999998</v>
      </c>
      <c r="H502" s="56">
        <v>0</v>
      </c>
      <c r="I502" s="55">
        <f>G502*H502</f>
        <v>0</v>
      </c>
      <c r="J502" s="55">
        <v>0</v>
      </c>
      <c r="K502" s="55">
        <v>3.3999999999999998E-3</v>
      </c>
      <c r="L502" s="55">
        <f>G502*K502</f>
        <v>0.92165669999999988</v>
      </c>
      <c r="M502" s="57" t="s">
        <v>122</v>
      </c>
      <c r="Z502" s="55">
        <f>IF(AQ502="5",BJ502,0)</f>
        <v>0</v>
      </c>
      <c r="AB502" s="55">
        <f>IF(AQ502="1",BH502,0)</f>
        <v>0</v>
      </c>
      <c r="AC502" s="55">
        <f>IF(AQ502="1",BI502,0)</f>
        <v>0</v>
      </c>
      <c r="AD502" s="55">
        <f>IF(AQ502="7",BH502,0)</f>
        <v>0</v>
      </c>
      <c r="AE502" s="55">
        <f>IF(AQ502="7",BI502,0)</f>
        <v>0</v>
      </c>
      <c r="AF502" s="55">
        <f>IF(AQ502="2",BH502,0)</f>
        <v>0</v>
      </c>
      <c r="AG502" s="55">
        <f>IF(AQ502="2",BI502,0)</f>
        <v>0</v>
      </c>
      <c r="AH502" s="55">
        <f>IF(AQ502="0",BJ502,0)</f>
        <v>0</v>
      </c>
      <c r="AI502" s="33" t="s">
        <v>4</v>
      </c>
      <c r="AJ502" s="55">
        <f>IF(AN502=0,I502,0)</f>
        <v>0</v>
      </c>
      <c r="AK502" s="55">
        <f>IF(AN502=12,I502,0)</f>
        <v>0</v>
      </c>
      <c r="AL502" s="55">
        <f>IF(AN502=21,I502,0)</f>
        <v>0</v>
      </c>
      <c r="AN502" s="55">
        <v>21</v>
      </c>
      <c r="AO502" s="55">
        <f>H502*0.661562027</f>
        <v>0</v>
      </c>
      <c r="AP502" s="55">
        <f>H502*(1-0.661562027)</f>
        <v>0</v>
      </c>
      <c r="AQ502" s="58" t="s">
        <v>162</v>
      </c>
      <c r="AV502" s="55">
        <f>AW502+AX502</f>
        <v>0</v>
      </c>
      <c r="AW502" s="55">
        <f>G502*AO502</f>
        <v>0</v>
      </c>
      <c r="AX502" s="55">
        <f>G502*AP502</f>
        <v>0</v>
      </c>
      <c r="AY502" s="58" t="s">
        <v>614</v>
      </c>
      <c r="AZ502" s="58" t="s">
        <v>615</v>
      </c>
      <c r="BA502" s="33" t="s">
        <v>125</v>
      </c>
      <c r="BB502" s="59">
        <v>100034</v>
      </c>
      <c r="BC502" s="55">
        <f>AW502+AX502</f>
        <v>0</v>
      </c>
      <c r="BD502" s="55">
        <f>H502/(100-BE502)*100</f>
        <v>0</v>
      </c>
      <c r="BE502" s="55">
        <v>0</v>
      </c>
      <c r="BF502" s="55">
        <f>L502</f>
        <v>0.92165669999999988</v>
      </c>
      <c r="BH502" s="55">
        <f>G502*AO502</f>
        <v>0</v>
      </c>
      <c r="BI502" s="55">
        <f>G502*AP502</f>
        <v>0</v>
      </c>
      <c r="BJ502" s="55">
        <f>G502*H502</f>
        <v>0</v>
      </c>
      <c r="BK502" s="55"/>
      <c r="BL502" s="55">
        <v>711</v>
      </c>
      <c r="BW502" s="55">
        <v>21</v>
      </c>
      <c r="BX502" s="3" t="s">
        <v>671</v>
      </c>
    </row>
    <row r="503" spans="1:76" ht="13.5" customHeight="1" x14ac:dyDescent="0.25">
      <c r="A503" s="60"/>
      <c r="D503" s="155" t="s">
        <v>672</v>
      </c>
      <c r="E503" s="156"/>
      <c r="F503" s="156"/>
      <c r="G503" s="156"/>
      <c r="H503" s="157"/>
      <c r="I503" s="156"/>
      <c r="J503" s="156"/>
      <c r="K503" s="156"/>
      <c r="L503" s="156"/>
      <c r="M503" s="158"/>
    </row>
    <row r="504" spans="1:76" x14ac:dyDescent="0.25">
      <c r="A504" s="60"/>
      <c r="D504" s="61" t="s">
        <v>655</v>
      </c>
      <c r="E504" s="61" t="s">
        <v>656</v>
      </c>
      <c r="G504" s="62">
        <v>6.3</v>
      </c>
      <c r="M504" s="63"/>
    </row>
    <row r="505" spans="1:76" x14ac:dyDescent="0.25">
      <c r="A505" s="60"/>
      <c r="D505" s="61" t="s">
        <v>657</v>
      </c>
      <c r="E505" s="61" t="s">
        <v>658</v>
      </c>
      <c r="G505" s="62">
        <v>14.150499999999999</v>
      </c>
      <c r="M505" s="63"/>
    </row>
    <row r="506" spans="1:76" x14ac:dyDescent="0.25">
      <c r="A506" s="60"/>
      <c r="D506" s="61" t="s">
        <v>342</v>
      </c>
      <c r="E506" s="61" t="s">
        <v>659</v>
      </c>
      <c r="G506" s="62">
        <v>22.076499999999999</v>
      </c>
      <c r="M506" s="63"/>
    </row>
    <row r="507" spans="1:76" x14ac:dyDescent="0.25">
      <c r="A507" s="60"/>
      <c r="D507" s="61" t="s">
        <v>289</v>
      </c>
      <c r="E507" s="61" t="s">
        <v>290</v>
      </c>
      <c r="G507" s="62">
        <v>36.3245</v>
      </c>
      <c r="M507" s="63"/>
    </row>
    <row r="508" spans="1:76" x14ac:dyDescent="0.25">
      <c r="A508" s="60"/>
      <c r="D508" s="61" t="s">
        <v>660</v>
      </c>
      <c r="E508" s="61" t="s">
        <v>513</v>
      </c>
      <c r="G508" s="62">
        <v>21.7195</v>
      </c>
      <c r="M508" s="63"/>
    </row>
    <row r="509" spans="1:76" x14ac:dyDescent="0.25">
      <c r="A509" s="60"/>
      <c r="D509" s="61" t="s">
        <v>661</v>
      </c>
      <c r="E509" s="61" t="s">
        <v>515</v>
      </c>
      <c r="G509" s="62">
        <v>21.439</v>
      </c>
      <c r="M509" s="63"/>
    </row>
    <row r="510" spans="1:76" x14ac:dyDescent="0.25">
      <c r="A510" s="60"/>
      <c r="D510" s="61" t="s">
        <v>662</v>
      </c>
      <c r="E510" s="61" t="s">
        <v>517</v>
      </c>
      <c r="G510" s="62">
        <v>22.765000000000001</v>
      </c>
      <c r="M510" s="63"/>
    </row>
    <row r="511" spans="1:76" x14ac:dyDescent="0.25">
      <c r="A511" s="60"/>
      <c r="D511" s="61" t="s">
        <v>663</v>
      </c>
      <c r="E511" s="61" t="s">
        <v>519</v>
      </c>
      <c r="G511" s="62">
        <v>45.887999999999998</v>
      </c>
      <c r="M511" s="63"/>
    </row>
    <row r="512" spans="1:76" x14ac:dyDescent="0.25">
      <c r="A512" s="60"/>
      <c r="D512" s="61" t="s">
        <v>307</v>
      </c>
      <c r="E512" s="61" t="s">
        <v>308</v>
      </c>
      <c r="G512" s="62">
        <v>23.050999999999998</v>
      </c>
      <c r="M512" s="63"/>
    </row>
    <row r="513" spans="1:76" x14ac:dyDescent="0.25">
      <c r="A513" s="60"/>
      <c r="D513" s="61" t="s">
        <v>664</v>
      </c>
      <c r="E513" s="61" t="s">
        <v>312</v>
      </c>
      <c r="G513" s="62">
        <v>18.861999999999998</v>
      </c>
      <c r="M513" s="63"/>
    </row>
    <row r="514" spans="1:76" x14ac:dyDescent="0.25">
      <c r="A514" s="60"/>
      <c r="D514" s="61" t="s">
        <v>317</v>
      </c>
      <c r="E514" s="61" t="s">
        <v>318</v>
      </c>
      <c r="G514" s="62">
        <v>13.188499999999999</v>
      </c>
      <c r="M514" s="63"/>
    </row>
    <row r="515" spans="1:76" x14ac:dyDescent="0.25">
      <c r="A515" s="60"/>
      <c r="D515" s="61" t="s">
        <v>665</v>
      </c>
      <c r="E515" s="61" t="s">
        <v>525</v>
      </c>
      <c r="G515" s="62">
        <v>29.406500000000001</v>
      </c>
      <c r="M515" s="63"/>
    </row>
    <row r="516" spans="1:76" x14ac:dyDescent="0.25">
      <c r="A516" s="60"/>
      <c r="D516" s="61" t="s">
        <v>666</v>
      </c>
      <c r="E516" s="61" t="s">
        <v>667</v>
      </c>
      <c r="G516" s="62">
        <v>-46.206000000000003</v>
      </c>
      <c r="M516" s="63"/>
    </row>
    <row r="517" spans="1:76" x14ac:dyDescent="0.25">
      <c r="A517" s="60"/>
      <c r="D517" s="61" t="s">
        <v>323</v>
      </c>
      <c r="E517" s="61" t="s">
        <v>324</v>
      </c>
      <c r="G517" s="62">
        <v>21.119</v>
      </c>
      <c r="M517" s="63"/>
    </row>
    <row r="518" spans="1:76" x14ac:dyDescent="0.25">
      <c r="A518" s="60"/>
      <c r="D518" s="61" t="s">
        <v>325</v>
      </c>
      <c r="E518" s="61" t="s">
        <v>326</v>
      </c>
      <c r="G518" s="62">
        <v>20.991499999999998</v>
      </c>
      <c r="M518" s="63"/>
    </row>
    <row r="519" spans="1:76" ht="63.75" x14ac:dyDescent="0.25">
      <c r="A519" s="60"/>
      <c r="C519" s="64" t="s">
        <v>127</v>
      </c>
      <c r="D519" s="159" t="s">
        <v>673</v>
      </c>
      <c r="E519" s="160"/>
      <c r="F519" s="160"/>
      <c r="G519" s="160"/>
      <c r="H519" s="161"/>
      <c r="I519" s="160"/>
      <c r="J519" s="160"/>
      <c r="K519" s="160"/>
      <c r="L519" s="160"/>
      <c r="M519" s="162"/>
      <c r="BX519" s="65" t="s">
        <v>673</v>
      </c>
    </row>
    <row r="520" spans="1:76" x14ac:dyDescent="0.25">
      <c r="A520" s="1" t="s">
        <v>674</v>
      </c>
      <c r="B520" s="2" t="s">
        <v>4</v>
      </c>
      <c r="C520" s="2" t="s">
        <v>675</v>
      </c>
      <c r="D520" s="82" t="s">
        <v>676</v>
      </c>
      <c r="E520" s="83"/>
      <c r="F520" s="2" t="s">
        <v>219</v>
      </c>
      <c r="G520" s="55">
        <v>175.25</v>
      </c>
      <c r="H520" s="56">
        <v>0</v>
      </c>
      <c r="I520" s="55">
        <f>G520*H520</f>
        <v>0</v>
      </c>
      <c r="J520" s="55">
        <v>0</v>
      </c>
      <c r="K520" s="55">
        <v>2.9E-4</v>
      </c>
      <c r="L520" s="55">
        <f>G520*K520</f>
        <v>5.08225E-2</v>
      </c>
      <c r="M520" s="57" t="s">
        <v>122</v>
      </c>
      <c r="Z520" s="55">
        <f>IF(AQ520="5",BJ520,0)</f>
        <v>0</v>
      </c>
      <c r="AB520" s="55">
        <f>IF(AQ520="1",BH520,0)</f>
        <v>0</v>
      </c>
      <c r="AC520" s="55">
        <f>IF(AQ520="1",BI520,0)</f>
        <v>0</v>
      </c>
      <c r="AD520" s="55">
        <f>IF(AQ520="7",BH520,0)</f>
        <v>0</v>
      </c>
      <c r="AE520" s="55">
        <f>IF(AQ520="7",BI520,0)</f>
        <v>0</v>
      </c>
      <c r="AF520" s="55">
        <f>IF(AQ520="2",BH520,0)</f>
        <v>0</v>
      </c>
      <c r="AG520" s="55">
        <f>IF(AQ520="2",BI520,0)</f>
        <v>0</v>
      </c>
      <c r="AH520" s="55">
        <f>IF(AQ520="0",BJ520,0)</f>
        <v>0</v>
      </c>
      <c r="AI520" s="33" t="s">
        <v>4</v>
      </c>
      <c r="AJ520" s="55">
        <f>IF(AN520=0,I520,0)</f>
        <v>0</v>
      </c>
      <c r="AK520" s="55">
        <f>IF(AN520=12,I520,0)</f>
        <v>0</v>
      </c>
      <c r="AL520" s="55">
        <f>IF(AN520=21,I520,0)</f>
        <v>0</v>
      </c>
      <c r="AN520" s="55">
        <v>21</v>
      </c>
      <c r="AO520" s="55">
        <f>H520*0.634727273</f>
        <v>0</v>
      </c>
      <c r="AP520" s="55">
        <f>H520*(1-0.634727273)</f>
        <v>0</v>
      </c>
      <c r="AQ520" s="58" t="s">
        <v>162</v>
      </c>
      <c r="AV520" s="55">
        <f>AW520+AX520</f>
        <v>0</v>
      </c>
      <c r="AW520" s="55">
        <f>G520*AO520</f>
        <v>0</v>
      </c>
      <c r="AX520" s="55">
        <f>G520*AP520</f>
        <v>0</v>
      </c>
      <c r="AY520" s="58" t="s">
        <v>614</v>
      </c>
      <c r="AZ520" s="58" t="s">
        <v>615</v>
      </c>
      <c r="BA520" s="33" t="s">
        <v>125</v>
      </c>
      <c r="BB520" s="59">
        <v>100034</v>
      </c>
      <c r="BC520" s="55">
        <f>AW520+AX520</f>
        <v>0</v>
      </c>
      <c r="BD520" s="55">
        <f>H520/(100-BE520)*100</f>
        <v>0</v>
      </c>
      <c r="BE520" s="55">
        <v>0</v>
      </c>
      <c r="BF520" s="55">
        <f>L520</f>
        <v>5.08225E-2</v>
      </c>
      <c r="BH520" s="55">
        <f>G520*AO520</f>
        <v>0</v>
      </c>
      <c r="BI520" s="55">
        <f>G520*AP520</f>
        <v>0</v>
      </c>
      <c r="BJ520" s="55">
        <f>G520*H520</f>
        <v>0</v>
      </c>
      <c r="BK520" s="55"/>
      <c r="BL520" s="55">
        <v>711</v>
      </c>
      <c r="BW520" s="55">
        <v>21</v>
      </c>
      <c r="BX520" s="3" t="s">
        <v>676</v>
      </c>
    </row>
    <row r="521" spans="1:76" ht="13.5" customHeight="1" x14ac:dyDescent="0.25">
      <c r="A521" s="60"/>
      <c r="D521" s="155" t="s">
        <v>677</v>
      </c>
      <c r="E521" s="156"/>
      <c r="F521" s="156"/>
      <c r="G521" s="156"/>
      <c r="H521" s="157"/>
      <c r="I521" s="156"/>
      <c r="J521" s="156"/>
      <c r="K521" s="156"/>
      <c r="L521" s="156"/>
      <c r="M521" s="158"/>
    </row>
    <row r="522" spans="1:76" x14ac:dyDescent="0.25">
      <c r="A522" s="60"/>
      <c r="D522" s="61" t="s">
        <v>678</v>
      </c>
      <c r="E522" s="61" t="s">
        <v>679</v>
      </c>
      <c r="G522" s="62">
        <v>3.6</v>
      </c>
      <c r="M522" s="63"/>
    </row>
    <row r="523" spans="1:76" x14ac:dyDescent="0.25">
      <c r="A523" s="60"/>
      <c r="D523" s="61" t="s">
        <v>680</v>
      </c>
      <c r="E523" s="61" t="s">
        <v>681</v>
      </c>
      <c r="G523" s="62">
        <v>10.199999999999999</v>
      </c>
      <c r="M523" s="63"/>
    </row>
    <row r="524" spans="1:76" x14ac:dyDescent="0.25">
      <c r="A524" s="60"/>
      <c r="D524" s="61" t="s">
        <v>682</v>
      </c>
      <c r="E524" s="61" t="s">
        <v>659</v>
      </c>
      <c r="G524" s="62">
        <v>12.75</v>
      </c>
      <c r="M524" s="63"/>
    </row>
    <row r="525" spans="1:76" x14ac:dyDescent="0.25">
      <c r="A525" s="60"/>
      <c r="D525" s="61" t="s">
        <v>683</v>
      </c>
      <c r="E525" s="61" t="s">
        <v>643</v>
      </c>
      <c r="G525" s="62">
        <v>25.5</v>
      </c>
      <c r="M525" s="63"/>
    </row>
    <row r="526" spans="1:76" x14ac:dyDescent="0.25">
      <c r="A526" s="60"/>
      <c r="D526" s="61" t="s">
        <v>684</v>
      </c>
      <c r="E526" s="61" t="s">
        <v>644</v>
      </c>
      <c r="G526" s="62">
        <v>20</v>
      </c>
      <c r="M526" s="63"/>
    </row>
    <row r="527" spans="1:76" x14ac:dyDescent="0.25">
      <c r="A527" s="60"/>
      <c r="D527" s="61" t="s">
        <v>685</v>
      </c>
      <c r="E527" s="61" t="s">
        <v>4</v>
      </c>
      <c r="G527" s="62">
        <v>15.3</v>
      </c>
      <c r="M527" s="63"/>
    </row>
    <row r="528" spans="1:76" x14ac:dyDescent="0.25">
      <c r="A528" s="60"/>
      <c r="D528" s="61" t="s">
        <v>686</v>
      </c>
      <c r="E528" s="61" t="s">
        <v>646</v>
      </c>
      <c r="G528" s="62">
        <v>31.8</v>
      </c>
      <c r="M528" s="63"/>
    </row>
    <row r="529" spans="1:76" x14ac:dyDescent="0.25">
      <c r="A529" s="60"/>
      <c r="D529" s="61" t="s">
        <v>680</v>
      </c>
      <c r="E529" s="61" t="s">
        <v>687</v>
      </c>
      <c r="G529" s="62">
        <v>10.199999999999999</v>
      </c>
      <c r="M529" s="63"/>
    </row>
    <row r="530" spans="1:76" x14ac:dyDescent="0.25">
      <c r="A530" s="60"/>
      <c r="D530" s="61" t="s">
        <v>680</v>
      </c>
      <c r="E530" s="61" t="s">
        <v>647</v>
      </c>
      <c r="G530" s="62">
        <v>10.199999999999999</v>
      </c>
      <c r="M530" s="63"/>
    </row>
    <row r="531" spans="1:76" x14ac:dyDescent="0.25">
      <c r="A531" s="60"/>
      <c r="D531" s="61" t="s">
        <v>680</v>
      </c>
      <c r="E531" s="61" t="s">
        <v>649</v>
      </c>
      <c r="G531" s="62">
        <v>10.199999999999999</v>
      </c>
      <c r="M531" s="63"/>
    </row>
    <row r="532" spans="1:76" x14ac:dyDescent="0.25">
      <c r="A532" s="60"/>
      <c r="D532" s="61" t="s">
        <v>688</v>
      </c>
      <c r="E532" s="61" t="s">
        <v>650</v>
      </c>
      <c r="G532" s="62">
        <v>5.0999999999999996</v>
      </c>
      <c r="M532" s="63"/>
    </row>
    <row r="533" spans="1:76" x14ac:dyDescent="0.25">
      <c r="A533" s="60"/>
      <c r="D533" s="61" t="s">
        <v>689</v>
      </c>
      <c r="E533" s="61" t="s">
        <v>651</v>
      </c>
      <c r="G533" s="62">
        <v>20.399999999999999</v>
      </c>
      <c r="M533" s="63"/>
    </row>
    <row r="534" spans="1:76" x14ac:dyDescent="0.25">
      <c r="A534" s="60"/>
      <c r="C534" s="64" t="s">
        <v>127</v>
      </c>
      <c r="D534" s="159" t="s">
        <v>690</v>
      </c>
      <c r="E534" s="160"/>
      <c r="F534" s="160"/>
      <c r="G534" s="160"/>
      <c r="H534" s="161"/>
      <c r="I534" s="160"/>
      <c r="J534" s="160"/>
      <c r="K534" s="160"/>
      <c r="L534" s="160"/>
      <c r="M534" s="162"/>
      <c r="BX534" s="65" t="s">
        <v>690</v>
      </c>
    </row>
    <row r="535" spans="1:76" x14ac:dyDescent="0.25">
      <c r="A535" s="1" t="s">
        <v>691</v>
      </c>
      <c r="B535" s="2" t="s">
        <v>4</v>
      </c>
      <c r="C535" s="2" t="s">
        <v>692</v>
      </c>
      <c r="D535" s="82" t="s">
        <v>693</v>
      </c>
      <c r="E535" s="83"/>
      <c r="F535" s="2" t="s">
        <v>157</v>
      </c>
      <c r="G535" s="55">
        <v>573.04</v>
      </c>
      <c r="H535" s="56">
        <v>0</v>
      </c>
      <c r="I535" s="55">
        <f>G535*H535</f>
        <v>0</v>
      </c>
      <c r="J535" s="55">
        <v>0</v>
      </c>
      <c r="K535" s="55">
        <v>3.3E-4</v>
      </c>
      <c r="L535" s="55">
        <f>G535*K535</f>
        <v>0.1891032</v>
      </c>
      <c r="M535" s="57" t="s">
        <v>122</v>
      </c>
      <c r="Z535" s="55">
        <f>IF(AQ535="5",BJ535,0)</f>
        <v>0</v>
      </c>
      <c r="AB535" s="55">
        <f>IF(AQ535="1",BH535,0)</f>
        <v>0</v>
      </c>
      <c r="AC535" s="55">
        <f>IF(AQ535="1",BI535,0)</f>
        <v>0</v>
      </c>
      <c r="AD535" s="55">
        <f>IF(AQ535="7",BH535,0)</f>
        <v>0</v>
      </c>
      <c r="AE535" s="55">
        <f>IF(AQ535="7",BI535,0)</f>
        <v>0</v>
      </c>
      <c r="AF535" s="55">
        <f>IF(AQ535="2",BH535,0)</f>
        <v>0</v>
      </c>
      <c r="AG535" s="55">
        <f>IF(AQ535="2",BI535,0)</f>
        <v>0</v>
      </c>
      <c r="AH535" s="55">
        <f>IF(AQ535="0",BJ535,0)</f>
        <v>0</v>
      </c>
      <c r="AI535" s="33" t="s">
        <v>4</v>
      </c>
      <c r="AJ535" s="55">
        <f>IF(AN535=0,I535,0)</f>
        <v>0</v>
      </c>
      <c r="AK535" s="55">
        <f>IF(AN535=12,I535,0)</f>
        <v>0</v>
      </c>
      <c r="AL535" s="55">
        <f>IF(AN535=21,I535,0)</f>
        <v>0</v>
      </c>
      <c r="AN535" s="55">
        <v>21</v>
      </c>
      <c r="AO535" s="55">
        <f>H535*0.722030603</f>
        <v>0</v>
      </c>
      <c r="AP535" s="55">
        <f>H535*(1-0.722030603)</f>
        <v>0</v>
      </c>
      <c r="AQ535" s="58" t="s">
        <v>162</v>
      </c>
      <c r="AV535" s="55">
        <f>AW535+AX535</f>
        <v>0</v>
      </c>
      <c r="AW535" s="55">
        <f>G535*AO535</f>
        <v>0</v>
      </c>
      <c r="AX535" s="55">
        <f>G535*AP535</f>
        <v>0</v>
      </c>
      <c r="AY535" s="58" t="s">
        <v>614</v>
      </c>
      <c r="AZ535" s="58" t="s">
        <v>615</v>
      </c>
      <c r="BA535" s="33" t="s">
        <v>125</v>
      </c>
      <c r="BB535" s="59">
        <v>100034</v>
      </c>
      <c r="BC535" s="55">
        <f>AW535+AX535</f>
        <v>0</v>
      </c>
      <c r="BD535" s="55">
        <f>H535/(100-BE535)*100</f>
        <v>0</v>
      </c>
      <c r="BE535" s="55">
        <v>0</v>
      </c>
      <c r="BF535" s="55">
        <f>L535</f>
        <v>0.1891032</v>
      </c>
      <c r="BH535" s="55">
        <f>G535*AO535</f>
        <v>0</v>
      </c>
      <c r="BI535" s="55">
        <f>G535*AP535</f>
        <v>0</v>
      </c>
      <c r="BJ535" s="55">
        <f>G535*H535</f>
        <v>0</v>
      </c>
      <c r="BK535" s="55"/>
      <c r="BL535" s="55">
        <v>711</v>
      </c>
      <c r="BW535" s="55">
        <v>21</v>
      </c>
      <c r="BX535" s="3" t="s">
        <v>693</v>
      </c>
    </row>
    <row r="536" spans="1:76" ht="13.5" customHeight="1" x14ac:dyDescent="0.25">
      <c r="A536" s="60"/>
      <c r="D536" s="155" t="s">
        <v>694</v>
      </c>
      <c r="E536" s="156"/>
      <c r="F536" s="156"/>
      <c r="G536" s="156"/>
      <c r="H536" s="157"/>
      <c r="I536" s="156"/>
      <c r="J536" s="156"/>
      <c r="K536" s="156"/>
      <c r="L536" s="156"/>
      <c r="M536" s="158"/>
    </row>
    <row r="537" spans="1:76" x14ac:dyDescent="0.25">
      <c r="A537" s="60"/>
      <c r="D537" s="61" t="s">
        <v>590</v>
      </c>
      <c r="E537" s="61" t="s">
        <v>4</v>
      </c>
      <c r="G537" s="62">
        <v>510</v>
      </c>
      <c r="M537" s="63"/>
    </row>
    <row r="538" spans="1:76" x14ac:dyDescent="0.25">
      <c r="A538" s="60"/>
      <c r="D538" s="61" t="s">
        <v>573</v>
      </c>
      <c r="E538" s="61" t="s">
        <v>4</v>
      </c>
      <c r="G538" s="62">
        <v>63.04</v>
      </c>
      <c r="M538" s="63"/>
    </row>
    <row r="539" spans="1:76" ht="51" x14ac:dyDescent="0.25">
      <c r="A539" s="60"/>
      <c r="C539" s="64" t="s">
        <v>127</v>
      </c>
      <c r="D539" s="159" t="s">
        <v>695</v>
      </c>
      <c r="E539" s="160"/>
      <c r="F539" s="160"/>
      <c r="G539" s="160"/>
      <c r="H539" s="161"/>
      <c r="I539" s="160"/>
      <c r="J539" s="160"/>
      <c r="K539" s="160"/>
      <c r="L539" s="160"/>
      <c r="M539" s="162"/>
      <c r="BX539" s="65" t="s">
        <v>695</v>
      </c>
    </row>
    <row r="540" spans="1:76" x14ac:dyDescent="0.25">
      <c r="A540" s="1" t="s">
        <v>696</v>
      </c>
      <c r="B540" s="2" t="s">
        <v>4</v>
      </c>
      <c r="C540" s="2" t="s">
        <v>697</v>
      </c>
      <c r="D540" s="82" t="s">
        <v>698</v>
      </c>
      <c r="E540" s="83"/>
      <c r="F540" s="2" t="s">
        <v>157</v>
      </c>
      <c r="G540" s="55">
        <v>573.04</v>
      </c>
      <c r="H540" s="56">
        <v>0</v>
      </c>
      <c r="I540" s="55">
        <f>G540*H540</f>
        <v>0</v>
      </c>
      <c r="J540" s="55">
        <v>0</v>
      </c>
      <c r="K540" s="55">
        <v>8.1999999999999998E-4</v>
      </c>
      <c r="L540" s="55">
        <f>G540*K540</f>
        <v>0.46989279999999994</v>
      </c>
      <c r="M540" s="57" t="s">
        <v>122</v>
      </c>
      <c r="Z540" s="55">
        <f>IF(AQ540="5",BJ540,0)</f>
        <v>0</v>
      </c>
      <c r="AB540" s="55">
        <f>IF(AQ540="1",BH540,0)</f>
        <v>0</v>
      </c>
      <c r="AC540" s="55">
        <f>IF(AQ540="1",BI540,0)</f>
        <v>0</v>
      </c>
      <c r="AD540" s="55">
        <f>IF(AQ540="7",BH540,0)</f>
        <v>0</v>
      </c>
      <c r="AE540" s="55">
        <f>IF(AQ540="7",BI540,0)</f>
        <v>0</v>
      </c>
      <c r="AF540" s="55">
        <f>IF(AQ540="2",BH540,0)</f>
        <v>0</v>
      </c>
      <c r="AG540" s="55">
        <f>IF(AQ540="2",BI540,0)</f>
        <v>0</v>
      </c>
      <c r="AH540" s="55">
        <f>IF(AQ540="0",BJ540,0)</f>
        <v>0</v>
      </c>
      <c r="AI540" s="33" t="s">
        <v>4</v>
      </c>
      <c r="AJ540" s="55">
        <f>IF(AN540=0,I540,0)</f>
        <v>0</v>
      </c>
      <c r="AK540" s="55">
        <f>IF(AN540=12,I540,0)</f>
        <v>0</v>
      </c>
      <c r="AL540" s="55">
        <f>IF(AN540=21,I540,0)</f>
        <v>0</v>
      </c>
      <c r="AN540" s="55">
        <v>21</v>
      </c>
      <c r="AO540" s="55">
        <f>H540*0.079545455</f>
        <v>0</v>
      </c>
      <c r="AP540" s="55">
        <f>H540*(1-0.079545455)</f>
        <v>0</v>
      </c>
      <c r="AQ540" s="58" t="s">
        <v>162</v>
      </c>
      <c r="AV540" s="55">
        <f>AW540+AX540</f>
        <v>0</v>
      </c>
      <c r="AW540" s="55">
        <f>G540*AO540</f>
        <v>0</v>
      </c>
      <c r="AX540" s="55">
        <f>G540*AP540</f>
        <v>0</v>
      </c>
      <c r="AY540" s="58" t="s">
        <v>614</v>
      </c>
      <c r="AZ540" s="58" t="s">
        <v>615</v>
      </c>
      <c r="BA540" s="33" t="s">
        <v>125</v>
      </c>
      <c r="BB540" s="59">
        <v>100034</v>
      </c>
      <c r="BC540" s="55">
        <f>AW540+AX540</f>
        <v>0</v>
      </c>
      <c r="BD540" s="55">
        <f>H540/(100-BE540)*100</f>
        <v>0</v>
      </c>
      <c r="BE540" s="55">
        <v>0</v>
      </c>
      <c r="BF540" s="55">
        <f>L540</f>
        <v>0.46989279999999994</v>
      </c>
      <c r="BH540" s="55">
        <f>G540*AO540</f>
        <v>0</v>
      </c>
      <c r="BI540" s="55">
        <f>G540*AP540</f>
        <v>0</v>
      </c>
      <c r="BJ540" s="55">
        <f>G540*H540</f>
        <v>0</v>
      </c>
      <c r="BK540" s="55"/>
      <c r="BL540" s="55">
        <v>711</v>
      </c>
      <c r="BW540" s="55">
        <v>21</v>
      </c>
      <c r="BX540" s="3" t="s">
        <v>698</v>
      </c>
    </row>
    <row r="541" spans="1:76" ht="13.5" customHeight="1" x14ac:dyDescent="0.25">
      <c r="A541" s="60"/>
      <c r="D541" s="155" t="s">
        <v>699</v>
      </c>
      <c r="E541" s="156"/>
      <c r="F541" s="156"/>
      <c r="G541" s="156"/>
      <c r="H541" s="157"/>
      <c r="I541" s="156"/>
      <c r="J541" s="156"/>
      <c r="K541" s="156"/>
      <c r="L541" s="156"/>
      <c r="M541" s="158"/>
    </row>
    <row r="542" spans="1:76" x14ac:dyDescent="0.25">
      <c r="A542" s="60"/>
      <c r="D542" s="61" t="s">
        <v>700</v>
      </c>
      <c r="E542" s="61" t="s">
        <v>4</v>
      </c>
      <c r="G542" s="62">
        <v>63.04</v>
      </c>
      <c r="M542" s="63"/>
    </row>
    <row r="543" spans="1:76" x14ac:dyDescent="0.25">
      <c r="A543" s="60"/>
      <c r="D543" s="61" t="s">
        <v>590</v>
      </c>
      <c r="E543" s="61" t="s">
        <v>4</v>
      </c>
      <c r="G543" s="62">
        <v>510</v>
      </c>
      <c r="M543" s="63"/>
    </row>
    <row r="544" spans="1:76" ht="38.25" x14ac:dyDescent="0.25">
      <c r="A544" s="60"/>
      <c r="C544" s="64" t="s">
        <v>127</v>
      </c>
      <c r="D544" s="159" t="s">
        <v>701</v>
      </c>
      <c r="E544" s="160"/>
      <c r="F544" s="160"/>
      <c r="G544" s="160"/>
      <c r="H544" s="161"/>
      <c r="I544" s="160"/>
      <c r="J544" s="160"/>
      <c r="K544" s="160"/>
      <c r="L544" s="160"/>
      <c r="M544" s="162"/>
      <c r="BX544" s="65" t="s">
        <v>701</v>
      </c>
    </row>
    <row r="545" spans="1:76" x14ac:dyDescent="0.25">
      <c r="A545" s="66" t="s">
        <v>702</v>
      </c>
      <c r="B545" s="67" t="s">
        <v>4</v>
      </c>
      <c r="C545" s="67" t="s">
        <v>703</v>
      </c>
      <c r="D545" s="163" t="s">
        <v>704</v>
      </c>
      <c r="E545" s="164"/>
      <c r="F545" s="67" t="s">
        <v>157</v>
      </c>
      <c r="G545" s="69">
        <v>643.5</v>
      </c>
      <c r="H545" s="70">
        <v>0</v>
      </c>
      <c r="I545" s="69">
        <f>G545*H545</f>
        <v>0</v>
      </c>
      <c r="J545" s="69">
        <v>0</v>
      </c>
      <c r="K545" s="69">
        <v>4.3E-3</v>
      </c>
      <c r="L545" s="69">
        <f>G545*K545</f>
        <v>2.7670499999999998</v>
      </c>
      <c r="M545" s="71" t="s">
        <v>122</v>
      </c>
      <c r="Z545" s="55">
        <f>IF(AQ545="5",BJ545,0)</f>
        <v>0</v>
      </c>
      <c r="AB545" s="55">
        <f>IF(AQ545="1",BH545,0)</f>
        <v>0</v>
      </c>
      <c r="AC545" s="55">
        <f>IF(AQ545="1",BI545,0)</f>
        <v>0</v>
      </c>
      <c r="AD545" s="55">
        <f>IF(AQ545="7",BH545,0)</f>
        <v>0</v>
      </c>
      <c r="AE545" s="55">
        <f>IF(AQ545="7",BI545,0)</f>
        <v>0</v>
      </c>
      <c r="AF545" s="55">
        <f>IF(AQ545="2",BH545,0)</f>
        <v>0</v>
      </c>
      <c r="AG545" s="55">
        <f>IF(AQ545="2",BI545,0)</f>
        <v>0</v>
      </c>
      <c r="AH545" s="55">
        <f>IF(AQ545="0",BJ545,0)</f>
        <v>0</v>
      </c>
      <c r="AI545" s="33" t="s">
        <v>4</v>
      </c>
      <c r="AJ545" s="69">
        <f>IF(AN545=0,I545,0)</f>
        <v>0</v>
      </c>
      <c r="AK545" s="69">
        <f>IF(AN545=12,I545,0)</f>
        <v>0</v>
      </c>
      <c r="AL545" s="69">
        <f>IF(AN545=21,I545,0)</f>
        <v>0</v>
      </c>
      <c r="AN545" s="55">
        <v>21</v>
      </c>
      <c r="AO545" s="55">
        <f>H545*1</f>
        <v>0</v>
      </c>
      <c r="AP545" s="55">
        <f>H545*(1-1)</f>
        <v>0</v>
      </c>
      <c r="AQ545" s="72" t="s">
        <v>162</v>
      </c>
      <c r="AV545" s="55">
        <f>AW545+AX545</f>
        <v>0</v>
      </c>
      <c r="AW545" s="55">
        <f>G545*AO545</f>
        <v>0</v>
      </c>
      <c r="AX545" s="55">
        <f>G545*AP545</f>
        <v>0</v>
      </c>
      <c r="AY545" s="58" t="s">
        <v>614</v>
      </c>
      <c r="AZ545" s="58" t="s">
        <v>615</v>
      </c>
      <c r="BA545" s="33" t="s">
        <v>125</v>
      </c>
      <c r="BC545" s="55">
        <f>AW545+AX545</f>
        <v>0</v>
      </c>
      <c r="BD545" s="55">
        <f>H545/(100-BE545)*100</f>
        <v>0</v>
      </c>
      <c r="BE545" s="55">
        <v>0</v>
      </c>
      <c r="BF545" s="55">
        <f>L545</f>
        <v>2.7670499999999998</v>
      </c>
      <c r="BH545" s="69">
        <f>G545*AO545</f>
        <v>0</v>
      </c>
      <c r="BI545" s="69">
        <f>G545*AP545</f>
        <v>0</v>
      </c>
      <c r="BJ545" s="69">
        <f>G545*H545</f>
        <v>0</v>
      </c>
      <c r="BK545" s="69"/>
      <c r="BL545" s="55">
        <v>711</v>
      </c>
      <c r="BW545" s="55">
        <v>21</v>
      </c>
      <c r="BX545" s="68" t="s">
        <v>704</v>
      </c>
    </row>
    <row r="546" spans="1:76" x14ac:dyDescent="0.25">
      <c r="A546" s="60"/>
      <c r="D546" s="61" t="s">
        <v>705</v>
      </c>
      <c r="E546" s="61" t="s">
        <v>4</v>
      </c>
      <c r="G546" s="62">
        <v>75</v>
      </c>
      <c r="M546" s="63"/>
    </row>
    <row r="547" spans="1:76" x14ac:dyDescent="0.25">
      <c r="A547" s="60"/>
      <c r="D547" s="61" t="s">
        <v>590</v>
      </c>
      <c r="E547" s="61" t="s">
        <v>4</v>
      </c>
      <c r="G547" s="62">
        <v>510</v>
      </c>
      <c r="M547" s="63"/>
    </row>
    <row r="548" spans="1:76" x14ac:dyDescent="0.25">
      <c r="A548" s="60"/>
      <c r="D548" s="61" t="s">
        <v>706</v>
      </c>
      <c r="E548" s="61" t="s">
        <v>4</v>
      </c>
      <c r="G548" s="62">
        <v>58.5</v>
      </c>
      <c r="M548" s="63"/>
    </row>
    <row r="549" spans="1:76" ht="76.5" x14ac:dyDescent="0.25">
      <c r="A549" s="60"/>
      <c r="C549" s="64" t="s">
        <v>127</v>
      </c>
      <c r="D549" s="159" t="s">
        <v>707</v>
      </c>
      <c r="E549" s="160"/>
      <c r="F549" s="160"/>
      <c r="G549" s="160"/>
      <c r="H549" s="161"/>
      <c r="I549" s="160"/>
      <c r="J549" s="160"/>
      <c r="K549" s="160"/>
      <c r="L549" s="160"/>
      <c r="M549" s="162"/>
      <c r="BX549" s="73" t="s">
        <v>707</v>
      </c>
    </row>
    <row r="550" spans="1:76" x14ac:dyDescent="0.25">
      <c r="A550" s="66" t="s">
        <v>478</v>
      </c>
      <c r="B550" s="67" t="s">
        <v>4</v>
      </c>
      <c r="C550" s="67" t="s">
        <v>708</v>
      </c>
      <c r="D550" s="163" t="s">
        <v>709</v>
      </c>
      <c r="E550" s="164"/>
      <c r="F550" s="67" t="s">
        <v>157</v>
      </c>
      <c r="G550" s="69">
        <v>643.5</v>
      </c>
      <c r="H550" s="70">
        <v>0</v>
      </c>
      <c r="I550" s="69">
        <f>G550*H550</f>
        <v>0</v>
      </c>
      <c r="J550" s="69">
        <v>0</v>
      </c>
      <c r="K550" s="69">
        <v>4.4999999999999997E-3</v>
      </c>
      <c r="L550" s="69">
        <f>G550*K550</f>
        <v>2.8957499999999996</v>
      </c>
      <c r="M550" s="71" t="s">
        <v>122</v>
      </c>
      <c r="Z550" s="55">
        <f>IF(AQ550="5",BJ550,0)</f>
        <v>0</v>
      </c>
      <c r="AB550" s="55">
        <f>IF(AQ550="1",BH550,0)</f>
        <v>0</v>
      </c>
      <c r="AC550" s="55">
        <f>IF(AQ550="1",BI550,0)</f>
        <v>0</v>
      </c>
      <c r="AD550" s="55">
        <f>IF(AQ550="7",BH550,0)</f>
        <v>0</v>
      </c>
      <c r="AE550" s="55">
        <f>IF(AQ550="7",BI550,0)</f>
        <v>0</v>
      </c>
      <c r="AF550" s="55">
        <f>IF(AQ550="2",BH550,0)</f>
        <v>0</v>
      </c>
      <c r="AG550" s="55">
        <f>IF(AQ550="2",BI550,0)</f>
        <v>0</v>
      </c>
      <c r="AH550" s="55">
        <f>IF(AQ550="0",BJ550,0)</f>
        <v>0</v>
      </c>
      <c r="AI550" s="33" t="s">
        <v>4</v>
      </c>
      <c r="AJ550" s="69">
        <f>IF(AN550=0,I550,0)</f>
        <v>0</v>
      </c>
      <c r="AK550" s="69">
        <f>IF(AN550=12,I550,0)</f>
        <v>0</v>
      </c>
      <c r="AL550" s="69">
        <f>IF(AN550=21,I550,0)</f>
        <v>0</v>
      </c>
      <c r="AN550" s="55">
        <v>21</v>
      </c>
      <c r="AO550" s="55">
        <f>H550*1</f>
        <v>0</v>
      </c>
      <c r="AP550" s="55">
        <f>H550*(1-1)</f>
        <v>0</v>
      </c>
      <c r="AQ550" s="72" t="s">
        <v>162</v>
      </c>
      <c r="AV550" s="55">
        <f>AW550+AX550</f>
        <v>0</v>
      </c>
      <c r="AW550" s="55">
        <f>G550*AO550</f>
        <v>0</v>
      </c>
      <c r="AX550" s="55">
        <f>G550*AP550</f>
        <v>0</v>
      </c>
      <c r="AY550" s="58" t="s">
        <v>614</v>
      </c>
      <c r="AZ550" s="58" t="s">
        <v>615</v>
      </c>
      <c r="BA550" s="33" t="s">
        <v>125</v>
      </c>
      <c r="BC550" s="55">
        <f>AW550+AX550</f>
        <v>0</v>
      </c>
      <c r="BD550" s="55">
        <f>H550/(100-BE550)*100</f>
        <v>0</v>
      </c>
      <c r="BE550" s="55">
        <v>0</v>
      </c>
      <c r="BF550" s="55">
        <f>L550</f>
        <v>2.8957499999999996</v>
      </c>
      <c r="BH550" s="69">
        <f>G550*AO550</f>
        <v>0</v>
      </c>
      <c r="BI550" s="69">
        <f>G550*AP550</f>
        <v>0</v>
      </c>
      <c r="BJ550" s="69">
        <f>G550*H550</f>
        <v>0</v>
      </c>
      <c r="BK550" s="69"/>
      <c r="BL550" s="55">
        <v>711</v>
      </c>
      <c r="BW550" s="55">
        <v>21</v>
      </c>
      <c r="BX550" s="68" t="s">
        <v>709</v>
      </c>
    </row>
    <row r="551" spans="1:76" x14ac:dyDescent="0.25">
      <c r="A551" s="60"/>
      <c r="D551" s="61" t="s">
        <v>705</v>
      </c>
      <c r="E551" s="61" t="s">
        <v>4</v>
      </c>
      <c r="G551" s="62">
        <v>75</v>
      </c>
      <c r="M551" s="63"/>
    </row>
    <row r="552" spans="1:76" x14ac:dyDescent="0.25">
      <c r="A552" s="60"/>
      <c r="D552" s="61" t="s">
        <v>590</v>
      </c>
      <c r="E552" s="61" t="s">
        <v>4</v>
      </c>
      <c r="G552" s="62">
        <v>510</v>
      </c>
      <c r="M552" s="63"/>
    </row>
    <row r="553" spans="1:76" x14ac:dyDescent="0.25">
      <c r="A553" s="60"/>
      <c r="D553" s="61" t="s">
        <v>706</v>
      </c>
      <c r="E553" s="61" t="s">
        <v>4</v>
      </c>
      <c r="G553" s="62">
        <v>58.5</v>
      </c>
      <c r="M553" s="63"/>
    </row>
    <row r="554" spans="1:76" ht="89.25" x14ac:dyDescent="0.25">
      <c r="A554" s="60"/>
      <c r="C554" s="64" t="s">
        <v>127</v>
      </c>
      <c r="D554" s="159" t="s">
        <v>710</v>
      </c>
      <c r="E554" s="160"/>
      <c r="F554" s="160"/>
      <c r="G554" s="160"/>
      <c r="H554" s="161"/>
      <c r="I554" s="160"/>
      <c r="J554" s="160"/>
      <c r="K554" s="160"/>
      <c r="L554" s="160"/>
      <c r="M554" s="162"/>
      <c r="BX554" s="73" t="s">
        <v>710</v>
      </c>
    </row>
    <row r="555" spans="1:76" x14ac:dyDescent="0.25">
      <c r="A555" s="1" t="s">
        <v>711</v>
      </c>
      <c r="B555" s="2" t="s">
        <v>4</v>
      </c>
      <c r="C555" s="2" t="s">
        <v>712</v>
      </c>
      <c r="D555" s="82" t="s">
        <v>713</v>
      </c>
      <c r="E555" s="83"/>
      <c r="F555" s="2" t="s">
        <v>157</v>
      </c>
      <c r="G555" s="55">
        <v>20</v>
      </c>
      <c r="H555" s="56">
        <v>0</v>
      </c>
      <c r="I555" s="55">
        <f>G555*H555</f>
        <v>0</v>
      </c>
      <c r="J555" s="55">
        <v>0</v>
      </c>
      <c r="K555" s="55">
        <v>1.58E-3</v>
      </c>
      <c r="L555" s="55">
        <f>G555*K555</f>
        <v>3.1600000000000003E-2</v>
      </c>
      <c r="M555" s="57" t="s">
        <v>122</v>
      </c>
      <c r="Z555" s="55">
        <f>IF(AQ555="5",BJ555,0)</f>
        <v>0</v>
      </c>
      <c r="AB555" s="55">
        <f>IF(AQ555="1",BH555,0)</f>
        <v>0</v>
      </c>
      <c r="AC555" s="55">
        <f>IF(AQ555="1",BI555,0)</f>
        <v>0</v>
      </c>
      <c r="AD555" s="55">
        <f>IF(AQ555="7",BH555,0)</f>
        <v>0</v>
      </c>
      <c r="AE555" s="55">
        <f>IF(AQ555="7",BI555,0)</f>
        <v>0</v>
      </c>
      <c r="AF555" s="55">
        <f>IF(AQ555="2",BH555,0)</f>
        <v>0</v>
      </c>
      <c r="AG555" s="55">
        <f>IF(AQ555="2",BI555,0)</f>
        <v>0</v>
      </c>
      <c r="AH555" s="55">
        <f>IF(AQ555="0",BJ555,0)</f>
        <v>0</v>
      </c>
      <c r="AI555" s="33" t="s">
        <v>4</v>
      </c>
      <c r="AJ555" s="55">
        <f>IF(AN555=0,I555,0)</f>
        <v>0</v>
      </c>
      <c r="AK555" s="55">
        <f>IF(AN555=12,I555,0)</f>
        <v>0</v>
      </c>
      <c r="AL555" s="55">
        <f>IF(AN555=21,I555,0)</f>
        <v>0</v>
      </c>
      <c r="AN555" s="55">
        <v>21</v>
      </c>
      <c r="AO555" s="55">
        <f>H555*0.641488673</f>
        <v>0</v>
      </c>
      <c r="AP555" s="55">
        <f>H555*(1-0.641488673)</f>
        <v>0</v>
      </c>
      <c r="AQ555" s="58" t="s">
        <v>162</v>
      </c>
      <c r="AV555" s="55">
        <f>AW555+AX555</f>
        <v>0</v>
      </c>
      <c r="AW555" s="55">
        <f>G555*AO555</f>
        <v>0</v>
      </c>
      <c r="AX555" s="55">
        <f>G555*AP555</f>
        <v>0</v>
      </c>
      <c r="AY555" s="58" t="s">
        <v>614</v>
      </c>
      <c r="AZ555" s="58" t="s">
        <v>615</v>
      </c>
      <c r="BA555" s="33" t="s">
        <v>125</v>
      </c>
      <c r="BB555" s="59">
        <v>100034</v>
      </c>
      <c r="BC555" s="55">
        <f>AW555+AX555</f>
        <v>0</v>
      </c>
      <c r="BD555" s="55">
        <f>H555/(100-BE555)*100</f>
        <v>0</v>
      </c>
      <c r="BE555" s="55">
        <v>0</v>
      </c>
      <c r="BF555" s="55">
        <f>L555</f>
        <v>3.1600000000000003E-2</v>
      </c>
      <c r="BH555" s="55">
        <f>G555*AO555</f>
        <v>0</v>
      </c>
      <c r="BI555" s="55">
        <f>G555*AP555</f>
        <v>0</v>
      </c>
      <c r="BJ555" s="55">
        <f>G555*H555</f>
        <v>0</v>
      </c>
      <c r="BK555" s="55"/>
      <c r="BL555" s="55">
        <v>711</v>
      </c>
      <c r="BW555" s="55">
        <v>21</v>
      </c>
      <c r="BX555" s="3" t="s">
        <v>713</v>
      </c>
    </row>
    <row r="556" spans="1:76" ht="13.5" customHeight="1" x14ac:dyDescent="0.25">
      <c r="A556" s="60"/>
      <c r="D556" s="155" t="s">
        <v>714</v>
      </c>
      <c r="E556" s="156"/>
      <c r="F556" s="156"/>
      <c r="G556" s="156"/>
      <c r="H556" s="157"/>
      <c r="I556" s="156"/>
      <c r="J556" s="156"/>
      <c r="K556" s="156"/>
      <c r="L556" s="156"/>
      <c r="M556" s="158"/>
    </row>
    <row r="557" spans="1:76" x14ac:dyDescent="0.25">
      <c r="A557" s="60"/>
      <c r="D557" s="61" t="s">
        <v>332</v>
      </c>
      <c r="E557" s="61" t="s">
        <v>4</v>
      </c>
      <c r="G557" s="62">
        <v>20</v>
      </c>
      <c r="M557" s="63"/>
    </row>
    <row r="558" spans="1:76" x14ac:dyDescent="0.25">
      <c r="A558" s="60"/>
      <c r="C558" s="64" t="s">
        <v>127</v>
      </c>
      <c r="D558" s="159" t="s">
        <v>668</v>
      </c>
      <c r="E558" s="160"/>
      <c r="F558" s="160"/>
      <c r="G558" s="160"/>
      <c r="H558" s="161"/>
      <c r="I558" s="160"/>
      <c r="J558" s="160"/>
      <c r="K558" s="160"/>
      <c r="L558" s="160"/>
      <c r="M558" s="162"/>
      <c r="BX558" s="65" t="s">
        <v>668</v>
      </c>
    </row>
    <row r="559" spans="1:76" x14ac:dyDescent="0.25">
      <c r="A559" s="1" t="s">
        <v>715</v>
      </c>
      <c r="B559" s="2" t="s">
        <v>4</v>
      </c>
      <c r="C559" s="2" t="s">
        <v>716</v>
      </c>
      <c r="D559" s="82" t="s">
        <v>717</v>
      </c>
      <c r="E559" s="83"/>
      <c r="F559" s="2" t="s">
        <v>157</v>
      </c>
      <c r="G559" s="55">
        <v>20</v>
      </c>
      <c r="H559" s="56">
        <v>0</v>
      </c>
      <c r="I559" s="55">
        <f>G559*H559</f>
        <v>0</v>
      </c>
      <c r="J559" s="55">
        <v>0</v>
      </c>
      <c r="K559" s="55">
        <v>3.7799999999999999E-3</v>
      </c>
      <c r="L559" s="55">
        <f>G559*K559</f>
        <v>7.5600000000000001E-2</v>
      </c>
      <c r="M559" s="57" t="s">
        <v>122</v>
      </c>
      <c r="Z559" s="55">
        <f>IF(AQ559="5",BJ559,0)</f>
        <v>0</v>
      </c>
      <c r="AB559" s="55">
        <f>IF(AQ559="1",BH559,0)</f>
        <v>0</v>
      </c>
      <c r="AC559" s="55">
        <f>IF(AQ559="1",BI559,0)</f>
        <v>0</v>
      </c>
      <c r="AD559" s="55">
        <f>IF(AQ559="7",BH559,0)</f>
        <v>0</v>
      </c>
      <c r="AE559" s="55">
        <f>IF(AQ559="7",BI559,0)</f>
        <v>0</v>
      </c>
      <c r="AF559" s="55">
        <f>IF(AQ559="2",BH559,0)</f>
        <v>0</v>
      </c>
      <c r="AG559" s="55">
        <f>IF(AQ559="2",BI559,0)</f>
        <v>0</v>
      </c>
      <c r="AH559" s="55">
        <f>IF(AQ559="0",BJ559,0)</f>
        <v>0</v>
      </c>
      <c r="AI559" s="33" t="s">
        <v>4</v>
      </c>
      <c r="AJ559" s="55">
        <f>IF(AN559=0,I559,0)</f>
        <v>0</v>
      </c>
      <c r="AK559" s="55">
        <f>IF(AN559=12,I559,0)</f>
        <v>0</v>
      </c>
      <c r="AL559" s="55">
        <f>IF(AN559=21,I559,0)</f>
        <v>0</v>
      </c>
      <c r="AN559" s="55">
        <v>21</v>
      </c>
      <c r="AO559" s="55">
        <f>H559*0.729828851</f>
        <v>0</v>
      </c>
      <c r="AP559" s="55">
        <f>H559*(1-0.729828851)</f>
        <v>0</v>
      </c>
      <c r="AQ559" s="58" t="s">
        <v>162</v>
      </c>
      <c r="AV559" s="55">
        <f>AW559+AX559</f>
        <v>0</v>
      </c>
      <c r="AW559" s="55">
        <f>G559*AO559</f>
        <v>0</v>
      </c>
      <c r="AX559" s="55">
        <f>G559*AP559</f>
        <v>0</v>
      </c>
      <c r="AY559" s="58" t="s">
        <v>614</v>
      </c>
      <c r="AZ559" s="58" t="s">
        <v>615</v>
      </c>
      <c r="BA559" s="33" t="s">
        <v>125</v>
      </c>
      <c r="BB559" s="59">
        <v>100034</v>
      </c>
      <c r="BC559" s="55">
        <f>AW559+AX559</f>
        <v>0</v>
      </c>
      <c r="BD559" s="55">
        <f>H559/(100-BE559)*100</f>
        <v>0</v>
      </c>
      <c r="BE559" s="55">
        <v>0</v>
      </c>
      <c r="BF559" s="55">
        <f>L559</f>
        <v>7.5600000000000001E-2</v>
      </c>
      <c r="BH559" s="55">
        <f>G559*AO559</f>
        <v>0</v>
      </c>
      <c r="BI559" s="55">
        <f>G559*AP559</f>
        <v>0</v>
      </c>
      <c r="BJ559" s="55">
        <f>G559*H559</f>
        <v>0</v>
      </c>
      <c r="BK559" s="55"/>
      <c r="BL559" s="55">
        <v>711</v>
      </c>
      <c r="BW559" s="55">
        <v>21</v>
      </c>
      <c r="BX559" s="3" t="s">
        <v>717</v>
      </c>
    </row>
    <row r="560" spans="1:76" ht="13.5" customHeight="1" x14ac:dyDescent="0.25">
      <c r="A560" s="60"/>
      <c r="D560" s="155" t="s">
        <v>718</v>
      </c>
      <c r="E560" s="156"/>
      <c r="F560" s="156"/>
      <c r="G560" s="156"/>
      <c r="H560" s="157"/>
      <c r="I560" s="156"/>
      <c r="J560" s="156"/>
      <c r="K560" s="156"/>
      <c r="L560" s="156"/>
      <c r="M560" s="158"/>
    </row>
    <row r="561" spans="1:76" x14ac:dyDescent="0.25">
      <c r="A561" s="60"/>
      <c r="D561" s="61" t="s">
        <v>332</v>
      </c>
      <c r="E561" s="61" t="s">
        <v>4</v>
      </c>
      <c r="G561" s="62">
        <v>20</v>
      </c>
      <c r="M561" s="63"/>
    </row>
    <row r="562" spans="1:76" ht="25.5" x14ac:dyDescent="0.25">
      <c r="A562" s="60"/>
      <c r="C562" s="64" t="s">
        <v>127</v>
      </c>
      <c r="D562" s="159" t="s">
        <v>719</v>
      </c>
      <c r="E562" s="160"/>
      <c r="F562" s="160"/>
      <c r="G562" s="160"/>
      <c r="H562" s="161"/>
      <c r="I562" s="160"/>
      <c r="J562" s="160"/>
      <c r="K562" s="160"/>
      <c r="L562" s="160"/>
      <c r="M562" s="162"/>
      <c r="BX562" s="65" t="s">
        <v>719</v>
      </c>
    </row>
    <row r="563" spans="1:76" x14ac:dyDescent="0.25">
      <c r="A563" s="1" t="s">
        <v>720</v>
      </c>
      <c r="B563" s="2" t="s">
        <v>4</v>
      </c>
      <c r="C563" s="2" t="s">
        <v>721</v>
      </c>
      <c r="D563" s="82" t="s">
        <v>722</v>
      </c>
      <c r="E563" s="83"/>
      <c r="F563" s="2" t="s">
        <v>132</v>
      </c>
      <c r="G563" s="55">
        <v>8.0475399999999997</v>
      </c>
      <c r="H563" s="56">
        <v>0</v>
      </c>
      <c r="I563" s="55">
        <f>G563*H563</f>
        <v>0</v>
      </c>
      <c r="J563" s="55">
        <v>0</v>
      </c>
      <c r="K563" s="55">
        <v>0</v>
      </c>
      <c r="L563" s="55">
        <f>G563*K563</f>
        <v>0</v>
      </c>
      <c r="M563" s="57" t="s">
        <v>122</v>
      </c>
      <c r="Z563" s="55">
        <f>IF(AQ563="5",BJ563,0)</f>
        <v>0</v>
      </c>
      <c r="AB563" s="55">
        <f>IF(AQ563="1",BH563,0)</f>
        <v>0</v>
      </c>
      <c r="AC563" s="55">
        <f>IF(AQ563="1",BI563,0)</f>
        <v>0</v>
      </c>
      <c r="AD563" s="55">
        <f>IF(AQ563="7",BH563,0)</f>
        <v>0</v>
      </c>
      <c r="AE563" s="55">
        <f>IF(AQ563="7",BI563,0)</f>
        <v>0</v>
      </c>
      <c r="AF563" s="55">
        <f>IF(AQ563="2",BH563,0)</f>
        <v>0</v>
      </c>
      <c r="AG563" s="55">
        <f>IF(AQ563="2",BI563,0)</f>
        <v>0</v>
      </c>
      <c r="AH563" s="55">
        <f>IF(AQ563="0",BJ563,0)</f>
        <v>0</v>
      </c>
      <c r="AI563" s="33" t="s">
        <v>4</v>
      </c>
      <c r="AJ563" s="55">
        <f>IF(AN563=0,I563,0)</f>
        <v>0</v>
      </c>
      <c r="AK563" s="55">
        <f>IF(AN563=12,I563,0)</f>
        <v>0</v>
      </c>
      <c r="AL563" s="55">
        <f>IF(AN563=21,I563,0)</f>
        <v>0</v>
      </c>
      <c r="AN563" s="55">
        <v>21</v>
      </c>
      <c r="AO563" s="55">
        <f>H563*0</f>
        <v>0</v>
      </c>
      <c r="AP563" s="55">
        <f>H563*(1-0)</f>
        <v>0</v>
      </c>
      <c r="AQ563" s="58" t="s">
        <v>139</v>
      </c>
      <c r="AV563" s="55">
        <f>AW563+AX563</f>
        <v>0</v>
      </c>
      <c r="AW563" s="55">
        <f>G563*AO563</f>
        <v>0</v>
      </c>
      <c r="AX563" s="55">
        <f>G563*AP563</f>
        <v>0</v>
      </c>
      <c r="AY563" s="58" t="s">
        <v>614</v>
      </c>
      <c r="AZ563" s="58" t="s">
        <v>615</v>
      </c>
      <c r="BA563" s="33" t="s">
        <v>125</v>
      </c>
      <c r="BB563" s="59">
        <v>100034</v>
      </c>
      <c r="BC563" s="55">
        <f>AW563+AX563</f>
        <v>0</v>
      </c>
      <c r="BD563" s="55">
        <f>H563/(100-BE563)*100</f>
        <v>0</v>
      </c>
      <c r="BE563" s="55">
        <v>0</v>
      </c>
      <c r="BF563" s="55">
        <f>L563</f>
        <v>0</v>
      </c>
      <c r="BH563" s="55">
        <f>G563*AO563</f>
        <v>0</v>
      </c>
      <c r="BI563" s="55">
        <f>G563*AP563</f>
        <v>0</v>
      </c>
      <c r="BJ563" s="55">
        <f>G563*H563</f>
        <v>0</v>
      </c>
      <c r="BK563" s="55"/>
      <c r="BL563" s="55">
        <v>711</v>
      </c>
      <c r="BW563" s="55">
        <v>21</v>
      </c>
      <c r="BX563" s="3" t="s">
        <v>722</v>
      </c>
    </row>
    <row r="564" spans="1:76" x14ac:dyDescent="0.25">
      <c r="A564" s="50" t="s">
        <v>4</v>
      </c>
      <c r="B564" s="51" t="s">
        <v>4</v>
      </c>
      <c r="C564" s="51" t="s">
        <v>723</v>
      </c>
      <c r="D564" s="153" t="s">
        <v>724</v>
      </c>
      <c r="E564" s="154"/>
      <c r="F564" s="52" t="s">
        <v>78</v>
      </c>
      <c r="G564" s="52" t="s">
        <v>78</v>
      </c>
      <c r="H564" s="53" t="s">
        <v>78</v>
      </c>
      <c r="I564" s="26">
        <f>SUM(I565:I565)</f>
        <v>0</v>
      </c>
      <c r="J564" s="33" t="s">
        <v>4</v>
      </c>
      <c r="K564" s="33" t="s">
        <v>4</v>
      </c>
      <c r="L564" s="26">
        <f>SUM(L565:L565)</f>
        <v>2.8639999999999999E-2</v>
      </c>
      <c r="M564" s="54" t="s">
        <v>4</v>
      </c>
      <c r="AI564" s="33" t="s">
        <v>4</v>
      </c>
      <c r="AS564" s="26">
        <f>SUM(AJ565:AJ565)</f>
        <v>0</v>
      </c>
      <c r="AT564" s="26">
        <f>SUM(AK565:AK565)</f>
        <v>0</v>
      </c>
      <c r="AU564" s="26">
        <f>SUM(AL565:AL565)</f>
        <v>0</v>
      </c>
    </row>
    <row r="565" spans="1:76" x14ac:dyDescent="0.25">
      <c r="A565" s="1" t="s">
        <v>725</v>
      </c>
      <c r="B565" s="2" t="s">
        <v>4</v>
      </c>
      <c r="C565" s="2" t="s">
        <v>726</v>
      </c>
      <c r="D565" s="82" t="s">
        <v>727</v>
      </c>
      <c r="E565" s="83"/>
      <c r="F565" s="2" t="s">
        <v>728</v>
      </c>
      <c r="G565" s="55">
        <v>1</v>
      </c>
      <c r="H565" s="56">
        <v>0</v>
      </c>
      <c r="I565" s="55">
        <f>G565*H565</f>
        <v>0</v>
      </c>
      <c r="J565" s="55">
        <v>0</v>
      </c>
      <c r="K565" s="55">
        <v>2.8639999999999999E-2</v>
      </c>
      <c r="L565" s="55">
        <f>G565*K565</f>
        <v>2.8639999999999999E-2</v>
      </c>
      <c r="M565" s="57" t="s">
        <v>122</v>
      </c>
      <c r="Z565" s="55">
        <f>IF(AQ565="5",BJ565,0)</f>
        <v>0</v>
      </c>
      <c r="AB565" s="55">
        <f>IF(AQ565="1",BH565,0)</f>
        <v>0</v>
      </c>
      <c r="AC565" s="55">
        <f>IF(AQ565="1",BI565,0)</f>
        <v>0</v>
      </c>
      <c r="AD565" s="55">
        <f>IF(AQ565="7",BH565,0)</f>
        <v>0</v>
      </c>
      <c r="AE565" s="55">
        <f>IF(AQ565="7",BI565,0)</f>
        <v>0</v>
      </c>
      <c r="AF565" s="55">
        <f>IF(AQ565="2",BH565,0)</f>
        <v>0</v>
      </c>
      <c r="AG565" s="55">
        <f>IF(AQ565="2",BI565,0)</f>
        <v>0</v>
      </c>
      <c r="AH565" s="55">
        <f>IF(AQ565="0",BJ565,0)</f>
        <v>0</v>
      </c>
      <c r="AI565" s="33" t="s">
        <v>4</v>
      </c>
      <c r="AJ565" s="55">
        <f>IF(AN565=0,I565,0)</f>
        <v>0</v>
      </c>
      <c r="AK565" s="55">
        <f>IF(AN565=12,I565,0)</f>
        <v>0</v>
      </c>
      <c r="AL565" s="55">
        <f>IF(AN565=21,I565,0)</f>
        <v>0</v>
      </c>
      <c r="AN565" s="55">
        <v>21</v>
      </c>
      <c r="AO565" s="55">
        <f>H565*0.930734609</f>
        <v>0</v>
      </c>
      <c r="AP565" s="55">
        <f>H565*(1-0.930734609)</f>
        <v>0</v>
      </c>
      <c r="AQ565" s="58" t="s">
        <v>162</v>
      </c>
      <c r="AV565" s="55">
        <f>AW565+AX565</f>
        <v>0</v>
      </c>
      <c r="AW565" s="55">
        <f>G565*AO565</f>
        <v>0</v>
      </c>
      <c r="AX565" s="55">
        <f>G565*AP565</f>
        <v>0</v>
      </c>
      <c r="AY565" s="58" t="s">
        <v>729</v>
      </c>
      <c r="AZ565" s="58" t="s">
        <v>730</v>
      </c>
      <c r="BA565" s="33" t="s">
        <v>125</v>
      </c>
      <c r="BB565" s="59">
        <v>100040</v>
      </c>
      <c r="BC565" s="55">
        <f>AW565+AX565</f>
        <v>0</v>
      </c>
      <c r="BD565" s="55">
        <f>H565/(100-BE565)*100</f>
        <v>0</v>
      </c>
      <c r="BE565" s="55">
        <v>0</v>
      </c>
      <c r="BF565" s="55">
        <f>L565</f>
        <v>2.8639999999999999E-2</v>
      </c>
      <c r="BH565" s="55">
        <f>G565*AO565</f>
        <v>0</v>
      </c>
      <c r="BI565" s="55">
        <f>G565*AP565</f>
        <v>0</v>
      </c>
      <c r="BJ565" s="55">
        <f>G565*H565</f>
        <v>0</v>
      </c>
      <c r="BK565" s="55"/>
      <c r="BL565" s="55">
        <v>722</v>
      </c>
      <c r="BW565" s="55">
        <v>21</v>
      </c>
      <c r="BX565" s="3" t="s">
        <v>727</v>
      </c>
    </row>
    <row r="566" spans="1:76" x14ac:dyDescent="0.25">
      <c r="A566" s="60"/>
      <c r="D566" s="61" t="s">
        <v>118</v>
      </c>
      <c r="E566" s="61" t="s">
        <v>4</v>
      </c>
      <c r="G566" s="62">
        <v>1</v>
      </c>
      <c r="M566" s="63"/>
    </row>
    <row r="567" spans="1:76" x14ac:dyDescent="0.25">
      <c r="A567" s="50" t="s">
        <v>4</v>
      </c>
      <c r="B567" s="51" t="s">
        <v>4</v>
      </c>
      <c r="C567" s="51" t="s">
        <v>731</v>
      </c>
      <c r="D567" s="153" t="s">
        <v>732</v>
      </c>
      <c r="E567" s="154"/>
      <c r="F567" s="52" t="s">
        <v>78</v>
      </c>
      <c r="G567" s="52" t="s">
        <v>78</v>
      </c>
      <c r="H567" s="53" t="s">
        <v>78</v>
      </c>
      <c r="I567" s="26">
        <f>SUM(I568:I570)</f>
        <v>0</v>
      </c>
      <c r="J567" s="33" t="s">
        <v>4</v>
      </c>
      <c r="K567" s="33" t="s">
        <v>4</v>
      </c>
      <c r="L567" s="26">
        <f>SUM(L568:L570)</f>
        <v>0</v>
      </c>
      <c r="M567" s="54" t="s">
        <v>4</v>
      </c>
      <c r="AI567" s="33" t="s">
        <v>4</v>
      </c>
      <c r="AS567" s="26">
        <f>SUM(AJ568:AJ570)</f>
        <v>0</v>
      </c>
      <c r="AT567" s="26">
        <f>SUM(AK568:AK570)</f>
        <v>0</v>
      </c>
      <c r="AU567" s="26">
        <f>SUM(AL568:AL570)</f>
        <v>0</v>
      </c>
    </row>
    <row r="568" spans="1:76" x14ac:dyDescent="0.25">
      <c r="A568" s="1" t="s">
        <v>733</v>
      </c>
      <c r="B568" s="2" t="s">
        <v>4</v>
      </c>
      <c r="C568" s="2" t="s">
        <v>734</v>
      </c>
      <c r="D568" s="82" t="s">
        <v>735</v>
      </c>
      <c r="E568" s="83"/>
      <c r="F568" s="2" t="s">
        <v>145</v>
      </c>
      <c r="G568" s="55">
        <v>4</v>
      </c>
      <c r="H568" s="56">
        <v>0</v>
      </c>
      <c r="I568" s="55">
        <f>G568*H568</f>
        <v>0</v>
      </c>
      <c r="J568" s="55">
        <v>0</v>
      </c>
      <c r="K568" s="55">
        <v>0</v>
      </c>
      <c r="L568" s="55">
        <f>G568*K568</f>
        <v>0</v>
      </c>
      <c r="M568" s="57" t="s">
        <v>122</v>
      </c>
      <c r="Z568" s="55">
        <f>IF(AQ568="5",BJ568,0)</f>
        <v>0</v>
      </c>
      <c r="AB568" s="55">
        <f>IF(AQ568="1",BH568,0)</f>
        <v>0</v>
      </c>
      <c r="AC568" s="55">
        <f>IF(AQ568="1",BI568,0)</f>
        <v>0</v>
      </c>
      <c r="AD568" s="55">
        <f>IF(AQ568="7",BH568,0)</f>
        <v>0</v>
      </c>
      <c r="AE568" s="55">
        <f>IF(AQ568="7",BI568,0)</f>
        <v>0</v>
      </c>
      <c r="AF568" s="55">
        <f>IF(AQ568="2",BH568,0)</f>
        <v>0</v>
      </c>
      <c r="AG568" s="55">
        <f>IF(AQ568="2",BI568,0)</f>
        <v>0</v>
      </c>
      <c r="AH568" s="55">
        <f>IF(AQ568="0",BJ568,0)</f>
        <v>0</v>
      </c>
      <c r="AI568" s="33" t="s">
        <v>4</v>
      </c>
      <c r="AJ568" s="55">
        <f>IF(AN568=0,I568,0)</f>
        <v>0</v>
      </c>
      <c r="AK568" s="55">
        <f>IF(AN568=12,I568,0)</f>
        <v>0</v>
      </c>
      <c r="AL568" s="55">
        <f>IF(AN568=21,I568,0)</f>
        <v>0</v>
      </c>
      <c r="AN568" s="55">
        <v>21</v>
      </c>
      <c r="AO568" s="55">
        <f>H568*0</f>
        <v>0</v>
      </c>
      <c r="AP568" s="55">
        <f>H568*(1-0)</f>
        <v>0</v>
      </c>
      <c r="AQ568" s="58" t="s">
        <v>162</v>
      </c>
      <c r="AV568" s="55">
        <f>AW568+AX568</f>
        <v>0</v>
      </c>
      <c r="AW568" s="55">
        <f>G568*AO568</f>
        <v>0</v>
      </c>
      <c r="AX568" s="55">
        <f>G568*AP568</f>
        <v>0</v>
      </c>
      <c r="AY568" s="58" t="s">
        <v>736</v>
      </c>
      <c r="AZ568" s="58" t="s">
        <v>730</v>
      </c>
      <c r="BA568" s="33" t="s">
        <v>125</v>
      </c>
      <c r="BB568" s="59">
        <v>100037</v>
      </c>
      <c r="BC568" s="55">
        <f>AW568+AX568</f>
        <v>0</v>
      </c>
      <c r="BD568" s="55">
        <f>H568/(100-BE568)*100</f>
        <v>0</v>
      </c>
      <c r="BE568" s="55">
        <v>0</v>
      </c>
      <c r="BF568" s="55">
        <f>L568</f>
        <v>0</v>
      </c>
      <c r="BH568" s="55">
        <f>G568*AO568</f>
        <v>0</v>
      </c>
      <c r="BI568" s="55">
        <f>G568*AP568</f>
        <v>0</v>
      </c>
      <c r="BJ568" s="55">
        <f>G568*H568</f>
        <v>0</v>
      </c>
      <c r="BK568" s="55"/>
      <c r="BL568" s="55">
        <v>728</v>
      </c>
      <c r="BW568" s="55">
        <v>21</v>
      </c>
      <c r="BX568" s="3" t="s">
        <v>735</v>
      </c>
    </row>
    <row r="569" spans="1:76" x14ac:dyDescent="0.25">
      <c r="A569" s="60"/>
      <c r="D569" s="61" t="s">
        <v>142</v>
      </c>
      <c r="E569" s="61" t="s">
        <v>372</v>
      </c>
      <c r="G569" s="62">
        <v>4</v>
      </c>
      <c r="M569" s="63"/>
    </row>
    <row r="570" spans="1:76" x14ac:dyDescent="0.25">
      <c r="A570" s="66" t="s">
        <v>273</v>
      </c>
      <c r="B570" s="67" t="s">
        <v>4</v>
      </c>
      <c r="C570" s="67" t="s">
        <v>737</v>
      </c>
      <c r="D570" s="163" t="s">
        <v>738</v>
      </c>
      <c r="E570" s="164"/>
      <c r="F570" s="67" t="s">
        <v>145</v>
      </c>
      <c r="G570" s="69">
        <v>4</v>
      </c>
      <c r="H570" s="70">
        <v>0</v>
      </c>
      <c r="I570" s="69">
        <f>G570*H570</f>
        <v>0</v>
      </c>
      <c r="J570" s="69">
        <v>0</v>
      </c>
      <c r="K570" s="69">
        <v>0</v>
      </c>
      <c r="L570" s="69">
        <f>G570*K570</f>
        <v>0</v>
      </c>
      <c r="M570" s="71" t="s">
        <v>122</v>
      </c>
      <c r="Z570" s="55">
        <f>IF(AQ570="5",BJ570,0)</f>
        <v>0</v>
      </c>
      <c r="AB570" s="55">
        <f>IF(AQ570="1",BH570,0)</f>
        <v>0</v>
      </c>
      <c r="AC570" s="55">
        <f>IF(AQ570="1",BI570,0)</f>
        <v>0</v>
      </c>
      <c r="AD570" s="55">
        <f>IF(AQ570="7",BH570,0)</f>
        <v>0</v>
      </c>
      <c r="AE570" s="55">
        <f>IF(AQ570="7",BI570,0)</f>
        <v>0</v>
      </c>
      <c r="AF570" s="55">
        <f>IF(AQ570="2",BH570,0)</f>
        <v>0</v>
      </c>
      <c r="AG570" s="55">
        <f>IF(AQ570="2",BI570,0)</f>
        <v>0</v>
      </c>
      <c r="AH570" s="55">
        <f>IF(AQ570="0",BJ570,0)</f>
        <v>0</v>
      </c>
      <c r="AI570" s="33" t="s">
        <v>4</v>
      </c>
      <c r="AJ570" s="69">
        <f>IF(AN570=0,I570,0)</f>
        <v>0</v>
      </c>
      <c r="AK570" s="69">
        <f>IF(AN570=12,I570,0)</f>
        <v>0</v>
      </c>
      <c r="AL570" s="69">
        <f>IF(AN570=21,I570,0)</f>
        <v>0</v>
      </c>
      <c r="AN570" s="55">
        <v>21</v>
      </c>
      <c r="AO570" s="55">
        <f>H570*1</f>
        <v>0</v>
      </c>
      <c r="AP570" s="55">
        <f>H570*(1-1)</f>
        <v>0</v>
      </c>
      <c r="AQ570" s="72" t="s">
        <v>162</v>
      </c>
      <c r="AV570" s="55">
        <f>AW570+AX570</f>
        <v>0</v>
      </c>
      <c r="AW570" s="55">
        <f>G570*AO570</f>
        <v>0</v>
      </c>
      <c r="AX570" s="55">
        <f>G570*AP570</f>
        <v>0</v>
      </c>
      <c r="AY570" s="58" t="s">
        <v>736</v>
      </c>
      <c r="AZ570" s="58" t="s">
        <v>730</v>
      </c>
      <c r="BA570" s="33" t="s">
        <v>125</v>
      </c>
      <c r="BC570" s="55">
        <f>AW570+AX570</f>
        <v>0</v>
      </c>
      <c r="BD570" s="55">
        <f>H570/(100-BE570)*100</f>
        <v>0</v>
      </c>
      <c r="BE570" s="55">
        <v>0</v>
      </c>
      <c r="BF570" s="55">
        <f>L570</f>
        <v>0</v>
      </c>
      <c r="BH570" s="69">
        <f>G570*AO570</f>
        <v>0</v>
      </c>
      <c r="BI570" s="69">
        <f>G570*AP570</f>
        <v>0</v>
      </c>
      <c r="BJ570" s="69">
        <f>G570*H570</f>
        <v>0</v>
      </c>
      <c r="BK570" s="69"/>
      <c r="BL570" s="55">
        <v>728</v>
      </c>
      <c r="BW570" s="55">
        <v>21</v>
      </c>
      <c r="BX570" s="68" t="s">
        <v>738</v>
      </c>
    </row>
    <row r="571" spans="1:76" x14ac:dyDescent="0.25">
      <c r="A571" s="60"/>
      <c r="D571" s="61" t="s">
        <v>142</v>
      </c>
      <c r="E571" s="61" t="s">
        <v>4</v>
      </c>
      <c r="G571" s="62">
        <v>4</v>
      </c>
      <c r="M571" s="63"/>
    </row>
    <row r="572" spans="1:76" x14ac:dyDescent="0.25">
      <c r="A572" s="50" t="s">
        <v>4</v>
      </c>
      <c r="B572" s="51" t="s">
        <v>4</v>
      </c>
      <c r="C572" s="51" t="s">
        <v>739</v>
      </c>
      <c r="D572" s="153" t="s">
        <v>740</v>
      </c>
      <c r="E572" s="154"/>
      <c r="F572" s="52" t="s">
        <v>78</v>
      </c>
      <c r="G572" s="52" t="s">
        <v>78</v>
      </c>
      <c r="H572" s="53" t="s">
        <v>78</v>
      </c>
      <c r="I572" s="26">
        <f>SUM(I573:I578)</f>
        <v>0</v>
      </c>
      <c r="J572" s="33" t="s">
        <v>4</v>
      </c>
      <c r="K572" s="33" t="s">
        <v>4</v>
      </c>
      <c r="L572" s="26">
        <f>SUM(L573:L578)</f>
        <v>0.35785799999999995</v>
      </c>
      <c r="M572" s="54" t="s">
        <v>4</v>
      </c>
      <c r="AI572" s="33" t="s">
        <v>4</v>
      </c>
      <c r="AS572" s="26">
        <f>SUM(AJ573:AJ578)</f>
        <v>0</v>
      </c>
      <c r="AT572" s="26">
        <f>SUM(AK573:AK578)</f>
        <v>0</v>
      </c>
      <c r="AU572" s="26">
        <f>SUM(AL573:AL578)</f>
        <v>0</v>
      </c>
    </row>
    <row r="573" spans="1:76" x14ac:dyDescent="0.25">
      <c r="A573" s="1" t="s">
        <v>398</v>
      </c>
      <c r="B573" s="2" t="s">
        <v>4</v>
      </c>
      <c r="C573" s="2" t="s">
        <v>741</v>
      </c>
      <c r="D573" s="82" t="s">
        <v>742</v>
      </c>
      <c r="E573" s="83"/>
      <c r="F573" s="2" t="s">
        <v>743</v>
      </c>
      <c r="G573" s="55">
        <v>42.3</v>
      </c>
      <c r="H573" s="56">
        <v>0</v>
      </c>
      <c r="I573" s="55">
        <f>G573*H573</f>
        <v>0</v>
      </c>
      <c r="J573" s="55">
        <v>0</v>
      </c>
      <c r="K573" s="55">
        <v>1.6000000000000001E-4</v>
      </c>
      <c r="L573" s="55">
        <f>G573*K573</f>
        <v>6.7679999999999997E-3</v>
      </c>
      <c r="M573" s="57" t="s">
        <v>122</v>
      </c>
      <c r="Z573" s="55">
        <f>IF(AQ573="5",BJ573,0)</f>
        <v>0</v>
      </c>
      <c r="AB573" s="55">
        <f>IF(AQ573="1",BH573,0)</f>
        <v>0</v>
      </c>
      <c r="AC573" s="55">
        <f>IF(AQ573="1",BI573,0)</f>
        <v>0</v>
      </c>
      <c r="AD573" s="55">
        <f>IF(AQ573="7",BH573,0)</f>
        <v>0</v>
      </c>
      <c r="AE573" s="55">
        <f>IF(AQ573="7",BI573,0)</f>
        <v>0</v>
      </c>
      <c r="AF573" s="55">
        <f>IF(AQ573="2",BH573,0)</f>
        <v>0</v>
      </c>
      <c r="AG573" s="55">
        <f>IF(AQ573="2",BI573,0)</f>
        <v>0</v>
      </c>
      <c r="AH573" s="55">
        <f>IF(AQ573="0",BJ573,0)</f>
        <v>0</v>
      </c>
      <c r="AI573" s="33" t="s">
        <v>4</v>
      </c>
      <c r="AJ573" s="55">
        <f>IF(AN573=0,I573,0)</f>
        <v>0</v>
      </c>
      <c r="AK573" s="55">
        <f>IF(AN573=12,I573,0)</f>
        <v>0</v>
      </c>
      <c r="AL573" s="55">
        <f>IF(AN573=21,I573,0)</f>
        <v>0</v>
      </c>
      <c r="AN573" s="55">
        <v>21</v>
      </c>
      <c r="AO573" s="55">
        <f>H573*0.039415053</f>
        <v>0</v>
      </c>
      <c r="AP573" s="55">
        <f>H573*(1-0.039415053)</f>
        <v>0</v>
      </c>
      <c r="AQ573" s="58" t="s">
        <v>162</v>
      </c>
      <c r="AV573" s="55">
        <f>AW573+AX573</f>
        <v>0</v>
      </c>
      <c r="AW573" s="55">
        <f>G573*AO573</f>
        <v>0</v>
      </c>
      <c r="AX573" s="55">
        <f>G573*AP573</f>
        <v>0</v>
      </c>
      <c r="AY573" s="58" t="s">
        <v>744</v>
      </c>
      <c r="AZ573" s="58" t="s">
        <v>745</v>
      </c>
      <c r="BA573" s="33" t="s">
        <v>125</v>
      </c>
      <c r="BB573" s="59">
        <v>100042</v>
      </c>
      <c r="BC573" s="55">
        <f>AW573+AX573</f>
        <v>0</v>
      </c>
      <c r="BD573" s="55">
        <f>H573/(100-BE573)*100</f>
        <v>0</v>
      </c>
      <c r="BE573" s="55">
        <v>0</v>
      </c>
      <c r="BF573" s="55">
        <f>L573</f>
        <v>6.7679999999999997E-3</v>
      </c>
      <c r="BH573" s="55">
        <f>G573*AO573</f>
        <v>0</v>
      </c>
      <c r="BI573" s="55">
        <f>G573*AP573</f>
        <v>0</v>
      </c>
      <c r="BJ573" s="55">
        <f>G573*H573</f>
        <v>0</v>
      </c>
      <c r="BK573" s="55"/>
      <c r="BL573" s="55">
        <v>762</v>
      </c>
      <c r="BW573" s="55">
        <v>21</v>
      </c>
      <c r="BX573" s="3" t="s">
        <v>742</v>
      </c>
    </row>
    <row r="574" spans="1:76" x14ac:dyDescent="0.25">
      <c r="A574" s="60"/>
      <c r="D574" s="61" t="s">
        <v>746</v>
      </c>
      <c r="E574" s="61" t="s">
        <v>4</v>
      </c>
      <c r="G574" s="62">
        <v>42.3</v>
      </c>
      <c r="M574" s="63"/>
    </row>
    <row r="575" spans="1:76" x14ac:dyDescent="0.25">
      <c r="A575" s="66" t="s">
        <v>482</v>
      </c>
      <c r="B575" s="67" t="s">
        <v>4</v>
      </c>
      <c r="C575" s="67" t="s">
        <v>747</v>
      </c>
      <c r="D575" s="163" t="s">
        <v>748</v>
      </c>
      <c r="E575" s="164"/>
      <c r="F575" s="67" t="s">
        <v>743</v>
      </c>
      <c r="G575" s="69">
        <v>42.3</v>
      </c>
      <c r="H575" s="70">
        <v>0</v>
      </c>
      <c r="I575" s="69">
        <f>G575*H575</f>
        <v>0</v>
      </c>
      <c r="J575" s="69">
        <v>0</v>
      </c>
      <c r="K575" s="69">
        <v>8.3000000000000001E-3</v>
      </c>
      <c r="L575" s="69">
        <f>G575*K575</f>
        <v>0.35108999999999996</v>
      </c>
      <c r="M575" s="71" t="s">
        <v>122</v>
      </c>
      <c r="Z575" s="55">
        <f>IF(AQ575="5",BJ575,0)</f>
        <v>0</v>
      </c>
      <c r="AB575" s="55">
        <f>IF(AQ575="1",BH575,0)</f>
        <v>0</v>
      </c>
      <c r="AC575" s="55">
        <f>IF(AQ575="1",BI575,0)</f>
        <v>0</v>
      </c>
      <c r="AD575" s="55">
        <f>IF(AQ575="7",BH575,0)</f>
        <v>0</v>
      </c>
      <c r="AE575" s="55">
        <f>IF(AQ575="7",BI575,0)</f>
        <v>0</v>
      </c>
      <c r="AF575" s="55">
        <f>IF(AQ575="2",BH575,0)</f>
        <v>0</v>
      </c>
      <c r="AG575" s="55">
        <f>IF(AQ575="2",BI575,0)</f>
        <v>0</v>
      </c>
      <c r="AH575" s="55">
        <f>IF(AQ575="0",BJ575,0)</f>
        <v>0</v>
      </c>
      <c r="AI575" s="33" t="s">
        <v>4</v>
      </c>
      <c r="AJ575" s="69">
        <f>IF(AN575=0,I575,0)</f>
        <v>0</v>
      </c>
      <c r="AK575" s="69">
        <f>IF(AN575=12,I575,0)</f>
        <v>0</v>
      </c>
      <c r="AL575" s="69">
        <f>IF(AN575=21,I575,0)</f>
        <v>0</v>
      </c>
      <c r="AN575" s="55">
        <v>21</v>
      </c>
      <c r="AO575" s="55">
        <f>H575*1</f>
        <v>0</v>
      </c>
      <c r="AP575" s="55">
        <f>H575*(1-1)</f>
        <v>0</v>
      </c>
      <c r="AQ575" s="72" t="s">
        <v>162</v>
      </c>
      <c r="AV575" s="55">
        <f>AW575+AX575</f>
        <v>0</v>
      </c>
      <c r="AW575" s="55">
        <f>G575*AO575</f>
        <v>0</v>
      </c>
      <c r="AX575" s="55">
        <f>G575*AP575</f>
        <v>0</v>
      </c>
      <c r="AY575" s="58" t="s">
        <v>744</v>
      </c>
      <c r="AZ575" s="58" t="s">
        <v>745</v>
      </c>
      <c r="BA575" s="33" t="s">
        <v>125</v>
      </c>
      <c r="BC575" s="55">
        <f>AW575+AX575</f>
        <v>0</v>
      </c>
      <c r="BD575" s="55">
        <f>H575/(100-BE575)*100</f>
        <v>0</v>
      </c>
      <c r="BE575" s="55">
        <v>0</v>
      </c>
      <c r="BF575" s="55">
        <f>L575</f>
        <v>0.35108999999999996</v>
      </c>
      <c r="BH575" s="69">
        <f>G575*AO575</f>
        <v>0</v>
      </c>
      <c r="BI575" s="69">
        <f>G575*AP575</f>
        <v>0</v>
      </c>
      <c r="BJ575" s="69">
        <f>G575*H575</f>
        <v>0</v>
      </c>
      <c r="BK575" s="69"/>
      <c r="BL575" s="55">
        <v>762</v>
      </c>
      <c r="BW575" s="55">
        <v>21</v>
      </c>
      <c r="BX575" s="68" t="s">
        <v>748</v>
      </c>
    </row>
    <row r="576" spans="1:76" x14ac:dyDescent="0.25">
      <c r="A576" s="60"/>
      <c r="D576" s="61" t="s">
        <v>746</v>
      </c>
      <c r="E576" s="61" t="s">
        <v>4</v>
      </c>
      <c r="G576" s="62">
        <v>42.3</v>
      </c>
      <c r="M576" s="63"/>
    </row>
    <row r="577" spans="1:76" x14ac:dyDescent="0.25">
      <c r="A577" s="60"/>
      <c r="D577" s="61" t="s">
        <v>749</v>
      </c>
      <c r="E577" s="61" t="s">
        <v>4</v>
      </c>
      <c r="G577" s="62">
        <v>0</v>
      </c>
      <c r="M577" s="63"/>
    </row>
    <row r="578" spans="1:76" x14ac:dyDescent="0.25">
      <c r="A578" s="1" t="s">
        <v>493</v>
      </c>
      <c r="B578" s="2" t="s">
        <v>4</v>
      </c>
      <c r="C578" s="2" t="s">
        <v>750</v>
      </c>
      <c r="D578" s="82" t="s">
        <v>751</v>
      </c>
      <c r="E578" s="83"/>
      <c r="F578" s="2" t="s">
        <v>132</v>
      </c>
      <c r="G578" s="55">
        <v>0.35786000000000001</v>
      </c>
      <c r="H578" s="56">
        <v>0</v>
      </c>
      <c r="I578" s="55">
        <f>G578*H578</f>
        <v>0</v>
      </c>
      <c r="J578" s="55">
        <v>0</v>
      </c>
      <c r="K578" s="55">
        <v>0</v>
      </c>
      <c r="L578" s="55">
        <f>G578*K578</f>
        <v>0</v>
      </c>
      <c r="M578" s="57" t="s">
        <v>122</v>
      </c>
      <c r="Z578" s="55">
        <f>IF(AQ578="5",BJ578,0)</f>
        <v>0</v>
      </c>
      <c r="AB578" s="55">
        <f>IF(AQ578="1",BH578,0)</f>
        <v>0</v>
      </c>
      <c r="AC578" s="55">
        <f>IF(AQ578="1",BI578,0)</f>
        <v>0</v>
      </c>
      <c r="AD578" s="55">
        <f>IF(AQ578="7",BH578,0)</f>
        <v>0</v>
      </c>
      <c r="AE578" s="55">
        <f>IF(AQ578="7",BI578,0)</f>
        <v>0</v>
      </c>
      <c r="AF578" s="55">
        <f>IF(AQ578="2",BH578,0)</f>
        <v>0</v>
      </c>
      <c r="AG578" s="55">
        <f>IF(AQ578="2",BI578,0)</f>
        <v>0</v>
      </c>
      <c r="AH578" s="55">
        <f>IF(AQ578="0",BJ578,0)</f>
        <v>0</v>
      </c>
      <c r="AI578" s="33" t="s">
        <v>4</v>
      </c>
      <c r="AJ578" s="55">
        <f>IF(AN578=0,I578,0)</f>
        <v>0</v>
      </c>
      <c r="AK578" s="55">
        <f>IF(AN578=12,I578,0)</f>
        <v>0</v>
      </c>
      <c r="AL578" s="55">
        <f>IF(AN578=21,I578,0)</f>
        <v>0</v>
      </c>
      <c r="AN578" s="55">
        <v>21</v>
      </c>
      <c r="AO578" s="55">
        <f>H578*0</f>
        <v>0</v>
      </c>
      <c r="AP578" s="55">
        <f>H578*(1-0)</f>
        <v>0</v>
      </c>
      <c r="AQ578" s="58" t="s">
        <v>139</v>
      </c>
      <c r="AV578" s="55">
        <f>AW578+AX578</f>
        <v>0</v>
      </c>
      <c r="AW578" s="55">
        <f>G578*AO578</f>
        <v>0</v>
      </c>
      <c r="AX578" s="55">
        <f>G578*AP578</f>
        <v>0</v>
      </c>
      <c r="AY578" s="58" t="s">
        <v>744</v>
      </c>
      <c r="AZ578" s="58" t="s">
        <v>745</v>
      </c>
      <c r="BA578" s="33" t="s">
        <v>125</v>
      </c>
      <c r="BB578" s="59">
        <v>100047</v>
      </c>
      <c r="BC578" s="55">
        <f>AW578+AX578</f>
        <v>0</v>
      </c>
      <c r="BD578" s="55">
        <f>H578/(100-BE578)*100</f>
        <v>0</v>
      </c>
      <c r="BE578" s="55">
        <v>0</v>
      </c>
      <c r="BF578" s="55">
        <f>L578</f>
        <v>0</v>
      </c>
      <c r="BH578" s="55">
        <f>G578*AO578</f>
        <v>0</v>
      </c>
      <c r="BI578" s="55">
        <f>G578*AP578</f>
        <v>0</v>
      </c>
      <c r="BJ578" s="55">
        <f>G578*H578</f>
        <v>0</v>
      </c>
      <c r="BK578" s="55"/>
      <c r="BL578" s="55">
        <v>762</v>
      </c>
      <c r="BW578" s="55">
        <v>21</v>
      </c>
      <c r="BX578" s="3" t="s">
        <v>751</v>
      </c>
    </row>
    <row r="579" spans="1:76" x14ac:dyDescent="0.25">
      <c r="A579" s="50" t="s">
        <v>4</v>
      </c>
      <c r="B579" s="51" t="s">
        <v>4</v>
      </c>
      <c r="C579" s="51" t="s">
        <v>752</v>
      </c>
      <c r="D579" s="153" t="s">
        <v>753</v>
      </c>
      <c r="E579" s="154"/>
      <c r="F579" s="52" t="s">
        <v>78</v>
      </c>
      <c r="G579" s="52" t="s">
        <v>78</v>
      </c>
      <c r="H579" s="53" t="s">
        <v>78</v>
      </c>
      <c r="I579" s="26">
        <f>SUM(I580:I583)</f>
        <v>0</v>
      </c>
      <c r="J579" s="33" t="s">
        <v>4</v>
      </c>
      <c r="K579" s="33" t="s">
        <v>4</v>
      </c>
      <c r="L579" s="26">
        <f>SUM(L580:L583)</f>
        <v>1.4414400000000001E-2</v>
      </c>
      <c r="M579" s="54" t="s">
        <v>4</v>
      </c>
      <c r="AI579" s="33" t="s">
        <v>4</v>
      </c>
      <c r="AS579" s="26">
        <f>SUM(AJ580:AJ583)</f>
        <v>0</v>
      </c>
      <c r="AT579" s="26">
        <f>SUM(AK580:AK583)</f>
        <v>0</v>
      </c>
      <c r="AU579" s="26">
        <f>SUM(AL580:AL583)</f>
        <v>0</v>
      </c>
    </row>
    <row r="580" spans="1:76" x14ac:dyDescent="0.25">
      <c r="A580" s="1" t="s">
        <v>591</v>
      </c>
      <c r="B580" s="2" t="s">
        <v>4</v>
      </c>
      <c r="C580" s="2" t="s">
        <v>754</v>
      </c>
      <c r="D580" s="82" t="s">
        <v>755</v>
      </c>
      <c r="E580" s="83"/>
      <c r="F580" s="2" t="s">
        <v>219</v>
      </c>
      <c r="G580" s="55">
        <v>7.28</v>
      </c>
      <c r="H580" s="56">
        <v>0</v>
      </c>
      <c r="I580" s="55">
        <f>G580*H580</f>
        <v>0</v>
      </c>
      <c r="J580" s="55">
        <v>0</v>
      </c>
      <c r="K580" s="55">
        <v>1.98E-3</v>
      </c>
      <c r="L580" s="55">
        <f>G580*K580</f>
        <v>1.4414400000000001E-2</v>
      </c>
      <c r="M580" s="57" t="s">
        <v>122</v>
      </c>
      <c r="Z580" s="55">
        <f>IF(AQ580="5",BJ580,0)</f>
        <v>0</v>
      </c>
      <c r="AB580" s="55">
        <f>IF(AQ580="1",BH580,0)</f>
        <v>0</v>
      </c>
      <c r="AC580" s="55">
        <f>IF(AQ580="1",BI580,0)</f>
        <v>0</v>
      </c>
      <c r="AD580" s="55">
        <f>IF(AQ580="7",BH580,0)</f>
        <v>0</v>
      </c>
      <c r="AE580" s="55">
        <f>IF(AQ580="7",BI580,0)</f>
        <v>0</v>
      </c>
      <c r="AF580" s="55">
        <f>IF(AQ580="2",BH580,0)</f>
        <v>0</v>
      </c>
      <c r="AG580" s="55">
        <f>IF(AQ580="2",BI580,0)</f>
        <v>0</v>
      </c>
      <c r="AH580" s="55">
        <f>IF(AQ580="0",BJ580,0)</f>
        <v>0</v>
      </c>
      <c r="AI580" s="33" t="s">
        <v>4</v>
      </c>
      <c r="AJ580" s="55">
        <f>IF(AN580=0,I580,0)</f>
        <v>0</v>
      </c>
      <c r="AK580" s="55">
        <f>IF(AN580=12,I580,0)</f>
        <v>0</v>
      </c>
      <c r="AL580" s="55">
        <f>IF(AN580=21,I580,0)</f>
        <v>0</v>
      </c>
      <c r="AN580" s="55">
        <v>21</v>
      </c>
      <c r="AO580" s="55">
        <f>H580*0.399981216</f>
        <v>0</v>
      </c>
      <c r="AP580" s="55">
        <f>H580*(1-0.399981216)</f>
        <v>0</v>
      </c>
      <c r="AQ580" s="58" t="s">
        <v>162</v>
      </c>
      <c r="AV580" s="55">
        <f>AW580+AX580</f>
        <v>0</v>
      </c>
      <c r="AW580" s="55">
        <f>G580*AO580</f>
        <v>0</v>
      </c>
      <c r="AX580" s="55">
        <f>G580*AP580</f>
        <v>0</v>
      </c>
      <c r="AY580" s="58" t="s">
        <v>756</v>
      </c>
      <c r="AZ580" s="58" t="s">
        <v>745</v>
      </c>
      <c r="BA580" s="33" t="s">
        <v>125</v>
      </c>
      <c r="BB580" s="59">
        <v>100006</v>
      </c>
      <c r="BC580" s="55">
        <f>AW580+AX580</f>
        <v>0</v>
      </c>
      <c r="BD580" s="55">
        <f>H580/(100-BE580)*100</f>
        <v>0</v>
      </c>
      <c r="BE580" s="55">
        <v>0</v>
      </c>
      <c r="BF580" s="55">
        <f>L580</f>
        <v>1.4414400000000001E-2</v>
      </c>
      <c r="BH580" s="55">
        <f>G580*AO580</f>
        <v>0</v>
      </c>
      <c r="BI580" s="55">
        <f>G580*AP580</f>
        <v>0</v>
      </c>
      <c r="BJ580" s="55">
        <f>G580*H580</f>
        <v>0</v>
      </c>
      <c r="BK580" s="55"/>
      <c r="BL580" s="55">
        <v>764</v>
      </c>
      <c r="BW580" s="55">
        <v>21</v>
      </c>
      <c r="BX580" s="3" t="s">
        <v>755</v>
      </c>
    </row>
    <row r="581" spans="1:76" ht="13.5" customHeight="1" x14ac:dyDescent="0.25">
      <c r="A581" s="60"/>
      <c r="D581" s="155" t="s">
        <v>757</v>
      </c>
      <c r="E581" s="156"/>
      <c r="F581" s="156"/>
      <c r="G581" s="156"/>
      <c r="H581" s="157"/>
      <c r="I581" s="156"/>
      <c r="J581" s="156"/>
      <c r="K581" s="156"/>
      <c r="L581" s="156"/>
      <c r="M581" s="158"/>
    </row>
    <row r="582" spans="1:76" x14ac:dyDescent="0.25">
      <c r="A582" s="60"/>
      <c r="D582" s="61" t="s">
        <v>758</v>
      </c>
      <c r="E582" s="61" t="s">
        <v>372</v>
      </c>
      <c r="G582" s="62">
        <v>7.28</v>
      </c>
      <c r="M582" s="63"/>
    </row>
    <row r="583" spans="1:76" x14ac:dyDescent="0.25">
      <c r="A583" s="1" t="s">
        <v>759</v>
      </c>
      <c r="B583" s="2" t="s">
        <v>4</v>
      </c>
      <c r="C583" s="2" t="s">
        <v>760</v>
      </c>
      <c r="D583" s="82" t="s">
        <v>761</v>
      </c>
      <c r="E583" s="83"/>
      <c r="F583" s="2" t="s">
        <v>132</v>
      </c>
      <c r="G583" s="55">
        <v>1.4409999999999999E-2</v>
      </c>
      <c r="H583" s="56">
        <v>0</v>
      </c>
      <c r="I583" s="55">
        <f>G583*H583</f>
        <v>0</v>
      </c>
      <c r="J583" s="55">
        <v>0</v>
      </c>
      <c r="K583" s="55">
        <v>0</v>
      </c>
      <c r="L583" s="55">
        <f>G583*K583</f>
        <v>0</v>
      </c>
      <c r="M583" s="57" t="s">
        <v>122</v>
      </c>
      <c r="Z583" s="55">
        <f>IF(AQ583="5",BJ583,0)</f>
        <v>0</v>
      </c>
      <c r="AB583" s="55">
        <f>IF(AQ583="1",BH583,0)</f>
        <v>0</v>
      </c>
      <c r="AC583" s="55">
        <f>IF(AQ583="1",BI583,0)</f>
        <v>0</v>
      </c>
      <c r="AD583" s="55">
        <f>IF(AQ583="7",BH583,0)</f>
        <v>0</v>
      </c>
      <c r="AE583" s="55">
        <f>IF(AQ583="7",BI583,0)</f>
        <v>0</v>
      </c>
      <c r="AF583" s="55">
        <f>IF(AQ583="2",BH583,0)</f>
        <v>0</v>
      </c>
      <c r="AG583" s="55">
        <f>IF(AQ583="2",BI583,0)</f>
        <v>0</v>
      </c>
      <c r="AH583" s="55">
        <f>IF(AQ583="0",BJ583,0)</f>
        <v>0</v>
      </c>
      <c r="AI583" s="33" t="s">
        <v>4</v>
      </c>
      <c r="AJ583" s="55">
        <f>IF(AN583=0,I583,0)</f>
        <v>0</v>
      </c>
      <c r="AK583" s="55">
        <f>IF(AN583=12,I583,0)</f>
        <v>0</v>
      </c>
      <c r="AL583" s="55">
        <f>IF(AN583=21,I583,0)</f>
        <v>0</v>
      </c>
      <c r="AN583" s="55">
        <v>21</v>
      </c>
      <c r="AO583" s="55">
        <f>H583*0</f>
        <v>0</v>
      </c>
      <c r="AP583" s="55">
        <f>H583*(1-0)</f>
        <v>0</v>
      </c>
      <c r="AQ583" s="58" t="s">
        <v>139</v>
      </c>
      <c r="AV583" s="55">
        <f>AW583+AX583</f>
        <v>0</v>
      </c>
      <c r="AW583" s="55">
        <f>G583*AO583</f>
        <v>0</v>
      </c>
      <c r="AX583" s="55">
        <f>G583*AP583</f>
        <v>0</v>
      </c>
      <c r="AY583" s="58" t="s">
        <v>756</v>
      </c>
      <c r="AZ583" s="58" t="s">
        <v>745</v>
      </c>
      <c r="BA583" s="33" t="s">
        <v>125</v>
      </c>
      <c r="BB583" s="59">
        <v>100048</v>
      </c>
      <c r="BC583" s="55">
        <f>AW583+AX583</f>
        <v>0</v>
      </c>
      <c r="BD583" s="55">
        <f>H583/(100-BE583)*100</f>
        <v>0</v>
      </c>
      <c r="BE583" s="55">
        <v>0</v>
      </c>
      <c r="BF583" s="55">
        <f>L583</f>
        <v>0</v>
      </c>
      <c r="BH583" s="55">
        <f>G583*AO583</f>
        <v>0</v>
      </c>
      <c r="BI583" s="55">
        <f>G583*AP583</f>
        <v>0</v>
      </c>
      <c r="BJ583" s="55">
        <f>G583*H583</f>
        <v>0</v>
      </c>
      <c r="BK583" s="55"/>
      <c r="BL583" s="55">
        <v>764</v>
      </c>
      <c r="BW583" s="55">
        <v>21</v>
      </c>
      <c r="BX583" s="3" t="s">
        <v>761</v>
      </c>
    </row>
    <row r="584" spans="1:76" x14ac:dyDescent="0.25">
      <c r="A584" s="50" t="s">
        <v>4</v>
      </c>
      <c r="B584" s="51" t="s">
        <v>4</v>
      </c>
      <c r="C584" s="51" t="s">
        <v>762</v>
      </c>
      <c r="D584" s="153" t="s">
        <v>763</v>
      </c>
      <c r="E584" s="154"/>
      <c r="F584" s="52" t="s">
        <v>78</v>
      </c>
      <c r="G584" s="52" t="s">
        <v>78</v>
      </c>
      <c r="H584" s="53" t="s">
        <v>78</v>
      </c>
      <c r="I584" s="26">
        <f>SUM(I585:I637)</f>
        <v>0</v>
      </c>
      <c r="J584" s="33" t="s">
        <v>4</v>
      </c>
      <c r="K584" s="33" t="s">
        <v>4</v>
      </c>
      <c r="L584" s="26">
        <f>SUM(L585:L637)</f>
        <v>1.3498500000000002</v>
      </c>
      <c r="M584" s="54" t="s">
        <v>4</v>
      </c>
      <c r="AI584" s="33" t="s">
        <v>4</v>
      </c>
      <c r="AS584" s="26">
        <f>SUM(AJ585:AJ637)</f>
        <v>0</v>
      </c>
      <c r="AT584" s="26">
        <f>SUM(AK585:AK637)</f>
        <v>0</v>
      </c>
      <c r="AU584" s="26">
        <f>SUM(AL585:AL637)</f>
        <v>0</v>
      </c>
    </row>
    <row r="585" spans="1:76" x14ac:dyDescent="0.25">
      <c r="A585" s="1" t="s">
        <v>764</v>
      </c>
      <c r="B585" s="2" t="s">
        <v>4</v>
      </c>
      <c r="C585" s="2" t="s">
        <v>765</v>
      </c>
      <c r="D585" s="82" t="s">
        <v>766</v>
      </c>
      <c r="E585" s="83"/>
      <c r="F585" s="2" t="s">
        <v>145</v>
      </c>
      <c r="G585" s="55">
        <v>18</v>
      </c>
      <c r="H585" s="56">
        <v>0</v>
      </c>
      <c r="I585" s="55">
        <f>G585*H585</f>
        <v>0</v>
      </c>
      <c r="J585" s="55">
        <v>0</v>
      </c>
      <c r="K585" s="55">
        <v>1.6199999999999999E-3</v>
      </c>
      <c r="L585" s="55">
        <f>G585*K585</f>
        <v>2.9159999999999998E-2</v>
      </c>
      <c r="M585" s="57" t="s">
        <v>122</v>
      </c>
      <c r="Z585" s="55">
        <f>IF(AQ585="5",BJ585,0)</f>
        <v>0</v>
      </c>
      <c r="AB585" s="55">
        <f>IF(AQ585="1",BH585,0)</f>
        <v>0</v>
      </c>
      <c r="AC585" s="55">
        <f>IF(AQ585="1",BI585,0)</f>
        <v>0</v>
      </c>
      <c r="AD585" s="55">
        <f>IF(AQ585="7",BH585,0)</f>
        <v>0</v>
      </c>
      <c r="AE585" s="55">
        <f>IF(AQ585="7",BI585,0)</f>
        <v>0</v>
      </c>
      <c r="AF585" s="55">
        <f>IF(AQ585="2",BH585,0)</f>
        <v>0</v>
      </c>
      <c r="AG585" s="55">
        <f>IF(AQ585="2",BI585,0)</f>
        <v>0</v>
      </c>
      <c r="AH585" s="55">
        <f>IF(AQ585="0",BJ585,0)</f>
        <v>0</v>
      </c>
      <c r="AI585" s="33" t="s">
        <v>4</v>
      </c>
      <c r="AJ585" s="55">
        <f>IF(AN585=0,I585,0)</f>
        <v>0</v>
      </c>
      <c r="AK585" s="55">
        <f>IF(AN585=12,I585,0)</f>
        <v>0</v>
      </c>
      <c r="AL585" s="55">
        <f>IF(AN585=21,I585,0)</f>
        <v>0</v>
      </c>
      <c r="AN585" s="55">
        <v>21</v>
      </c>
      <c r="AO585" s="55">
        <f>H585*0.235366605</f>
        <v>0</v>
      </c>
      <c r="AP585" s="55">
        <f>H585*(1-0.235366605)</f>
        <v>0</v>
      </c>
      <c r="AQ585" s="58" t="s">
        <v>162</v>
      </c>
      <c r="AV585" s="55">
        <f>AW585+AX585</f>
        <v>0</v>
      </c>
      <c r="AW585" s="55">
        <f>G585*AO585</f>
        <v>0</v>
      </c>
      <c r="AX585" s="55">
        <f>G585*AP585</f>
        <v>0</v>
      </c>
      <c r="AY585" s="58" t="s">
        <v>767</v>
      </c>
      <c r="AZ585" s="58" t="s">
        <v>745</v>
      </c>
      <c r="BA585" s="33" t="s">
        <v>125</v>
      </c>
      <c r="BB585" s="59">
        <v>100032</v>
      </c>
      <c r="BC585" s="55">
        <f>AW585+AX585</f>
        <v>0</v>
      </c>
      <c r="BD585" s="55">
        <f>H585/(100-BE585)*100</f>
        <v>0</v>
      </c>
      <c r="BE585" s="55">
        <v>0</v>
      </c>
      <c r="BF585" s="55">
        <f>L585</f>
        <v>2.9159999999999998E-2</v>
      </c>
      <c r="BH585" s="55">
        <f>G585*AO585</f>
        <v>0</v>
      </c>
      <c r="BI585" s="55">
        <f>G585*AP585</f>
        <v>0</v>
      </c>
      <c r="BJ585" s="55">
        <f>G585*H585</f>
        <v>0</v>
      </c>
      <c r="BK585" s="55"/>
      <c r="BL585" s="55">
        <v>766</v>
      </c>
      <c r="BW585" s="55">
        <v>21</v>
      </c>
      <c r="BX585" s="3" t="s">
        <v>766</v>
      </c>
    </row>
    <row r="586" spans="1:76" x14ac:dyDescent="0.25">
      <c r="A586" s="60"/>
      <c r="D586" s="61" t="s">
        <v>265</v>
      </c>
      <c r="E586" s="61" t="s">
        <v>4</v>
      </c>
      <c r="G586" s="62">
        <v>18</v>
      </c>
      <c r="M586" s="63"/>
    </row>
    <row r="587" spans="1:76" x14ac:dyDescent="0.25">
      <c r="A587" s="60"/>
      <c r="C587" s="64" t="s">
        <v>127</v>
      </c>
      <c r="D587" s="159" t="s">
        <v>768</v>
      </c>
      <c r="E587" s="160"/>
      <c r="F587" s="160"/>
      <c r="G587" s="160"/>
      <c r="H587" s="161"/>
      <c r="I587" s="160"/>
      <c r="J587" s="160"/>
      <c r="K587" s="160"/>
      <c r="L587" s="160"/>
      <c r="M587" s="162"/>
      <c r="BX587" s="65" t="s">
        <v>768</v>
      </c>
    </row>
    <row r="588" spans="1:76" x14ac:dyDescent="0.25">
      <c r="A588" s="66" t="s">
        <v>769</v>
      </c>
      <c r="B588" s="67" t="s">
        <v>4</v>
      </c>
      <c r="C588" s="67" t="s">
        <v>770</v>
      </c>
      <c r="D588" s="163" t="s">
        <v>771</v>
      </c>
      <c r="E588" s="164"/>
      <c r="F588" s="67" t="s">
        <v>145</v>
      </c>
      <c r="G588" s="69">
        <v>2</v>
      </c>
      <c r="H588" s="70">
        <v>0</v>
      </c>
      <c r="I588" s="69">
        <f>G588*H588</f>
        <v>0</v>
      </c>
      <c r="J588" s="69">
        <v>0</v>
      </c>
      <c r="K588" s="69">
        <v>1.9E-2</v>
      </c>
      <c r="L588" s="69">
        <f>G588*K588</f>
        <v>3.7999999999999999E-2</v>
      </c>
      <c r="M588" s="71" t="s">
        <v>122</v>
      </c>
      <c r="Z588" s="55">
        <f>IF(AQ588="5",BJ588,0)</f>
        <v>0</v>
      </c>
      <c r="AB588" s="55">
        <f>IF(AQ588="1",BH588,0)</f>
        <v>0</v>
      </c>
      <c r="AC588" s="55">
        <f>IF(AQ588="1",BI588,0)</f>
        <v>0</v>
      </c>
      <c r="AD588" s="55">
        <f>IF(AQ588="7",BH588,0)</f>
        <v>0</v>
      </c>
      <c r="AE588" s="55">
        <f>IF(AQ588="7",BI588,0)</f>
        <v>0</v>
      </c>
      <c r="AF588" s="55">
        <f>IF(AQ588="2",BH588,0)</f>
        <v>0</v>
      </c>
      <c r="AG588" s="55">
        <f>IF(AQ588="2",BI588,0)</f>
        <v>0</v>
      </c>
      <c r="AH588" s="55">
        <f>IF(AQ588="0",BJ588,0)</f>
        <v>0</v>
      </c>
      <c r="AI588" s="33" t="s">
        <v>4</v>
      </c>
      <c r="AJ588" s="69">
        <f>IF(AN588=0,I588,0)</f>
        <v>0</v>
      </c>
      <c r="AK588" s="69">
        <f>IF(AN588=12,I588,0)</f>
        <v>0</v>
      </c>
      <c r="AL588" s="69">
        <f>IF(AN588=21,I588,0)</f>
        <v>0</v>
      </c>
      <c r="AN588" s="55">
        <v>21</v>
      </c>
      <c r="AO588" s="55">
        <f>H588*1</f>
        <v>0</v>
      </c>
      <c r="AP588" s="55">
        <f>H588*(1-1)</f>
        <v>0</v>
      </c>
      <c r="AQ588" s="72" t="s">
        <v>162</v>
      </c>
      <c r="AV588" s="55">
        <f>AW588+AX588</f>
        <v>0</v>
      </c>
      <c r="AW588" s="55">
        <f>G588*AO588</f>
        <v>0</v>
      </c>
      <c r="AX588" s="55">
        <f>G588*AP588</f>
        <v>0</v>
      </c>
      <c r="AY588" s="58" t="s">
        <v>767</v>
      </c>
      <c r="AZ588" s="58" t="s">
        <v>745</v>
      </c>
      <c r="BA588" s="33" t="s">
        <v>125</v>
      </c>
      <c r="BC588" s="55">
        <f>AW588+AX588</f>
        <v>0</v>
      </c>
      <c r="BD588" s="55">
        <f>H588/(100-BE588)*100</f>
        <v>0</v>
      </c>
      <c r="BE588" s="55">
        <v>0</v>
      </c>
      <c r="BF588" s="55">
        <f>L588</f>
        <v>3.7999999999999999E-2</v>
      </c>
      <c r="BH588" s="69">
        <f>G588*AO588</f>
        <v>0</v>
      </c>
      <c r="BI588" s="69">
        <f>G588*AP588</f>
        <v>0</v>
      </c>
      <c r="BJ588" s="69">
        <f>G588*H588</f>
        <v>0</v>
      </c>
      <c r="BK588" s="69"/>
      <c r="BL588" s="55">
        <v>766</v>
      </c>
      <c r="BW588" s="55">
        <v>21</v>
      </c>
      <c r="BX588" s="68" t="s">
        <v>771</v>
      </c>
    </row>
    <row r="589" spans="1:76" x14ac:dyDescent="0.25">
      <c r="A589" s="60"/>
      <c r="D589" s="61" t="s">
        <v>129</v>
      </c>
      <c r="E589" s="61" t="s">
        <v>772</v>
      </c>
      <c r="G589" s="62">
        <v>2</v>
      </c>
      <c r="M589" s="63"/>
    </row>
    <row r="590" spans="1:76" x14ac:dyDescent="0.25">
      <c r="A590" s="66" t="s">
        <v>773</v>
      </c>
      <c r="B590" s="67" t="s">
        <v>4</v>
      </c>
      <c r="C590" s="67" t="s">
        <v>774</v>
      </c>
      <c r="D590" s="163" t="s">
        <v>775</v>
      </c>
      <c r="E590" s="164"/>
      <c r="F590" s="67" t="s">
        <v>145</v>
      </c>
      <c r="G590" s="69">
        <v>1</v>
      </c>
      <c r="H590" s="70">
        <v>0</v>
      </c>
      <c r="I590" s="69">
        <f>G590*H590</f>
        <v>0</v>
      </c>
      <c r="J590" s="69">
        <v>0</v>
      </c>
      <c r="K590" s="69">
        <v>1.4999999999999999E-2</v>
      </c>
      <c r="L590" s="69">
        <f>G590*K590</f>
        <v>1.4999999999999999E-2</v>
      </c>
      <c r="M590" s="71" t="s">
        <v>122</v>
      </c>
      <c r="Z590" s="55">
        <f>IF(AQ590="5",BJ590,0)</f>
        <v>0</v>
      </c>
      <c r="AB590" s="55">
        <f>IF(AQ590="1",BH590,0)</f>
        <v>0</v>
      </c>
      <c r="AC590" s="55">
        <f>IF(AQ590="1",BI590,0)</f>
        <v>0</v>
      </c>
      <c r="AD590" s="55">
        <f>IF(AQ590="7",BH590,0)</f>
        <v>0</v>
      </c>
      <c r="AE590" s="55">
        <f>IF(AQ590="7",BI590,0)</f>
        <v>0</v>
      </c>
      <c r="AF590" s="55">
        <f>IF(AQ590="2",BH590,0)</f>
        <v>0</v>
      </c>
      <c r="AG590" s="55">
        <f>IF(AQ590="2",BI590,0)</f>
        <v>0</v>
      </c>
      <c r="AH590" s="55">
        <f>IF(AQ590="0",BJ590,0)</f>
        <v>0</v>
      </c>
      <c r="AI590" s="33" t="s">
        <v>4</v>
      </c>
      <c r="AJ590" s="69">
        <f>IF(AN590=0,I590,0)</f>
        <v>0</v>
      </c>
      <c r="AK590" s="69">
        <f>IF(AN590=12,I590,0)</f>
        <v>0</v>
      </c>
      <c r="AL590" s="69">
        <f>IF(AN590=21,I590,0)</f>
        <v>0</v>
      </c>
      <c r="AN590" s="55">
        <v>21</v>
      </c>
      <c r="AO590" s="55">
        <f>H590*1</f>
        <v>0</v>
      </c>
      <c r="AP590" s="55">
        <f>H590*(1-1)</f>
        <v>0</v>
      </c>
      <c r="AQ590" s="72" t="s">
        <v>162</v>
      </c>
      <c r="AV590" s="55">
        <f>AW590+AX590</f>
        <v>0</v>
      </c>
      <c r="AW590" s="55">
        <f>G590*AO590</f>
        <v>0</v>
      </c>
      <c r="AX590" s="55">
        <f>G590*AP590</f>
        <v>0</v>
      </c>
      <c r="AY590" s="58" t="s">
        <v>767</v>
      </c>
      <c r="AZ590" s="58" t="s">
        <v>745</v>
      </c>
      <c r="BA590" s="33" t="s">
        <v>125</v>
      </c>
      <c r="BC590" s="55">
        <f>AW590+AX590</f>
        <v>0</v>
      </c>
      <c r="BD590" s="55">
        <f>H590/(100-BE590)*100</f>
        <v>0</v>
      </c>
      <c r="BE590" s="55">
        <v>0</v>
      </c>
      <c r="BF590" s="55">
        <f>L590</f>
        <v>1.4999999999999999E-2</v>
      </c>
      <c r="BH590" s="69">
        <f>G590*AO590</f>
        <v>0</v>
      </c>
      <c r="BI590" s="69">
        <f>G590*AP590</f>
        <v>0</v>
      </c>
      <c r="BJ590" s="69">
        <f>G590*H590</f>
        <v>0</v>
      </c>
      <c r="BK590" s="69"/>
      <c r="BL590" s="55">
        <v>766</v>
      </c>
      <c r="BW590" s="55">
        <v>21</v>
      </c>
      <c r="BX590" s="68" t="s">
        <v>775</v>
      </c>
    </row>
    <row r="591" spans="1:76" x14ac:dyDescent="0.25">
      <c r="A591" s="60"/>
      <c r="D591" s="61" t="s">
        <v>118</v>
      </c>
      <c r="E591" s="61" t="s">
        <v>4</v>
      </c>
      <c r="G591" s="62">
        <v>1</v>
      </c>
      <c r="M591" s="63"/>
    </row>
    <row r="592" spans="1:76" x14ac:dyDescent="0.25">
      <c r="A592" s="66" t="s">
        <v>776</v>
      </c>
      <c r="B592" s="67" t="s">
        <v>4</v>
      </c>
      <c r="C592" s="67" t="s">
        <v>777</v>
      </c>
      <c r="D592" s="163" t="s">
        <v>778</v>
      </c>
      <c r="E592" s="164"/>
      <c r="F592" s="67" t="s">
        <v>145</v>
      </c>
      <c r="G592" s="69">
        <v>7</v>
      </c>
      <c r="H592" s="70">
        <v>0</v>
      </c>
      <c r="I592" s="69">
        <f>G592*H592</f>
        <v>0</v>
      </c>
      <c r="J592" s="69">
        <v>0</v>
      </c>
      <c r="K592" s="69">
        <v>1.4999999999999999E-2</v>
      </c>
      <c r="L592" s="69">
        <f>G592*K592</f>
        <v>0.105</v>
      </c>
      <c r="M592" s="71" t="s">
        <v>122</v>
      </c>
      <c r="Z592" s="55">
        <f>IF(AQ592="5",BJ592,0)</f>
        <v>0</v>
      </c>
      <c r="AB592" s="55">
        <f>IF(AQ592="1",BH592,0)</f>
        <v>0</v>
      </c>
      <c r="AC592" s="55">
        <f>IF(AQ592="1",BI592,0)</f>
        <v>0</v>
      </c>
      <c r="AD592" s="55">
        <f>IF(AQ592="7",BH592,0)</f>
        <v>0</v>
      </c>
      <c r="AE592" s="55">
        <f>IF(AQ592="7",BI592,0)</f>
        <v>0</v>
      </c>
      <c r="AF592" s="55">
        <f>IF(AQ592="2",BH592,0)</f>
        <v>0</v>
      </c>
      <c r="AG592" s="55">
        <f>IF(AQ592="2",BI592,0)</f>
        <v>0</v>
      </c>
      <c r="AH592" s="55">
        <f>IF(AQ592="0",BJ592,0)</f>
        <v>0</v>
      </c>
      <c r="AI592" s="33" t="s">
        <v>4</v>
      </c>
      <c r="AJ592" s="69">
        <f>IF(AN592=0,I592,0)</f>
        <v>0</v>
      </c>
      <c r="AK592" s="69">
        <f>IF(AN592=12,I592,0)</f>
        <v>0</v>
      </c>
      <c r="AL592" s="69">
        <f>IF(AN592=21,I592,0)</f>
        <v>0</v>
      </c>
      <c r="AN592" s="55">
        <v>21</v>
      </c>
      <c r="AO592" s="55">
        <f>H592*1</f>
        <v>0</v>
      </c>
      <c r="AP592" s="55">
        <f>H592*(1-1)</f>
        <v>0</v>
      </c>
      <c r="AQ592" s="72" t="s">
        <v>162</v>
      </c>
      <c r="AV592" s="55">
        <f>AW592+AX592</f>
        <v>0</v>
      </c>
      <c r="AW592" s="55">
        <f>G592*AO592</f>
        <v>0</v>
      </c>
      <c r="AX592" s="55">
        <f>G592*AP592</f>
        <v>0</v>
      </c>
      <c r="AY592" s="58" t="s">
        <v>767</v>
      </c>
      <c r="AZ592" s="58" t="s">
        <v>745</v>
      </c>
      <c r="BA592" s="33" t="s">
        <v>125</v>
      </c>
      <c r="BC592" s="55">
        <f>AW592+AX592</f>
        <v>0</v>
      </c>
      <c r="BD592" s="55">
        <f>H592/(100-BE592)*100</f>
        <v>0</v>
      </c>
      <c r="BE592" s="55">
        <v>0</v>
      </c>
      <c r="BF592" s="55">
        <f>L592</f>
        <v>0.105</v>
      </c>
      <c r="BH592" s="69">
        <f>G592*AO592</f>
        <v>0</v>
      </c>
      <c r="BI592" s="69">
        <f>G592*AP592</f>
        <v>0</v>
      </c>
      <c r="BJ592" s="69">
        <f>G592*H592</f>
        <v>0</v>
      </c>
      <c r="BK592" s="69"/>
      <c r="BL592" s="55">
        <v>766</v>
      </c>
      <c r="BW592" s="55">
        <v>21</v>
      </c>
      <c r="BX592" s="68" t="s">
        <v>778</v>
      </c>
    </row>
    <row r="593" spans="1:76" x14ac:dyDescent="0.25">
      <c r="A593" s="60"/>
      <c r="D593" s="61" t="s">
        <v>162</v>
      </c>
      <c r="E593" s="61" t="s">
        <v>779</v>
      </c>
      <c r="G593" s="62">
        <v>7</v>
      </c>
      <c r="M593" s="63"/>
    </row>
    <row r="594" spans="1:76" x14ac:dyDescent="0.25">
      <c r="A594" s="66" t="s">
        <v>780</v>
      </c>
      <c r="B594" s="67" t="s">
        <v>4</v>
      </c>
      <c r="C594" s="67" t="s">
        <v>781</v>
      </c>
      <c r="D594" s="163" t="s">
        <v>782</v>
      </c>
      <c r="E594" s="164"/>
      <c r="F594" s="67" t="s">
        <v>145</v>
      </c>
      <c r="G594" s="69">
        <v>1</v>
      </c>
      <c r="H594" s="70">
        <v>0</v>
      </c>
      <c r="I594" s="69">
        <f>G594*H594</f>
        <v>0</v>
      </c>
      <c r="J594" s="69">
        <v>0</v>
      </c>
      <c r="K594" s="69">
        <v>2.8000000000000001E-2</v>
      </c>
      <c r="L594" s="69">
        <f>G594*K594</f>
        <v>2.8000000000000001E-2</v>
      </c>
      <c r="M594" s="71" t="s">
        <v>122</v>
      </c>
      <c r="Z594" s="55">
        <f>IF(AQ594="5",BJ594,0)</f>
        <v>0</v>
      </c>
      <c r="AB594" s="55">
        <f>IF(AQ594="1",BH594,0)</f>
        <v>0</v>
      </c>
      <c r="AC594" s="55">
        <f>IF(AQ594="1",BI594,0)</f>
        <v>0</v>
      </c>
      <c r="AD594" s="55">
        <f>IF(AQ594="7",BH594,0)</f>
        <v>0</v>
      </c>
      <c r="AE594" s="55">
        <f>IF(AQ594="7",BI594,0)</f>
        <v>0</v>
      </c>
      <c r="AF594" s="55">
        <f>IF(AQ594="2",BH594,0)</f>
        <v>0</v>
      </c>
      <c r="AG594" s="55">
        <f>IF(AQ594="2",BI594,0)</f>
        <v>0</v>
      </c>
      <c r="AH594" s="55">
        <f>IF(AQ594="0",BJ594,0)</f>
        <v>0</v>
      </c>
      <c r="AI594" s="33" t="s">
        <v>4</v>
      </c>
      <c r="AJ594" s="69">
        <f>IF(AN594=0,I594,0)</f>
        <v>0</v>
      </c>
      <c r="AK594" s="69">
        <f>IF(AN594=12,I594,0)</f>
        <v>0</v>
      </c>
      <c r="AL594" s="69">
        <f>IF(AN594=21,I594,0)</f>
        <v>0</v>
      </c>
      <c r="AN594" s="55">
        <v>21</v>
      </c>
      <c r="AO594" s="55">
        <f>H594*1</f>
        <v>0</v>
      </c>
      <c r="AP594" s="55">
        <f>H594*(1-1)</f>
        <v>0</v>
      </c>
      <c r="AQ594" s="72" t="s">
        <v>162</v>
      </c>
      <c r="AV594" s="55">
        <f>AW594+AX594</f>
        <v>0</v>
      </c>
      <c r="AW594" s="55">
        <f>G594*AO594</f>
        <v>0</v>
      </c>
      <c r="AX594" s="55">
        <f>G594*AP594</f>
        <v>0</v>
      </c>
      <c r="AY594" s="58" t="s">
        <v>767</v>
      </c>
      <c r="AZ594" s="58" t="s">
        <v>745</v>
      </c>
      <c r="BA594" s="33" t="s">
        <v>125</v>
      </c>
      <c r="BC594" s="55">
        <f>AW594+AX594</f>
        <v>0</v>
      </c>
      <c r="BD594" s="55">
        <f>H594/(100-BE594)*100</f>
        <v>0</v>
      </c>
      <c r="BE594" s="55">
        <v>0</v>
      </c>
      <c r="BF594" s="55">
        <f>L594</f>
        <v>2.8000000000000001E-2</v>
      </c>
      <c r="BH594" s="69">
        <f>G594*AO594</f>
        <v>0</v>
      </c>
      <c r="BI594" s="69">
        <f>G594*AP594</f>
        <v>0</v>
      </c>
      <c r="BJ594" s="69">
        <f>G594*H594</f>
        <v>0</v>
      </c>
      <c r="BK594" s="69"/>
      <c r="BL594" s="55">
        <v>766</v>
      </c>
      <c r="BW594" s="55">
        <v>21</v>
      </c>
      <c r="BX594" s="68" t="s">
        <v>782</v>
      </c>
    </row>
    <row r="595" spans="1:76" x14ac:dyDescent="0.25">
      <c r="A595" s="60"/>
      <c r="D595" s="61" t="s">
        <v>118</v>
      </c>
      <c r="E595" s="61" t="s">
        <v>4</v>
      </c>
      <c r="G595" s="62">
        <v>1</v>
      </c>
      <c r="M595" s="63"/>
    </row>
    <row r="596" spans="1:76" ht="38.25" x14ac:dyDescent="0.25">
      <c r="A596" s="60"/>
      <c r="C596" s="64" t="s">
        <v>127</v>
      </c>
      <c r="D596" s="159" t="s">
        <v>783</v>
      </c>
      <c r="E596" s="160"/>
      <c r="F596" s="160"/>
      <c r="G596" s="160"/>
      <c r="H596" s="161"/>
      <c r="I596" s="160"/>
      <c r="J596" s="160"/>
      <c r="K596" s="160"/>
      <c r="L596" s="160"/>
      <c r="M596" s="162"/>
      <c r="BX596" s="73" t="s">
        <v>783</v>
      </c>
    </row>
    <row r="597" spans="1:76" x14ac:dyDescent="0.25">
      <c r="A597" s="66" t="s">
        <v>784</v>
      </c>
      <c r="B597" s="67" t="s">
        <v>4</v>
      </c>
      <c r="C597" s="67" t="s">
        <v>777</v>
      </c>
      <c r="D597" s="163" t="s">
        <v>785</v>
      </c>
      <c r="E597" s="164"/>
      <c r="F597" s="67" t="s">
        <v>145</v>
      </c>
      <c r="G597" s="69">
        <v>2</v>
      </c>
      <c r="H597" s="70">
        <v>0</v>
      </c>
      <c r="I597" s="69">
        <f>G597*H597</f>
        <v>0</v>
      </c>
      <c r="J597" s="69">
        <v>0</v>
      </c>
      <c r="K597" s="69">
        <v>1.4999999999999999E-2</v>
      </c>
      <c r="L597" s="69">
        <f>G597*K597</f>
        <v>0.03</v>
      </c>
      <c r="M597" s="71" t="s">
        <v>122</v>
      </c>
      <c r="Z597" s="55">
        <f>IF(AQ597="5",BJ597,0)</f>
        <v>0</v>
      </c>
      <c r="AB597" s="55">
        <f>IF(AQ597="1",BH597,0)</f>
        <v>0</v>
      </c>
      <c r="AC597" s="55">
        <f>IF(AQ597="1",BI597,0)</f>
        <v>0</v>
      </c>
      <c r="AD597" s="55">
        <f>IF(AQ597="7",BH597,0)</f>
        <v>0</v>
      </c>
      <c r="AE597" s="55">
        <f>IF(AQ597="7",BI597,0)</f>
        <v>0</v>
      </c>
      <c r="AF597" s="55">
        <f>IF(AQ597="2",BH597,0)</f>
        <v>0</v>
      </c>
      <c r="AG597" s="55">
        <f>IF(AQ597="2",BI597,0)</f>
        <v>0</v>
      </c>
      <c r="AH597" s="55">
        <f>IF(AQ597="0",BJ597,0)</f>
        <v>0</v>
      </c>
      <c r="AI597" s="33" t="s">
        <v>4</v>
      </c>
      <c r="AJ597" s="69">
        <f>IF(AN597=0,I597,0)</f>
        <v>0</v>
      </c>
      <c r="AK597" s="69">
        <f>IF(AN597=12,I597,0)</f>
        <v>0</v>
      </c>
      <c r="AL597" s="69">
        <f>IF(AN597=21,I597,0)</f>
        <v>0</v>
      </c>
      <c r="AN597" s="55">
        <v>21</v>
      </c>
      <c r="AO597" s="55">
        <f>H597*1</f>
        <v>0</v>
      </c>
      <c r="AP597" s="55">
        <f>H597*(1-1)</f>
        <v>0</v>
      </c>
      <c r="AQ597" s="72" t="s">
        <v>162</v>
      </c>
      <c r="AV597" s="55">
        <f>AW597+AX597</f>
        <v>0</v>
      </c>
      <c r="AW597" s="55">
        <f>G597*AO597</f>
        <v>0</v>
      </c>
      <c r="AX597" s="55">
        <f>G597*AP597</f>
        <v>0</v>
      </c>
      <c r="AY597" s="58" t="s">
        <v>767</v>
      </c>
      <c r="AZ597" s="58" t="s">
        <v>745</v>
      </c>
      <c r="BA597" s="33" t="s">
        <v>125</v>
      </c>
      <c r="BC597" s="55">
        <f>AW597+AX597</f>
        <v>0</v>
      </c>
      <c r="BD597" s="55">
        <f>H597/(100-BE597)*100</f>
        <v>0</v>
      </c>
      <c r="BE597" s="55">
        <v>0</v>
      </c>
      <c r="BF597" s="55">
        <f>L597</f>
        <v>0.03</v>
      </c>
      <c r="BH597" s="69">
        <f>G597*AO597</f>
        <v>0</v>
      </c>
      <c r="BI597" s="69">
        <f>G597*AP597</f>
        <v>0</v>
      </c>
      <c r="BJ597" s="69">
        <f>G597*H597</f>
        <v>0</v>
      </c>
      <c r="BK597" s="69"/>
      <c r="BL597" s="55">
        <v>766</v>
      </c>
      <c r="BW597" s="55">
        <v>21</v>
      </c>
      <c r="BX597" s="68" t="s">
        <v>785</v>
      </c>
    </row>
    <row r="598" spans="1:76" x14ac:dyDescent="0.25">
      <c r="A598" s="60"/>
      <c r="D598" s="61" t="s">
        <v>129</v>
      </c>
      <c r="E598" s="61" t="s">
        <v>4</v>
      </c>
      <c r="G598" s="62">
        <v>2</v>
      </c>
      <c r="M598" s="63"/>
    </row>
    <row r="599" spans="1:76" x14ac:dyDescent="0.25">
      <c r="A599" s="66" t="s">
        <v>786</v>
      </c>
      <c r="B599" s="67" t="s">
        <v>4</v>
      </c>
      <c r="C599" s="67" t="s">
        <v>781</v>
      </c>
      <c r="D599" s="163" t="s">
        <v>787</v>
      </c>
      <c r="E599" s="164"/>
      <c r="F599" s="67" t="s">
        <v>145</v>
      </c>
      <c r="G599" s="69">
        <v>1</v>
      </c>
      <c r="H599" s="70">
        <v>0</v>
      </c>
      <c r="I599" s="69">
        <f>G599*H599</f>
        <v>0</v>
      </c>
      <c r="J599" s="69">
        <v>0</v>
      </c>
      <c r="K599" s="69">
        <v>2.8000000000000001E-2</v>
      </c>
      <c r="L599" s="69">
        <f>G599*K599</f>
        <v>2.8000000000000001E-2</v>
      </c>
      <c r="M599" s="71" t="s">
        <v>122</v>
      </c>
      <c r="Z599" s="55">
        <f>IF(AQ599="5",BJ599,0)</f>
        <v>0</v>
      </c>
      <c r="AB599" s="55">
        <f>IF(AQ599="1",BH599,0)</f>
        <v>0</v>
      </c>
      <c r="AC599" s="55">
        <f>IF(AQ599="1",BI599,0)</f>
        <v>0</v>
      </c>
      <c r="AD599" s="55">
        <f>IF(AQ599="7",BH599,0)</f>
        <v>0</v>
      </c>
      <c r="AE599" s="55">
        <f>IF(AQ599="7",BI599,0)</f>
        <v>0</v>
      </c>
      <c r="AF599" s="55">
        <f>IF(AQ599="2",BH599,0)</f>
        <v>0</v>
      </c>
      <c r="AG599" s="55">
        <f>IF(AQ599="2",BI599,0)</f>
        <v>0</v>
      </c>
      <c r="AH599" s="55">
        <f>IF(AQ599="0",BJ599,0)</f>
        <v>0</v>
      </c>
      <c r="AI599" s="33" t="s">
        <v>4</v>
      </c>
      <c r="AJ599" s="69">
        <f>IF(AN599=0,I599,0)</f>
        <v>0</v>
      </c>
      <c r="AK599" s="69">
        <f>IF(AN599=12,I599,0)</f>
        <v>0</v>
      </c>
      <c r="AL599" s="69">
        <f>IF(AN599=21,I599,0)</f>
        <v>0</v>
      </c>
      <c r="AN599" s="55">
        <v>21</v>
      </c>
      <c r="AO599" s="55">
        <f>H599*1</f>
        <v>0</v>
      </c>
      <c r="AP599" s="55">
        <f>H599*(1-1)</f>
        <v>0</v>
      </c>
      <c r="AQ599" s="72" t="s">
        <v>162</v>
      </c>
      <c r="AV599" s="55">
        <f>AW599+AX599</f>
        <v>0</v>
      </c>
      <c r="AW599" s="55">
        <f>G599*AO599</f>
        <v>0</v>
      </c>
      <c r="AX599" s="55">
        <f>G599*AP599</f>
        <v>0</v>
      </c>
      <c r="AY599" s="58" t="s">
        <v>767</v>
      </c>
      <c r="AZ599" s="58" t="s">
        <v>745</v>
      </c>
      <c r="BA599" s="33" t="s">
        <v>125</v>
      </c>
      <c r="BC599" s="55">
        <f>AW599+AX599</f>
        <v>0</v>
      </c>
      <c r="BD599" s="55">
        <f>H599/(100-BE599)*100</f>
        <v>0</v>
      </c>
      <c r="BE599" s="55">
        <v>0</v>
      </c>
      <c r="BF599" s="55">
        <f>L599</f>
        <v>2.8000000000000001E-2</v>
      </c>
      <c r="BH599" s="69">
        <f>G599*AO599</f>
        <v>0</v>
      </c>
      <c r="BI599" s="69">
        <f>G599*AP599</f>
        <v>0</v>
      </c>
      <c r="BJ599" s="69">
        <f>G599*H599</f>
        <v>0</v>
      </c>
      <c r="BK599" s="69"/>
      <c r="BL599" s="55">
        <v>766</v>
      </c>
      <c r="BW599" s="55">
        <v>21</v>
      </c>
      <c r="BX599" s="68" t="s">
        <v>787</v>
      </c>
    </row>
    <row r="600" spans="1:76" x14ac:dyDescent="0.25">
      <c r="A600" s="60"/>
      <c r="D600" s="61" t="s">
        <v>118</v>
      </c>
      <c r="E600" s="61" t="s">
        <v>4</v>
      </c>
      <c r="G600" s="62">
        <v>1</v>
      </c>
      <c r="M600" s="63"/>
    </row>
    <row r="601" spans="1:76" ht="38.25" x14ac:dyDescent="0.25">
      <c r="A601" s="60"/>
      <c r="C601" s="64" t="s">
        <v>127</v>
      </c>
      <c r="D601" s="159" t="s">
        <v>788</v>
      </c>
      <c r="E601" s="160"/>
      <c r="F601" s="160"/>
      <c r="G601" s="160"/>
      <c r="H601" s="161"/>
      <c r="I601" s="160"/>
      <c r="J601" s="160"/>
      <c r="K601" s="160"/>
      <c r="L601" s="160"/>
      <c r="M601" s="162"/>
      <c r="BX601" s="73" t="s">
        <v>788</v>
      </c>
    </row>
    <row r="602" spans="1:76" x14ac:dyDescent="0.25">
      <c r="A602" s="66" t="s">
        <v>789</v>
      </c>
      <c r="B602" s="67" t="s">
        <v>4</v>
      </c>
      <c r="C602" s="67" t="s">
        <v>790</v>
      </c>
      <c r="D602" s="163" t="s">
        <v>791</v>
      </c>
      <c r="E602" s="164"/>
      <c r="F602" s="67" t="s">
        <v>145</v>
      </c>
      <c r="G602" s="69">
        <v>1</v>
      </c>
      <c r="H602" s="70">
        <v>0</v>
      </c>
      <c r="I602" s="69">
        <f>G602*H602</f>
        <v>0</v>
      </c>
      <c r="J602" s="69">
        <v>0</v>
      </c>
      <c r="K602" s="69">
        <v>2.9000000000000001E-2</v>
      </c>
      <c r="L602" s="69">
        <f>G602*K602</f>
        <v>2.9000000000000001E-2</v>
      </c>
      <c r="M602" s="71" t="s">
        <v>122</v>
      </c>
      <c r="Z602" s="55">
        <f>IF(AQ602="5",BJ602,0)</f>
        <v>0</v>
      </c>
      <c r="AB602" s="55">
        <f>IF(AQ602="1",BH602,0)</f>
        <v>0</v>
      </c>
      <c r="AC602" s="55">
        <f>IF(AQ602="1",BI602,0)</f>
        <v>0</v>
      </c>
      <c r="AD602" s="55">
        <f>IF(AQ602="7",BH602,0)</f>
        <v>0</v>
      </c>
      <c r="AE602" s="55">
        <f>IF(AQ602="7",BI602,0)</f>
        <v>0</v>
      </c>
      <c r="AF602" s="55">
        <f>IF(AQ602="2",BH602,0)</f>
        <v>0</v>
      </c>
      <c r="AG602" s="55">
        <f>IF(AQ602="2",BI602,0)</f>
        <v>0</v>
      </c>
      <c r="AH602" s="55">
        <f>IF(AQ602="0",BJ602,0)</f>
        <v>0</v>
      </c>
      <c r="AI602" s="33" t="s">
        <v>4</v>
      </c>
      <c r="AJ602" s="69">
        <f>IF(AN602=0,I602,0)</f>
        <v>0</v>
      </c>
      <c r="AK602" s="69">
        <f>IF(AN602=12,I602,0)</f>
        <v>0</v>
      </c>
      <c r="AL602" s="69">
        <f>IF(AN602=21,I602,0)</f>
        <v>0</v>
      </c>
      <c r="AN602" s="55">
        <v>21</v>
      </c>
      <c r="AO602" s="55">
        <f>H602*1</f>
        <v>0</v>
      </c>
      <c r="AP602" s="55">
        <f>H602*(1-1)</f>
        <v>0</v>
      </c>
      <c r="AQ602" s="72" t="s">
        <v>162</v>
      </c>
      <c r="AV602" s="55">
        <f>AW602+AX602</f>
        <v>0</v>
      </c>
      <c r="AW602" s="55">
        <f>G602*AO602</f>
        <v>0</v>
      </c>
      <c r="AX602" s="55">
        <f>G602*AP602</f>
        <v>0</v>
      </c>
      <c r="AY602" s="58" t="s">
        <v>767</v>
      </c>
      <c r="AZ602" s="58" t="s">
        <v>745</v>
      </c>
      <c r="BA602" s="33" t="s">
        <v>125</v>
      </c>
      <c r="BC602" s="55">
        <f>AW602+AX602</f>
        <v>0</v>
      </c>
      <c r="BD602" s="55">
        <f>H602/(100-BE602)*100</f>
        <v>0</v>
      </c>
      <c r="BE602" s="55">
        <v>0</v>
      </c>
      <c r="BF602" s="55">
        <f>L602</f>
        <v>2.9000000000000001E-2</v>
      </c>
      <c r="BH602" s="69">
        <f>G602*AO602</f>
        <v>0</v>
      </c>
      <c r="BI602" s="69">
        <f>G602*AP602</f>
        <v>0</v>
      </c>
      <c r="BJ602" s="69">
        <f>G602*H602</f>
        <v>0</v>
      </c>
      <c r="BK602" s="69"/>
      <c r="BL602" s="55">
        <v>766</v>
      </c>
      <c r="BW602" s="55">
        <v>21</v>
      </c>
      <c r="BX602" s="68" t="s">
        <v>791</v>
      </c>
    </row>
    <row r="603" spans="1:76" x14ac:dyDescent="0.25">
      <c r="A603" s="60"/>
      <c r="D603" s="61" t="s">
        <v>118</v>
      </c>
      <c r="E603" s="61" t="s">
        <v>4</v>
      </c>
      <c r="G603" s="62">
        <v>1</v>
      </c>
      <c r="M603" s="63"/>
    </row>
    <row r="604" spans="1:76" ht="127.5" x14ac:dyDescent="0.25">
      <c r="A604" s="60"/>
      <c r="C604" s="64" t="s">
        <v>127</v>
      </c>
      <c r="D604" s="159" t="s">
        <v>792</v>
      </c>
      <c r="E604" s="160"/>
      <c r="F604" s="160"/>
      <c r="G604" s="160"/>
      <c r="H604" s="161"/>
      <c r="I604" s="160"/>
      <c r="J604" s="160"/>
      <c r="K604" s="160"/>
      <c r="L604" s="160"/>
      <c r="M604" s="162"/>
      <c r="BX604" s="73" t="s">
        <v>792</v>
      </c>
    </row>
    <row r="605" spans="1:76" x14ac:dyDescent="0.25">
      <c r="A605" s="66" t="s">
        <v>793</v>
      </c>
      <c r="B605" s="67" t="s">
        <v>4</v>
      </c>
      <c r="C605" s="67" t="s">
        <v>794</v>
      </c>
      <c r="D605" s="163" t="s">
        <v>795</v>
      </c>
      <c r="E605" s="164"/>
      <c r="F605" s="67" t="s">
        <v>145</v>
      </c>
      <c r="G605" s="69">
        <v>1</v>
      </c>
      <c r="H605" s="70">
        <v>0</v>
      </c>
      <c r="I605" s="69">
        <f>G605*H605</f>
        <v>0</v>
      </c>
      <c r="J605" s="69">
        <v>0</v>
      </c>
      <c r="K605" s="69">
        <v>1.4999999999999999E-2</v>
      </c>
      <c r="L605" s="69">
        <f>G605*K605</f>
        <v>1.4999999999999999E-2</v>
      </c>
      <c r="M605" s="71" t="s">
        <v>122</v>
      </c>
      <c r="Z605" s="55">
        <f>IF(AQ605="5",BJ605,0)</f>
        <v>0</v>
      </c>
      <c r="AB605" s="55">
        <f>IF(AQ605="1",BH605,0)</f>
        <v>0</v>
      </c>
      <c r="AC605" s="55">
        <f>IF(AQ605="1",BI605,0)</f>
        <v>0</v>
      </c>
      <c r="AD605" s="55">
        <f>IF(AQ605="7",BH605,0)</f>
        <v>0</v>
      </c>
      <c r="AE605" s="55">
        <f>IF(AQ605="7",BI605,0)</f>
        <v>0</v>
      </c>
      <c r="AF605" s="55">
        <f>IF(AQ605="2",BH605,0)</f>
        <v>0</v>
      </c>
      <c r="AG605" s="55">
        <f>IF(AQ605="2",BI605,0)</f>
        <v>0</v>
      </c>
      <c r="AH605" s="55">
        <f>IF(AQ605="0",BJ605,0)</f>
        <v>0</v>
      </c>
      <c r="AI605" s="33" t="s">
        <v>4</v>
      </c>
      <c r="AJ605" s="69">
        <f>IF(AN605=0,I605,0)</f>
        <v>0</v>
      </c>
      <c r="AK605" s="69">
        <f>IF(AN605=12,I605,0)</f>
        <v>0</v>
      </c>
      <c r="AL605" s="69">
        <f>IF(AN605=21,I605,0)</f>
        <v>0</v>
      </c>
      <c r="AN605" s="55">
        <v>21</v>
      </c>
      <c r="AO605" s="55">
        <f>H605*1</f>
        <v>0</v>
      </c>
      <c r="AP605" s="55">
        <f>H605*(1-1)</f>
        <v>0</v>
      </c>
      <c r="AQ605" s="72" t="s">
        <v>162</v>
      </c>
      <c r="AV605" s="55">
        <f>AW605+AX605</f>
        <v>0</v>
      </c>
      <c r="AW605" s="55">
        <f>G605*AO605</f>
        <v>0</v>
      </c>
      <c r="AX605" s="55">
        <f>G605*AP605</f>
        <v>0</v>
      </c>
      <c r="AY605" s="58" t="s">
        <v>767</v>
      </c>
      <c r="AZ605" s="58" t="s">
        <v>745</v>
      </c>
      <c r="BA605" s="33" t="s">
        <v>125</v>
      </c>
      <c r="BC605" s="55">
        <f>AW605+AX605</f>
        <v>0</v>
      </c>
      <c r="BD605" s="55">
        <f>H605/(100-BE605)*100</f>
        <v>0</v>
      </c>
      <c r="BE605" s="55">
        <v>0</v>
      </c>
      <c r="BF605" s="55">
        <f>L605</f>
        <v>1.4999999999999999E-2</v>
      </c>
      <c r="BH605" s="69">
        <f>G605*AO605</f>
        <v>0</v>
      </c>
      <c r="BI605" s="69">
        <f>G605*AP605</f>
        <v>0</v>
      </c>
      <c r="BJ605" s="69">
        <f>G605*H605</f>
        <v>0</v>
      </c>
      <c r="BK605" s="69"/>
      <c r="BL605" s="55">
        <v>766</v>
      </c>
      <c r="BW605" s="55">
        <v>21</v>
      </c>
      <c r="BX605" s="68" t="s">
        <v>795</v>
      </c>
    </row>
    <row r="606" spans="1:76" x14ac:dyDescent="0.25">
      <c r="A606" s="60"/>
      <c r="D606" s="61" t="s">
        <v>118</v>
      </c>
      <c r="E606" s="61" t="s">
        <v>4</v>
      </c>
      <c r="G606" s="62">
        <v>1</v>
      </c>
      <c r="M606" s="63"/>
    </row>
    <row r="607" spans="1:76" x14ac:dyDescent="0.25">
      <c r="A607" s="66" t="s">
        <v>705</v>
      </c>
      <c r="B607" s="67" t="s">
        <v>4</v>
      </c>
      <c r="C607" s="67" t="s">
        <v>796</v>
      </c>
      <c r="D607" s="163" t="s">
        <v>797</v>
      </c>
      <c r="E607" s="164"/>
      <c r="F607" s="67" t="s">
        <v>145</v>
      </c>
      <c r="G607" s="69">
        <v>2</v>
      </c>
      <c r="H607" s="70">
        <v>0</v>
      </c>
      <c r="I607" s="69">
        <f>G607*H607</f>
        <v>0</v>
      </c>
      <c r="J607" s="69">
        <v>0</v>
      </c>
      <c r="K607" s="69">
        <v>1.4999999999999999E-2</v>
      </c>
      <c r="L607" s="69">
        <f>G607*K607</f>
        <v>0.03</v>
      </c>
      <c r="M607" s="71" t="s">
        <v>122</v>
      </c>
      <c r="Z607" s="55">
        <f>IF(AQ607="5",BJ607,0)</f>
        <v>0</v>
      </c>
      <c r="AB607" s="55">
        <f>IF(AQ607="1",BH607,0)</f>
        <v>0</v>
      </c>
      <c r="AC607" s="55">
        <f>IF(AQ607="1",BI607,0)</f>
        <v>0</v>
      </c>
      <c r="AD607" s="55">
        <f>IF(AQ607="7",BH607,0)</f>
        <v>0</v>
      </c>
      <c r="AE607" s="55">
        <f>IF(AQ607="7",BI607,0)</f>
        <v>0</v>
      </c>
      <c r="AF607" s="55">
        <f>IF(AQ607="2",BH607,0)</f>
        <v>0</v>
      </c>
      <c r="AG607" s="55">
        <f>IF(AQ607="2",BI607,0)</f>
        <v>0</v>
      </c>
      <c r="AH607" s="55">
        <f>IF(AQ607="0",BJ607,0)</f>
        <v>0</v>
      </c>
      <c r="AI607" s="33" t="s">
        <v>4</v>
      </c>
      <c r="AJ607" s="69">
        <f>IF(AN607=0,I607,0)</f>
        <v>0</v>
      </c>
      <c r="AK607" s="69">
        <f>IF(AN607=12,I607,0)</f>
        <v>0</v>
      </c>
      <c r="AL607" s="69">
        <f>IF(AN607=21,I607,0)</f>
        <v>0</v>
      </c>
      <c r="AN607" s="55">
        <v>21</v>
      </c>
      <c r="AO607" s="55">
        <f>H607*1</f>
        <v>0</v>
      </c>
      <c r="AP607" s="55">
        <f>H607*(1-1)</f>
        <v>0</v>
      </c>
      <c r="AQ607" s="72" t="s">
        <v>162</v>
      </c>
      <c r="AV607" s="55">
        <f>AW607+AX607</f>
        <v>0</v>
      </c>
      <c r="AW607" s="55">
        <f>G607*AO607</f>
        <v>0</v>
      </c>
      <c r="AX607" s="55">
        <f>G607*AP607</f>
        <v>0</v>
      </c>
      <c r="AY607" s="58" t="s">
        <v>767</v>
      </c>
      <c r="AZ607" s="58" t="s">
        <v>745</v>
      </c>
      <c r="BA607" s="33" t="s">
        <v>125</v>
      </c>
      <c r="BC607" s="55">
        <f>AW607+AX607</f>
        <v>0</v>
      </c>
      <c r="BD607" s="55">
        <f>H607/(100-BE607)*100</f>
        <v>0</v>
      </c>
      <c r="BE607" s="55">
        <v>0</v>
      </c>
      <c r="BF607" s="55">
        <f>L607</f>
        <v>0.03</v>
      </c>
      <c r="BH607" s="69">
        <f>G607*AO607</f>
        <v>0</v>
      </c>
      <c r="BI607" s="69">
        <f>G607*AP607</f>
        <v>0</v>
      </c>
      <c r="BJ607" s="69">
        <f>G607*H607</f>
        <v>0</v>
      </c>
      <c r="BK607" s="69"/>
      <c r="BL607" s="55">
        <v>766</v>
      </c>
      <c r="BW607" s="55">
        <v>21</v>
      </c>
      <c r="BX607" s="68" t="s">
        <v>797</v>
      </c>
    </row>
    <row r="608" spans="1:76" x14ac:dyDescent="0.25">
      <c r="A608" s="60"/>
      <c r="D608" s="61" t="s">
        <v>129</v>
      </c>
      <c r="E608" s="61" t="s">
        <v>4</v>
      </c>
      <c r="G608" s="62">
        <v>2</v>
      </c>
      <c r="M608" s="63"/>
    </row>
    <row r="609" spans="1:76" x14ac:dyDescent="0.25">
      <c r="A609" s="1" t="s">
        <v>798</v>
      </c>
      <c r="B609" s="2" t="s">
        <v>4</v>
      </c>
      <c r="C609" s="2" t="s">
        <v>799</v>
      </c>
      <c r="D609" s="82" t="s">
        <v>800</v>
      </c>
      <c r="E609" s="83"/>
      <c r="F609" s="2" t="s">
        <v>145</v>
      </c>
      <c r="G609" s="55">
        <v>2</v>
      </c>
      <c r="H609" s="56">
        <v>0</v>
      </c>
      <c r="I609" s="55">
        <f>G609*H609</f>
        <v>0</v>
      </c>
      <c r="J609" s="55">
        <v>0</v>
      </c>
      <c r="K609" s="55">
        <v>0.184</v>
      </c>
      <c r="L609" s="55">
        <f>G609*K609</f>
        <v>0.36799999999999999</v>
      </c>
      <c r="M609" s="57" t="s">
        <v>122</v>
      </c>
      <c r="Z609" s="55">
        <f>IF(AQ609="5",BJ609,0)</f>
        <v>0</v>
      </c>
      <c r="AB609" s="55">
        <f>IF(AQ609="1",BH609,0)</f>
        <v>0</v>
      </c>
      <c r="AC609" s="55">
        <f>IF(AQ609="1",BI609,0)</f>
        <v>0</v>
      </c>
      <c r="AD609" s="55">
        <f>IF(AQ609="7",BH609,0)</f>
        <v>0</v>
      </c>
      <c r="AE609" s="55">
        <f>IF(AQ609="7",BI609,0)</f>
        <v>0</v>
      </c>
      <c r="AF609" s="55">
        <f>IF(AQ609="2",BH609,0)</f>
        <v>0</v>
      </c>
      <c r="AG609" s="55">
        <f>IF(AQ609="2",BI609,0)</f>
        <v>0</v>
      </c>
      <c r="AH609" s="55">
        <f>IF(AQ609="0",BJ609,0)</f>
        <v>0</v>
      </c>
      <c r="AI609" s="33" t="s">
        <v>4</v>
      </c>
      <c r="AJ609" s="55">
        <f>IF(AN609=0,I609,0)</f>
        <v>0</v>
      </c>
      <c r="AK609" s="55">
        <f>IF(AN609=12,I609,0)</f>
        <v>0</v>
      </c>
      <c r="AL609" s="55">
        <f>IF(AN609=21,I609,0)</f>
        <v>0</v>
      </c>
      <c r="AN609" s="55">
        <v>21</v>
      </c>
      <c r="AO609" s="55">
        <f>H609*0.813024375</f>
        <v>0</v>
      </c>
      <c r="AP609" s="55">
        <f>H609*(1-0.813024375)</f>
        <v>0</v>
      </c>
      <c r="AQ609" s="58" t="s">
        <v>162</v>
      </c>
      <c r="AV609" s="55">
        <f>AW609+AX609</f>
        <v>0</v>
      </c>
      <c r="AW609" s="55">
        <f>G609*AO609</f>
        <v>0</v>
      </c>
      <c r="AX609" s="55">
        <f>G609*AP609</f>
        <v>0</v>
      </c>
      <c r="AY609" s="58" t="s">
        <v>767</v>
      </c>
      <c r="AZ609" s="58" t="s">
        <v>745</v>
      </c>
      <c r="BA609" s="33" t="s">
        <v>125</v>
      </c>
      <c r="BB609" s="59">
        <v>100032</v>
      </c>
      <c r="BC609" s="55">
        <f>AW609+AX609</f>
        <v>0</v>
      </c>
      <c r="BD609" s="55">
        <f>H609/(100-BE609)*100</f>
        <v>0</v>
      </c>
      <c r="BE609" s="55">
        <v>0</v>
      </c>
      <c r="BF609" s="55">
        <f>L609</f>
        <v>0.36799999999999999</v>
      </c>
      <c r="BH609" s="55">
        <f>G609*AO609</f>
        <v>0</v>
      </c>
      <c r="BI609" s="55">
        <f>G609*AP609</f>
        <v>0</v>
      </c>
      <c r="BJ609" s="55">
        <f>G609*H609</f>
        <v>0</v>
      </c>
      <c r="BK609" s="55"/>
      <c r="BL609" s="55">
        <v>766</v>
      </c>
      <c r="BW609" s="55">
        <v>21</v>
      </c>
      <c r="BX609" s="3" t="s">
        <v>800</v>
      </c>
    </row>
    <row r="610" spans="1:76" ht="13.5" customHeight="1" x14ac:dyDescent="0.25">
      <c r="A610" s="60"/>
      <c r="D610" s="155" t="s">
        <v>801</v>
      </c>
      <c r="E610" s="156"/>
      <c r="F610" s="156"/>
      <c r="G610" s="156"/>
      <c r="H610" s="157"/>
      <c r="I610" s="156"/>
      <c r="J610" s="156"/>
      <c r="K610" s="156"/>
      <c r="L610" s="156"/>
      <c r="M610" s="158"/>
    </row>
    <row r="611" spans="1:76" x14ac:dyDescent="0.25">
      <c r="A611" s="60"/>
      <c r="D611" s="61" t="s">
        <v>129</v>
      </c>
      <c r="E611" s="61" t="s">
        <v>4</v>
      </c>
      <c r="G611" s="62">
        <v>2</v>
      </c>
      <c r="M611" s="63"/>
    </row>
    <row r="612" spans="1:76" x14ac:dyDescent="0.25">
      <c r="A612" s="66" t="s">
        <v>802</v>
      </c>
      <c r="B612" s="67" t="s">
        <v>4</v>
      </c>
      <c r="C612" s="67" t="s">
        <v>803</v>
      </c>
      <c r="D612" s="163" t="s">
        <v>804</v>
      </c>
      <c r="E612" s="164"/>
      <c r="F612" s="67" t="s">
        <v>805</v>
      </c>
      <c r="G612" s="69">
        <v>2</v>
      </c>
      <c r="H612" s="70">
        <v>0</v>
      </c>
      <c r="I612" s="69">
        <f>G612*H612</f>
        <v>0</v>
      </c>
      <c r="J612" s="69">
        <v>0</v>
      </c>
      <c r="K612" s="69">
        <v>1.4999999999999999E-2</v>
      </c>
      <c r="L612" s="69">
        <f>G612*K612</f>
        <v>0.03</v>
      </c>
      <c r="M612" s="71" t="s">
        <v>4</v>
      </c>
      <c r="Z612" s="55">
        <f>IF(AQ612="5",BJ612,0)</f>
        <v>0</v>
      </c>
      <c r="AB612" s="55">
        <f>IF(AQ612="1",BH612,0)</f>
        <v>0</v>
      </c>
      <c r="AC612" s="55">
        <f>IF(AQ612="1",BI612,0)</f>
        <v>0</v>
      </c>
      <c r="AD612" s="55">
        <f>IF(AQ612="7",BH612,0)</f>
        <v>0</v>
      </c>
      <c r="AE612" s="55">
        <f>IF(AQ612="7",BI612,0)</f>
        <v>0</v>
      </c>
      <c r="AF612" s="55">
        <f>IF(AQ612="2",BH612,0)</f>
        <v>0</v>
      </c>
      <c r="AG612" s="55">
        <f>IF(AQ612="2",BI612,0)</f>
        <v>0</v>
      </c>
      <c r="AH612" s="55">
        <f>IF(AQ612="0",BJ612,0)</f>
        <v>0</v>
      </c>
      <c r="AI612" s="33" t="s">
        <v>4</v>
      </c>
      <c r="AJ612" s="69">
        <f>IF(AN612=0,I612,0)</f>
        <v>0</v>
      </c>
      <c r="AK612" s="69">
        <f>IF(AN612=12,I612,0)</f>
        <v>0</v>
      </c>
      <c r="AL612" s="69">
        <f>IF(AN612=21,I612,0)</f>
        <v>0</v>
      </c>
      <c r="AN612" s="55">
        <v>21</v>
      </c>
      <c r="AO612" s="55">
        <f>H612*1</f>
        <v>0</v>
      </c>
      <c r="AP612" s="55">
        <f>H612*(1-1)</f>
        <v>0</v>
      </c>
      <c r="AQ612" s="72" t="s">
        <v>162</v>
      </c>
      <c r="AV612" s="55">
        <f>AW612+AX612</f>
        <v>0</v>
      </c>
      <c r="AW612" s="55">
        <f>G612*AO612</f>
        <v>0</v>
      </c>
      <c r="AX612" s="55">
        <f>G612*AP612</f>
        <v>0</v>
      </c>
      <c r="AY612" s="58" t="s">
        <v>767</v>
      </c>
      <c r="AZ612" s="58" t="s">
        <v>745</v>
      </c>
      <c r="BA612" s="33" t="s">
        <v>125</v>
      </c>
      <c r="BC612" s="55">
        <f>AW612+AX612</f>
        <v>0</v>
      </c>
      <c r="BD612" s="55">
        <f>H612/(100-BE612)*100</f>
        <v>0</v>
      </c>
      <c r="BE612" s="55">
        <v>0</v>
      </c>
      <c r="BF612" s="55">
        <f>L612</f>
        <v>0.03</v>
      </c>
      <c r="BH612" s="69">
        <f>G612*AO612</f>
        <v>0</v>
      </c>
      <c r="BI612" s="69">
        <f>G612*AP612</f>
        <v>0</v>
      </c>
      <c r="BJ612" s="69">
        <f>G612*H612</f>
        <v>0</v>
      </c>
      <c r="BK612" s="69"/>
      <c r="BL612" s="55">
        <v>766</v>
      </c>
      <c r="BW612" s="55">
        <v>21</v>
      </c>
      <c r="BX612" s="68" t="s">
        <v>804</v>
      </c>
    </row>
    <row r="613" spans="1:76" x14ac:dyDescent="0.25">
      <c r="A613" s="60"/>
      <c r="D613" s="61" t="s">
        <v>129</v>
      </c>
      <c r="E613" s="61" t="s">
        <v>4</v>
      </c>
      <c r="G613" s="62">
        <v>2</v>
      </c>
      <c r="M613" s="63"/>
    </row>
    <row r="614" spans="1:76" x14ac:dyDescent="0.25">
      <c r="A614" s="66" t="s">
        <v>806</v>
      </c>
      <c r="B614" s="67" t="s">
        <v>4</v>
      </c>
      <c r="C614" s="67" t="s">
        <v>807</v>
      </c>
      <c r="D614" s="163" t="s">
        <v>808</v>
      </c>
      <c r="E614" s="164"/>
      <c r="F614" s="67" t="s">
        <v>805</v>
      </c>
      <c r="G614" s="69">
        <v>2</v>
      </c>
      <c r="H614" s="70">
        <v>0</v>
      </c>
      <c r="I614" s="69">
        <f>G614*H614</f>
        <v>0</v>
      </c>
      <c r="J614" s="69">
        <v>0</v>
      </c>
      <c r="K614" s="69">
        <v>2E-3</v>
      </c>
      <c r="L614" s="69">
        <f>G614*K614</f>
        <v>4.0000000000000001E-3</v>
      </c>
      <c r="M614" s="71" t="s">
        <v>4</v>
      </c>
      <c r="Z614" s="55">
        <f>IF(AQ614="5",BJ614,0)</f>
        <v>0</v>
      </c>
      <c r="AB614" s="55">
        <f>IF(AQ614="1",BH614,0)</f>
        <v>0</v>
      </c>
      <c r="AC614" s="55">
        <f>IF(AQ614="1",BI614,0)</f>
        <v>0</v>
      </c>
      <c r="AD614" s="55">
        <f>IF(AQ614="7",BH614,0)</f>
        <v>0</v>
      </c>
      <c r="AE614" s="55">
        <f>IF(AQ614="7",BI614,0)</f>
        <v>0</v>
      </c>
      <c r="AF614" s="55">
        <f>IF(AQ614="2",BH614,0)</f>
        <v>0</v>
      </c>
      <c r="AG614" s="55">
        <f>IF(AQ614="2",BI614,0)</f>
        <v>0</v>
      </c>
      <c r="AH614" s="55">
        <f>IF(AQ614="0",BJ614,0)</f>
        <v>0</v>
      </c>
      <c r="AI614" s="33" t="s">
        <v>4</v>
      </c>
      <c r="AJ614" s="69">
        <f>IF(AN614=0,I614,0)</f>
        <v>0</v>
      </c>
      <c r="AK614" s="69">
        <f>IF(AN614=12,I614,0)</f>
        <v>0</v>
      </c>
      <c r="AL614" s="69">
        <f>IF(AN614=21,I614,0)</f>
        <v>0</v>
      </c>
      <c r="AN614" s="55">
        <v>21</v>
      </c>
      <c r="AO614" s="55">
        <f>H614*1</f>
        <v>0</v>
      </c>
      <c r="AP614" s="55">
        <f>H614*(1-1)</f>
        <v>0</v>
      </c>
      <c r="AQ614" s="72" t="s">
        <v>162</v>
      </c>
      <c r="AV614" s="55">
        <f>AW614+AX614</f>
        <v>0</v>
      </c>
      <c r="AW614" s="55">
        <f>G614*AO614</f>
        <v>0</v>
      </c>
      <c r="AX614" s="55">
        <f>G614*AP614</f>
        <v>0</v>
      </c>
      <c r="AY614" s="58" t="s">
        <v>767</v>
      </c>
      <c r="AZ614" s="58" t="s">
        <v>745</v>
      </c>
      <c r="BA614" s="33" t="s">
        <v>125</v>
      </c>
      <c r="BC614" s="55">
        <f>AW614+AX614</f>
        <v>0</v>
      </c>
      <c r="BD614" s="55">
        <f>H614/(100-BE614)*100</f>
        <v>0</v>
      </c>
      <c r="BE614" s="55">
        <v>0</v>
      </c>
      <c r="BF614" s="55">
        <f>L614</f>
        <v>4.0000000000000001E-3</v>
      </c>
      <c r="BH614" s="69">
        <f>G614*AO614</f>
        <v>0</v>
      </c>
      <c r="BI614" s="69">
        <f>G614*AP614</f>
        <v>0</v>
      </c>
      <c r="BJ614" s="69">
        <f>G614*H614</f>
        <v>0</v>
      </c>
      <c r="BK614" s="69"/>
      <c r="BL614" s="55">
        <v>766</v>
      </c>
      <c r="BW614" s="55">
        <v>21</v>
      </c>
      <c r="BX614" s="68" t="s">
        <v>808</v>
      </c>
    </row>
    <row r="615" spans="1:76" x14ac:dyDescent="0.25">
      <c r="A615" s="66" t="s">
        <v>809</v>
      </c>
      <c r="B615" s="67" t="s">
        <v>4</v>
      </c>
      <c r="C615" s="67" t="s">
        <v>810</v>
      </c>
      <c r="D615" s="163" t="s">
        <v>811</v>
      </c>
      <c r="E615" s="164"/>
      <c r="F615" s="67" t="s">
        <v>145</v>
      </c>
      <c r="G615" s="69">
        <v>2</v>
      </c>
      <c r="H615" s="70">
        <v>0</v>
      </c>
      <c r="I615" s="69">
        <f>G615*H615</f>
        <v>0</v>
      </c>
      <c r="J615" s="69">
        <v>0</v>
      </c>
      <c r="K615" s="69">
        <v>3.0999999999999999E-3</v>
      </c>
      <c r="L615" s="69">
        <f>G615*K615</f>
        <v>6.1999999999999998E-3</v>
      </c>
      <c r="M615" s="71" t="s">
        <v>122</v>
      </c>
      <c r="Z615" s="55">
        <f>IF(AQ615="5",BJ615,0)</f>
        <v>0</v>
      </c>
      <c r="AB615" s="55">
        <f>IF(AQ615="1",BH615,0)</f>
        <v>0</v>
      </c>
      <c r="AC615" s="55">
        <f>IF(AQ615="1",BI615,0)</f>
        <v>0</v>
      </c>
      <c r="AD615" s="55">
        <f>IF(AQ615="7",BH615,0)</f>
        <v>0</v>
      </c>
      <c r="AE615" s="55">
        <f>IF(AQ615="7",BI615,0)</f>
        <v>0</v>
      </c>
      <c r="AF615" s="55">
        <f>IF(AQ615="2",BH615,0)</f>
        <v>0</v>
      </c>
      <c r="AG615" s="55">
        <f>IF(AQ615="2",BI615,0)</f>
        <v>0</v>
      </c>
      <c r="AH615" s="55">
        <f>IF(AQ615="0",BJ615,0)</f>
        <v>0</v>
      </c>
      <c r="AI615" s="33" t="s">
        <v>4</v>
      </c>
      <c r="AJ615" s="69">
        <f>IF(AN615=0,I615,0)</f>
        <v>0</v>
      </c>
      <c r="AK615" s="69">
        <f>IF(AN615=12,I615,0)</f>
        <v>0</v>
      </c>
      <c r="AL615" s="69">
        <f>IF(AN615=21,I615,0)</f>
        <v>0</v>
      </c>
      <c r="AN615" s="55">
        <v>21</v>
      </c>
      <c r="AO615" s="55">
        <f>H615*1</f>
        <v>0</v>
      </c>
      <c r="AP615" s="55">
        <f>H615*(1-1)</f>
        <v>0</v>
      </c>
      <c r="AQ615" s="72" t="s">
        <v>162</v>
      </c>
      <c r="AV615" s="55">
        <f>AW615+AX615</f>
        <v>0</v>
      </c>
      <c r="AW615" s="55">
        <f>G615*AO615</f>
        <v>0</v>
      </c>
      <c r="AX615" s="55">
        <f>G615*AP615</f>
        <v>0</v>
      </c>
      <c r="AY615" s="58" t="s">
        <v>767</v>
      </c>
      <c r="AZ615" s="58" t="s">
        <v>745</v>
      </c>
      <c r="BA615" s="33" t="s">
        <v>125</v>
      </c>
      <c r="BC615" s="55">
        <f>AW615+AX615</f>
        <v>0</v>
      </c>
      <c r="BD615" s="55">
        <f>H615/(100-BE615)*100</f>
        <v>0</v>
      </c>
      <c r="BE615" s="55">
        <v>0</v>
      </c>
      <c r="BF615" s="55">
        <f>L615</f>
        <v>6.1999999999999998E-3</v>
      </c>
      <c r="BH615" s="69">
        <f>G615*AO615</f>
        <v>0</v>
      </c>
      <c r="BI615" s="69">
        <f>G615*AP615</f>
        <v>0</v>
      </c>
      <c r="BJ615" s="69">
        <f>G615*H615</f>
        <v>0</v>
      </c>
      <c r="BK615" s="69"/>
      <c r="BL615" s="55">
        <v>766</v>
      </c>
      <c r="BW615" s="55">
        <v>21</v>
      </c>
      <c r="BX615" s="68" t="s">
        <v>811</v>
      </c>
    </row>
    <row r="616" spans="1:76" x14ac:dyDescent="0.25">
      <c r="A616" s="60"/>
      <c r="C616" s="64" t="s">
        <v>127</v>
      </c>
      <c r="D616" s="159" t="s">
        <v>812</v>
      </c>
      <c r="E616" s="160"/>
      <c r="F616" s="160"/>
      <c r="G616" s="160"/>
      <c r="H616" s="161"/>
      <c r="I616" s="160"/>
      <c r="J616" s="160"/>
      <c r="K616" s="160"/>
      <c r="L616" s="160"/>
      <c r="M616" s="162"/>
      <c r="BX616" s="73" t="s">
        <v>812</v>
      </c>
    </row>
    <row r="617" spans="1:76" x14ac:dyDescent="0.25">
      <c r="A617" s="1" t="s">
        <v>813</v>
      </c>
      <c r="B617" s="2" t="s">
        <v>4</v>
      </c>
      <c r="C617" s="2" t="s">
        <v>814</v>
      </c>
      <c r="D617" s="82" t="s">
        <v>815</v>
      </c>
      <c r="E617" s="83"/>
      <c r="F617" s="2" t="s">
        <v>145</v>
      </c>
      <c r="G617" s="55">
        <v>1</v>
      </c>
      <c r="H617" s="56">
        <v>0</v>
      </c>
      <c r="I617" s="55">
        <f>G617*H617</f>
        <v>0</v>
      </c>
      <c r="J617" s="55">
        <v>0</v>
      </c>
      <c r="K617" s="55">
        <v>0.105</v>
      </c>
      <c r="L617" s="55">
        <f>G617*K617</f>
        <v>0.105</v>
      </c>
      <c r="M617" s="57" t="s">
        <v>122</v>
      </c>
      <c r="Z617" s="55">
        <f>IF(AQ617="5",BJ617,0)</f>
        <v>0</v>
      </c>
      <c r="AB617" s="55">
        <f>IF(AQ617="1",BH617,0)</f>
        <v>0</v>
      </c>
      <c r="AC617" s="55">
        <f>IF(AQ617="1",BI617,0)</f>
        <v>0</v>
      </c>
      <c r="AD617" s="55">
        <f>IF(AQ617="7",BH617,0)</f>
        <v>0</v>
      </c>
      <c r="AE617" s="55">
        <f>IF(AQ617="7",BI617,0)</f>
        <v>0</v>
      </c>
      <c r="AF617" s="55">
        <f>IF(AQ617="2",BH617,0)</f>
        <v>0</v>
      </c>
      <c r="AG617" s="55">
        <f>IF(AQ617="2",BI617,0)</f>
        <v>0</v>
      </c>
      <c r="AH617" s="55">
        <f>IF(AQ617="0",BJ617,0)</f>
        <v>0</v>
      </c>
      <c r="AI617" s="33" t="s">
        <v>4</v>
      </c>
      <c r="AJ617" s="55">
        <f>IF(AN617=0,I617,0)</f>
        <v>0</v>
      </c>
      <c r="AK617" s="55">
        <f>IF(AN617=12,I617,0)</f>
        <v>0</v>
      </c>
      <c r="AL617" s="55">
        <f>IF(AN617=21,I617,0)</f>
        <v>0</v>
      </c>
      <c r="AN617" s="55">
        <v>21</v>
      </c>
      <c r="AO617" s="55">
        <f>H617*0.80507165</f>
        <v>0</v>
      </c>
      <c r="AP617" s="55">
        <f>H617*(1-0.80507165)</f>
        <v>0</v>
      </c>
      <c r="AQ617" s="58" t="s">
        <v>162</v>
      </c>
      <c r="AV617" s="55">
        <f>AW617+AX617</f>
        <v>0</v>
      </c>
      <c r="AW617" s="55">
        <f>G617*AO617</f>
        <v>0</v>
      </c>
      <c r="AX617" s="55">
        <f>G617*AP617</f>
        <v>0</v>
      </c>
      <c r="AY617" s="58" t="s">
        <v>767</v>
      </c>
      <c r="AZ617" s="58" t="s">
        <v>745</v>
      </c>
      <c r="BA617" s="33" t="s">
        <v>125</v>
      </c>
      <c r="BB617" s="59">
        <v>100032</v>
      </c>
      <c r="BC617" s="55">
        <f>AW617+AX617</f>
        <v>0</v>
      </c>
      <c r="BD617" s="55">
        <f>H617/(100-BE617)*100</f>
        <v>0</v>
      </c>
      <c r="BE617" s="55">
        <v>0</v>
      </c>
      <c r="BF617" s="55">
        <f>L617</f>
        <v>0.105</v>
      </c>
      <c r="BH617" s="55">
        <f>G617*AO617</f>
        <v>0</v>
      </c>
      <c r="BI617" s="55">
        <f>G617*AP617</f>
        <v>0</v>
      </c>
      <c r="BJ617" s="55">
        <f>G617*H617</f>
        <v>0</v>
      </c>
      <c r="BK617" s="55"/>
      <c r="BL617" s="55">
        <v>766</v>
      </c>
      <c r="BW617" s="55">
        <v>21</v>
      </c>
      <c r="BX617" s="3" t="s">
        <v>815</v>
      </c>
    </row>
    <row r="618" spans="1:76" ht="13.5" customHeight="1" x14ac:dyDescent="0.25">
      <c r="A618" s="60"/>
      <c r="D618" s="155" t="s">
        <v>816</v>
      </c>
      <c r="E618" s="156"/>
      <c r="F618" s="156"/>
      <c r="G618" s="156"/>
      <c r="H618" s="157"/>
      <c r="I618" s="156"/>
      <c r="J618" s="156"/>
      <c r="K618" s="156"/>
      <c r="L618" s="156"/>
      <c r="M618" s="158"/>
    </row>
    <row r="619" spans="1:76" x14ac:dyDescent="0.25">
      <c r="A619" s="60"/>
      <c r="D619" s="61" t="s">
        <v>118</v>
      </c>
      <c r="E619" s="61" t="s">
        <v>4</v>
      </c>
      <c r="G619" s="62">
        <v>1</v>
      </c>
      <c r="M619" s="63"/>
    </row>
    <row r="620" spans="1:76" x14ac:dyDescent="0.25">
      <c r="A620" s="66" t="s">
        <v>817</v>
      </c>
      <c r="B620" s="67" t="s">
        <v>4</v>
      </c>
      <c r="C620" s="67" t="s">
        <v>818</v>
      </c>
      <c r="D620" s="163" t="s">
        <v>819</v>
      </c>
      <c r="E620" s="164"/>
      <c r="F620" s="67" t="s">
        <v>145</v>
      </c>
      <c r="G620" s="69">
        <v>1</v>
      </c>
      <c r="H620" s="70">
        <v>0</v>
      </c>
      <c r="I620" s="69">
        <f>G620*H620</f>
        <v>0</v>
      </c>
      <c r="J620" s="69">
        <v>0</v>
      </c>
      <c r="K620" s="69">
        <v>0.13300000000000001</v>
      </c>
      <c r="L620" s="69">
        <f>G620*K620</f>
        <v>0.13300000000000001</v>
      </c>
      <c r="M620" s="71" t="s">
        <v>122</v>
      </c>
      <c r="Z620" s="55">
        <f>IF(AQ620="5",BJ620,0)</f>
        <v>0</v>
      </c>
      <c r="AB620" s="55">
        <f>IF(AQ620="1",BH620,0)</f>
        <v>0</v>
      </c>
      <c r="AC620" s="55">
        <f>IF(AQ620="1",BI620,0)</f>
        <v>0</v>
      </c>
      <c r="AD620" s="55">
        <f>IF(AQ620="7",BH620,0)</f>
        <v>0</v>
      </c>
      <c r="AE620" s="55">
        <f>IF(AQ620="7",BI620,0)</f>
        <v>0</v>
      </c>
      <c r="AF620" s="55">
        <f>IF(AQ620="2",BH620,0)</f>
        <v>0</v>
      </c>
      <c r="AG620" s="55">
        <f>IF(AQ620="2",BI620,0)</f>
        <v>0</v>
      </c>
      <c r="AH620" s="55">
        <f>IF(AQ620="0",BJ620,0)</f>
        <v>0</v>
      </c>
      <c r="AI620" s="33" t="s">
        <v>4</v>
      </c>
      <c r="AJ620" s="69">
        <f>IF(AN620=0,I620,0)</f>
        <v>0</v>
      </c>
      <c r="AK620" s="69">
        <f>IF(AN620=12,I620,0)</f>
        <v>0</v>
      </c>
      <c r="AL620" s="69">
        <f>IF(AN620=21,I620,0)</f>
        <v>0</v>
      </c>
      <c r="AN620" s="55">
        <v>21</v>
      </c>
      <c r="AO620" s="55">
        <f>H620*1</f>
        <v>0</v>
      </c>
      <c r="AP620" s="55">
        <f>H620*(1-1)</f>
        <v>0</v>
      </c>
      <c r="AQ620" s="72" t="s">
        <v>162</v>
      </c>
      <c r="AV620" s="55">
        <f>AW620+AX620</f>
        <v>0</v>
      </c>
      <c r="AW620" s="55">
        <f>G620*AO620</f>
        <v>0</v>
      </c>
      <c r="AX620" s="55">
        <f>G620*AP620</f>
        <v>0</v>
      </c>
      <c r="AY620" s="58" t="s">
        <v>767</v>
      </c>
      <c r="AZ620" s="58" t="s">
        <v>745</v>
      </c>
      <c r="BA620" s="33" t="s">
        <v>125</v>
      </c>
      <c r="BC620" s="55">
        <f>AW620+AX620</f>
        <v>0</v>
      </c>
      <c r="BD620" s="55">
        <f>H620/(100-BE620)*100</f>
        <v>0</v>
      </c>
      <c r="BE620" s="55">
        <v>0</v>
      </c>
      <c r="BF620" s="55">
        <f>L620</f>
        <v>0.13300000000000001</v>
      </c>
      <c r="BH620" s="69">
        <f>G620*AO620</f>
        <v>0</v>
      </c>
      <c r="BI620" s="69">
        <f>G620*AP620</f>
        <v>0</v>
      </c>
      <c r="BJ620" s="69">
        <f>G620*H620</f>
        <v>0</v>
      </c>
      <c r="BK620" s="69"/>
      <c r="BL620" s="55">
        <v>766</v>
      </c>
      <c r="BW620" s="55">
        <v>21</v>
      </c>
      <c r="BX620" s="68" t="s">
        <v>819</v>
      </c>
    </row>
    <row r="621" spans="1:76" x14ac:dyDescent="0.25">
      <c r="A621" s="60"/>
      <c r="D621" s="61" t="s">
        <v>118</v>
      </c>
      <c r="E621" s="61" t="s">
        <v>4</v>
      </c>
      <c r="G621" s="62">
        <v>1</v>
      </c>
      <c r="M621" s="63"/>
    </row>
    <row r="622" spans="1:76" x14ac:dyDescent="0.25">
      <c r="A622" s="1" t="s">
        <v>820</v>
      </c>
      <c r="B622" s="2" t="s">
        <v>4</v>
      </c>
      <c r="C622" s="2" t="s">
        <v>821</v>
      </c>
      <c r="D622" s="82" t="s">
        <v>822</v>
      </c>
      <c r="E622" s="83"/>
      <c r="F622" s="2" t="s">
        <v>145</v>
      </c>
      <c r="G622" s="55">
        <v>1</v>
      </c>
      <c r="H622" s="56">
        <v>0</v>
      </c>
      <c r="I622" s="55">
        <f>G622*H622</f>
        <v>0</v>
      </c>
      <c r="J622" s="55">
        <v>0</v>
      </c>
      <c r="K622" s="55">
        <v>0.22559999999999999</v>
      </c>
      <c r="L622" s="55">
        <f>G622*K622</f>
        <v>0.22559999999999999</v>
      </c>
      <c r="M622" s="57" t="s">
        <v>122</v>
      </c>
      <c r="Z622" s="55">
        <f>IF(AQ622="5",BJ622,0)</f>
        <v>0</v>
      </c>
      <c r="AB622" s="55">
        <f>IF(AQ622="1",BH622,0)</f>
        <v>0</v>
      </c>
      <c r="AC622" s="55">
        <f>IF(AQ622="1",BI622,0)</f>
        <v>0</v>
      </c>
      <c r="AD622" s="55">
        <f>IF(AQ622="7",BH622,0)</f>
        <v>0</v>
      </c>
      <c r="AE622" s="55">
        <f>IF(AQ622="7",BI622,0)</f>
        <v>0</v>
      </c>
      <c r="AF622" s="55">
        <f>IF(AQ622="2",BH622,0)</f>
        <v>0</v>
      </c>
      <c r="AG622" s="55">
        <f>IF(AQ622="2",BI622,0)</f>
        <v>0</v>
      </c>
      <c r="AH622" s="55">
        <f>IF(AQ622="0",BJ622,0)</f>
        <v>0</v>
      </c>
      <c r="AI622" s="33" t="s">
        <v>4</v>
      </c>
      <c r="AJ622" s="55">
        <f>IF(AN622=0,I622,0)</f>
        <v>0</v>
      </c>
      <c r="AK622" s="55">
        <f>IF(AN622=12,I622,0)</f>
        <v>0</v>
      </c>
      <c r="AL622" s="55">
        <f>IF(AN622=21,I622,0)</f>
        <v>0</v>
      </c>
      <c r="AN622" s="55">
        <v>21</v>
      </c>
      <c r="AO622" s="55">
        <f>H622*0.81302446</f>
        <v>0</v>
      </c>
      <c r="AP622" s="55">
        <f>H622*(1-0.81302446)</f>
        <v>0</v>
      </c>
      <c r="AQ622" s="58" t="s">
        <v>162</v>
      </c>
      <c r="AV622" s="55">
        <f>AW622+AX622</f>
        <v>0</v>
      </c>
      <c r="AW622" s="55">
        <f>G622*AO622</f>
        <v>0</v>
      </c>
      <c r="AX622" s="55">
        <f>G622*AP622</f>
        <v>0</v>
      </c>
      <c r="AY622" s="58" t="s">
        <v>767</v>
      </c>
      <c r="AZ622" s="58" t="s">
        <v>745</v>
      </c>
      <c r="BA622" s="33" t="s">
        <v>125</v>
      </c>
      <c r="BB622" s="59">
        <v>100032</v>
      </c>
      <c r="BC622" s="55">
        <f>AW622+AX622</f>
        <v>0</v>
      </c>
      <c r="BD622" s="55">
        <f>H622/(100-BE622)*100</f>
        <v>0</v>
      </c>
      <c r="BE622" s="55">
        <v>0</v>
      </c>
      <c r="BF622" s="55">
        <f>L622</f>
        <v>0.22559999999999999</v>
      </c>
      <c r="BH622" s="55">
        <f>G622*AO622</f>
        <v>0</v>
      </c>
      <c r="BI622" s="55">
        <f>G622*AP622</f>
        <v>0</v>
      </c>
      <c r="BJ622" s="55">
        <f>G622*H622</f>
        <v>0</v>
      </c>
      <c r="BK622" s="55"/>
      <c r="BL622" s="55">
        <v>766</v>
      </c>
      <c r="BW622" s="55">
        <v>21</v>
      </c>
      <c r="BX622" s="3" t="s">
        <v>822</v>
      </c>
    </row>
    <row r="623" spans="1:76" ht="13.5" customHeight="1" x14ac:dyDescent="0.25">
      <c r="A623" s="60"/>
      <c r="D623" s="155" t="s">
        <v>823</v>
      </c>
      <c r="E623" s="156"/>
      <c r="F623" s="156"/>
      <c r="G623" s="156"/>
      <c r="H623" s="157"/>
      <c r="I623" s="156"/>
      <c r="J623" s="156"/>
      <c r="K623" s="156"/>
      <c r="L623" s="156"/>
      <c r="M623" s="158"/>
    </row>
    <row r="624" spans="1:76" x14ac:dyDescent="0.25">
      <c r="A624" s="60"/>
      <c r="D624" s="61" t="s">
        <v>118</v>
      </c>
      <c r="E624" s="61" t="s">
        <v>4</v>
      </c>
      <c r="G624" s="62">
        <v>1</v>
      </c>
      <c r="M624" s="63"/>
    </row>
    <row r="625" spans="1:76" x14ac:dyDescent="0.25">
      <c r="A625" s="66" t="s">
        <v>824</v>
      </c>
      <c r="B625" s="67" t="s">
        <v>4</v>
      </c>
      <c r="C625" s="67" t="s">
        <v>825</v>
      </c>
      <c r="D625" s="163" t="s">
        <v>826</v>
      </c>
      <c r="E625" s="164"/>
      <c r="F625" s="67" t="s">
        <v>145</v>
      </c>
      <c r="G625" s="69">
        <v>1</v>
      </c>
      <c r="H625" s="70">
        <v>0</v>
      </c>
      <c r="I625" s="69">
        <f>G625*H625</f>
        <v>0</v>
      </c>
      <c r="J625" s="69">
        <v>0</v>
      </c>
      <c r="K625" s="69">
        <v>7.0000000000000007E-2</v>
      </c>
      <c r="L625" s="69">
        <f>G625*K625</f>
        <v>7.0000000000000007E-2</v>
      </c>
      <c r="M625" s="71" t="s">
        <v>122</v>
      </c>
      <c r="Z625" s="55">
        <f>IF(AQ625="5",BJ625,0)</f>
        <v>0</v>
      </c>
      <c r="AB625" s="55">
        <f>IF(AQ625="1",BH625,0)</f>
        <v>0</v>
      </c>
      <c r="AC625" s="55">
        <f>IF(AQ625="1",BI625,0)</f>
        <v>0</v>
      </c>
      <c r="AD625" s="55">
        <f>IF(AQ625="7",BH625,0)</f>
        <v>0</v>
      </c>
      <c r="AE625" s="55">
        <f>IF(AQ625="7",BI625,0)</f>
        <v>0</v>
      </c>
      <c r="AF625" s="55">
        <f>IF(AQ625="2",BH625,0)</f>
        <v>0</v>
      </c>
      <c r="AG625" s="55">
        <f>IF(AQ625="2",BI625,0)</f>
        <v>0</v>
      </c>
      <c r="AH625" s="55">
        <f>IF(AQ625="0",BJ625,0)</f>
        <v>0</v>
      </c>
      <c r="AI625" s="33" t="s">
        <v>4</v>
      </c>
      <c r="AJ625" s="69">
        <f>IF(AN625=0,I625,0)</f>
        <v>0</v>
      </c>
      <c r="AK625" s="69">
        <f>IF(AN625=12,I625,0)</f>
        <v>0</v>
      </c>
      <c r="AL625" s="69">
        <f>IF(AN625=21,I625,0)</f>
        <v>0</v>
      </c>
      <c r="AN625" s="55">
        <v>21</v>
      </c>
      <c r="AO625" s="55">
        <f>H625*1</f>
        <v>0</v>
      </c>
      <c r="AP625" s="55">
        <f>H625*(1-1)</f>
        <v>0</v>
      </c>
      <c r="AQ625" s="72" t="s">
        <v>162</v>
      </c>
      <c r="AV625" s="55">
        <f>AW625+AX625</f>
        <v>0</v>
      </c>
      <c r="AW625" s="55">
        <f>G625*AO625</f>
        <v>0</v>
      </c>
      <c r="AX625" s="55">
        <f>G625*AP625</f>
        <v>0</v>
      </c>
      <c r="AY625" s="58" t="s">
        <v>767</v>
      </c>
      <c r="AZ625" s="58" t="s">
        <v>745</v>
      </c>
      <c r="BA625" s="33" t="s">
        <v>125</v>
      </c>
      <c r="BC625" s="55">
        <f>AW625+AX625</f>
        <v>0</v>
      </c>
      <c r="BD625" s="55">
        <f>H625/(100-BE625)*100</f>
        <v>0</v>
      </c>
      <c r="BE625" s="55">
        <v>0</v>
      </c>
      <c r="BF625" s="55">
        <f>L625</f>
        <v>7.0000000000000007E-2</v>
      </c>
      <c r="BH625" s="69">
        <f>G625*AO625</f>
        <v>0</v>
      </c>
      <c r="BI625" s="69">
        <f>G625*AP625</f>
        <v>0</v>
      </c>
      <c r="BJ625" s="69">
        <f>G625*H625</f>
        <v>0</v>
      </c>
      <c r="BK625" s="69"/>
      <c r="BL625" s="55">
        <v>766</v>
      </c>
      <c r="BW625" s="55">
        <v>21</v>
      </c>
      <c r="BX625" s="68" t="s">
        <v>826</v>
      </c>
    </row>
    <row r="626" spans="1:76" x14ac:dyDescent="0.25">
      <c r="A626" s="60"/>
      <c r="D626" s="61" t="s">
        <v>118</v>
      </c>
      <c r="E626" s="61" t="s">
        <v>4</v>
      </c>
      <c r="G626" s="62">
        <v>1</v>
      </c>
      <c r="M626" s="63"/>
    </row>
    <row r="627" spans="1:76" x14ac:dyDescent="0.25">
      <c r="A627" s="66" t="s">
        <v>827</v>
      </c>
      <c r="B627" s="67" t="s">
        <v>4</v>
      </c>
      <c r="C627" s="67" t="s">
        <v>810</v>
      </c>
      <c r="D627" s="163" t="s">
        <v>811</v>
      </c>
      <c r="E627" s="164"/>
      <c r="F627" s="67" t="s">
        <v>145</v>
      </c>
      <c r="G627" s="69">
        <v>1</v>
      </c>
      <c r="H627" s="70">
        <v>0</v>
      </c>
      <c r="I627" s="69">
        <f>G627*H627</f>
        <v>0</v>
      </c>
      <c r="J627" s="69">
        <v>0</v>
      </c>
      <c r="K627" s="69">
        <v>3.0999999999999999E-3</v>
      </c>
      <c r="L627" s="69">
        <f>G627*K627</f>
        <v>3.0999999999999999E-3</v>
      </c>
      <c r="M627" s="71" t="s">
        <v>122</v>
      </c>
      <c r="Z627" s="55">
        <f>IF(AQ627="5",BJ627,0)</f>
        <v>0</v>
      </c>
      <c r="AB627" s="55">
        <f>IF(AQ627="1",BH627,0)</f>
        <v>0</v>
      </c>
      <c r="AC627" s="55">
        <f>IF(AQ627="1",BI627,0)</f>
        <v>0</v>
      </c>
      <c r="AD627" s="55">
        <f>IF(AQ627="7",BH627,0)</f>
        <v>0</v>
      </c>
      <c r="AE627" s="55">
        <f>IF(AQ627="7",BI627,0)</f>
        <v>0</v>
      </c>
      <c r="AF627" s="55">
        <f>IF(AQ627="2",BH627,0)</f>
        <v>0</v>
      </c>
      <c r="AG627" s="55">
        <f>IF(AQ627="2",BI627,0)</f>
        <v>0</v>
      </c>
      <c r="AH627" s="55">
        <f>IF(AQ627="0",BJ627,0)</f>
        <v>0</v>
      </c>
      <c r="AI627" s="33" t="s">
        <v>4</v>
      </c>
      <c r="AJ627" s="69">
        <f>IF(AN627=0,I627,0)</f>
        <v>0</v>
      </c>
      <c r="AK627" s="69">
        <f>IF(AN627=12,I627,0)</f>
        <v>0</v>
      </c>
      <c r="AL627" s="69">
        <f>IF(AN627=21,I627,0)</f>
        <v>0</v>
      </c>
      <c r="AN627" s="55">
        <v>21</v>
      </c>
      <c r="AO627" s="55">
        <f>H627*1</f>
        <v>0</v>
      </c>
      <c r="AP627" s="55">
        <f>H627*(1-1)</f>
        <v>0</v>
      </c>
      <c r="AQ627" s="72" t="s">
        <v>162</v>
      </c>
      <c r="AV627" s="55">
        <f>AW627+AX627</f>
        <v>0</v>
      </c>
      <c r="AW627" s="55">
        <f>G627*AO627</f>
        <v>0</v>
      </c>
      <c r="AX627" s="55">
        <f>G627*AP627</f>
        <v>0</v>
      </c>
      <c r="AY627" s="58" t="s">
        <v>767</v>
      </c>
      <c r="AZ627" s="58" t="s">
        <v>745</v>
      </c>
      <c r="BA627" s="33" t="s">
        <v>125</v>
      </c>
      <c r="BC627" s="55">
        <f>AW627+AX627</f>
        <v>0</v>
      </c>
      <c r="BD627" s="55">
        <f>H627/(100-BE627)*100</f>
        <v>0</v>
      </c>
      <c r="BE627" s="55">
        <v>0</v>
      </c>
      <c r="BF627" s="55">
        <f>L627</f>
        <v>3.0999999999999999E-3</v>
      </c>
      <c r="BH627" s="69">
        <f>G627*AO627</f>
        <v>0</v>
      </c>
      <c r="BI627" s="69">
        <f>G627*AP627</f>
        <v>0</v>
      </c>
      <c r="BJ627" s="69">
        <f>G627*H627</f>
        <v>0</v>
      </c>
      <c r="BK627" s="69"/>
      <c r="BL627" s="55">
        <v>766</v>
      </c>
      <c r="BW627" s="55">
        <v>21</v>
      </c>
      <c r="BX627" s="68" t="s">
        <v>811</v>
      </c>
    </row>
    <row r="628" spans="1:76" x14ac:dyDescent="0.25">
      <c r="A628" s="60"/>
      <c r="D628" s="61" t="s">
        <v>118</v>
      </c>
      <c r="E628" s="61" t="s">
        <v>4</v>
      </c>
      <c r="G628" s="62">
        <v>1</v>
      </c>
      <c r="M628" s="63"/>
    </row>
    <row r="629" spans="1:76" x14ac:dyDescent="0.25">
      <c r="A629" s="66" t="s">
        <v>828</v>
      </c>
      <c r="B629" s="67" t="s">
        <v>4</v>
      </c>
      <c r="C629" s="67" t="s">
        <v>803</v>
      </c>
      <c r="D629" s="163" t="s">
        <v>804</v>
      </c>
      <c r="E629" s="164"/>
      <c r="F629" s="67" t="s">
        <v>805</v>
      </c>
      <c r="G629" s="69">
        <v>1</v>
      </c>
      <c r="H629" s="70">
        <v>0</v>
      </c>
      <c r="I629" s="69">
        <f>G629*H629</f>
        <v>0</v>
      </c>
      <c r="J629" s="69">
        <v>0</v>
      </c>
      <c r="K629" s="69">
        <v>1.4999999999999999E-2</v>
      </c>
      <c r="L629" s="69">
        <f>G629*K629</f>
        <v>1.4999999999999999E-2</v>
      </c>
      <c r="M629" s="71" t="s">
        <v>4</v>
      </c>
      <c r="Z629" s="55">
        <f>IF(AQ629="5",BJ629,0)</f>
        <v>0</v>
      </c>
      <c r="AB629" s="55">
        <f>IF(AQ629="1",BH629,0)</f>
        <v>0</v>
      </c>
      <c r="AC629" s="55">
        <f>IF(AQ629="1",BI629,0)</f>
        <v>0</v>
      </c>
      <c r="AD629" s="55">
        <f>IF(AQ629="7",BH629,0)</f>
        <v>0</v>
      </c>
      <c r="AE629" s="55">
        <f>IF(AQ629="7",BI629,0)</f>
        <v>0</v>
      </c>
      <c r="AF629" s="55">
        <f>IF(AQ629="2",BH629,0)</f>
        <v>0</v>
      </c>
      <c r="AG629" s="55">
        <f>IF(AQ629="2",BI629,0)</f>
        <v>0</v>
      </c>
      <c r="AH629" s="55">
        <f>IF(AQ629="0",BJ629,0)</f>
        <v>0</v>
      </c>
      <c r="AI629" s="33" t="s">
        <v>4</v>
      </c>
      <c r="AJ629" s="69">
        <f>IF(AN629=0,I629,0)</f>
        <v>0</v>
      </c>
      <c r="AK629" s="69">
        <f>IF(AN629=12,I629,0)</f>
        <v>0</v>
      </c>
      <c r="AL629" s="69">
        <f>IF(AN629=21,I629,0)</f>
        <v>0</v>
      </c>
      <c r="AN629" s="55">
        <v>21</v>
      </c>
      <c r="AO629" s="55">
        <f>H629*1</f>
        <v>0</v>
      </c>
      <c r="AP629" s="55">
        <f>H629*(1-1)</f>
        <v>0</v>
      </c>
      <c r="AQ629" s="72" t="s">
        <v>162</v>
      </c>
      <c r="AV629" s="55">
        <f>AW629+AX629</f>
        <v>0</v>
      </c>
      <c r="AW629" s="55">
        <f>G629*AO629</f>
        <v>0</v>
      </c>
      <c r="AX629" s="55">
        <f>G629*AP629</f>
        <v>0</v>
      </c>
      <c r="AY629" s="58" t="s">
        <v>767</v>
      </c>
      <c r="AZ629" s="58" t="s">
        <v>745</v>
      </c>
      <c r="BA629" s="33" t="s">
        <v>125</v>
      </c>
      <c r="BC629" s="55">
        <f>AW629+AX629</f>
        <v>0</v>
      </c>
      <c r="BD629" s="55">
        <f>H629/(100-BE629)*100</f>
        <v>0</v>
      </c>
      <c r="BE629" s="55">
        <v>0</v>
      </c>
      <c r="BF629" s="55">
        <f>L629</f>
        <v>1.4999999999999999E-2</v>
      </c>
      <c r="BH629" s="69">
        <f>G629*AO629</f>
        <v>0</v>
      </c>
      <c r="BI629" s="69">
        <f>G629*AP629</f>
        <v>0</v>
      </c>
      <c r="BJ629" s="69">
        <f>G629*H629</f>
        <v>0</v>
      </c>
      <c r="BK629" s="69"/>
      <c r="BL629" s="55">
        <v>766</v>
      </c>
      <c r="BW629" s="55">
        <v>21</v>
      </c>
      <c r="BX629" s="68" t="s">
        <v>804</v>
      </c>
    </row>
    <row r="630" spans="1:76" x14ac:dyDescent="0.25">
      <c r="A630" s="60"/>
      <c r="D630" s="61" t="s">
        <v>118</v>
      </c>
      <c r="E630" s="61" t="s">
        <v>4</v>
      </c>
      <c r="G630" s="62">
        <v>1</v>
      </c>
      <c r="M630" s="63"/>
    </row>
    <row r="631" spans="1:76" x14ac:dyDescent="0.25">
      <c r="A631" s="1" t="s">
        <v>829</v>
      </c>
      <c r="B631" s="2" t="s">
        <v>4</v>
      </c>
      <c r="C631" s="2" t="s">
        <v>830</v>
      </c>
      <c r="D631" s="82" t="s">
        <v>831</v>
      </c>
      <c r="E631" s="83"/>
      <c r="F631" s="2" t="s">
        <v>145</v>
      </c>
      <c r="G631" s="55">
        <v>1</v>
      </c>
      <c r="H631" s="56">
        <v>0</v>
      </c>
      <c r="I631" s="55">
        <f>G631*H631</f>
        <v>0</v>
      </c>
      <c r="J631" s="55">
        <v>0</v>
      </c>
      <c r="K631" s="55">
        <v>1.519E-2</v>
      </c>
      <c r="L631" s="55">
        <f>G631*K631</f>
        <v>1.519E-2</v>
      </c>
      <c r="M631" s="57" t="s">
        <v>122</v>
      </c>
      <c r="Z631" s="55">
        <f>IF(AQ631="5",BJ631,0)</f>
        <v>0</v>
      </c>
      <c r="AB631" s="55">
        <f>IF(AQ631="1",BH631,0)</f>
        <v>0</v>
      </c>
      <c r="AC631" s="55">
        <f>IF(AQ631="1",BI631,0)</f>
        <v>0</v>
      </c>
      <c r="AD631" s="55">
        <f>IF(AQ631="7",BH631,0)</f>
        <v>0</v>
      </c>
      <c r="AE631" s="55">
        <f>IF(AQ631="7",BI631,0)</f>
        <v>0</v>
      </c>
      <c r="AF631" s="55">
        <f>IF(AQ631="2",BH631,0)</f>
        <v>0</v>
      </c>
      <c r="AG631" s="55">
        <f>IF(AQ631="2",BI631,0)</f>
        <v>0</v>
      </c>
      <c r="AH631" s="55">
        <f>IF(AQ631="0",BJ631,0)</f>
        <v>0</v>
      </c>
      <c r="AI631" s="33" t="s">
        <v>4</v>
      </c>
      <c r="AJ631" s="55">
        <f>IF(AN631=0,I631,0)</f>
        <v>0</v>
      </c>
      <c r="AK631" s="55">
        <f>IF(AN631=12,I631,0)</f>
        <v>0</v>
      </c>
      <c r="AL631" s="55">
        <f>IF(AN631=21,I631,0)</f>
        <v>0</v>
      </c>
      <c r="AN631" s="55">
        <v>21</v>
      </c>
      <c r="AO631" s="55">
        <f>H631*0.7543</f>
        <v>0</v>
      </c>
      <c r="AP631" s="55">
        <f>H631*(1-0.7543)</f>
        <v>0</v>
      </c>
      <c r="AQ631" s="58" t="s">
        <v>162</v>
      </c>
      <c r="AV631" s="55">
        <f>AW631+AX631</f>
        <v>0</v>
      </c>
      <c r="AW631" s="55">
        <f>G631*AO631</f>
        <v>0</v>
      </c>
      <c r="AX631" s="55">
        <f>G631*AP631</f>
        <v>0</v>
      </c>
      <c r="AY631" s="58" t="s">
        <v>767</v>
      </c>
      <c r="AZ631" s="58" t="s">
        <v>745</v>
      </c>
      <c r="BA631" s="33" t="s">
        <v>125</v>
      </c>
      <c r="BB631" s="59">
        <v>100032</v>
      </c>
      <c r="BC631" s="55">
        <f>AW631+AX631</f>
        <v>0</v>
      </c>
      <c r="BD631" s="55">
        <f>H631/(100-BE631)*100</f>
        <v>0</v>
      </c>
      <c r="BE631" s="55">
        <v>0</v>
      </c>
      <c r="BF631" s="55">
        <f>L631</f>
        <v>1.519E-2</v>
      </c>
      <c r="BH631" s="55">
        <f>G631*AO631</f>
        <v>0</v>
      </c>
      <c r="BI631" s="55">
        <f>G631*AP631</f>
        <v>0</v>
      </c>
      <c r="BJ631" s="55">
        <f>G631*H631</f>
        <v>0</v>
      </c>
      <c r="BK631" s="55"/>
      <c r="BL631" s="55">
        <v>766</v>
      </c>
      <c r="BW631" s="55">
        <v>21</v>
      </c>
      <c r="BX631" s="3" t="s">
        <v>831</v>
      </c>
    </row>
    <row r="632" spans="1:76" x14ac:dyDescent="0.25">
      <c r="A632" s="60"/>
      <c r="D632" s="61" t="s">
        <v>118</v>
      </c>
      <c r="E632" s="61" t="s">
        <v>4</v>
      </c>
      <c r="G632" s="62">
        <v>1</v>
      </c>
      <c r="M632" s="63"/>
    </row>
    <row r="633" spans="1:76" x14ac:dyDescent="0.25">
      <c r="A633" s="1" t="s">
        <v>832</v>
      </c>
      <c r="B633" s="2" t="s">
        <v>4</v>
      </c>
      <c r="C633" s="2" t="s">
        <v>833</v>
      </c>
      <c r="D633" s="82" t="s">
        <v>834</v>
      </c>
      <c r="E633" s="83"/>
      <c r="F633" s="2" t="s">
        <v>728</v>
      </c>
      <c r="G633" s="55">
        <v>24</v>
      </c>
      <c r="H633" s="56">
        <v>0</v>
      </c>
      <c r="I633" s="55">
        <f>G633*H633</f>
        <v>0</v>
      </c>
      <c r="J633" s="55">
        <v>0</v>
      </c>
      <c r="K633" s="55">
        <v>1.15E-3</v>
      </c>
      <c r="L633" s="55">
        <f>G633*K633</f>
        <v>2.76E-2</v>
      </c>
      <c r="M633" s="57" t="s">
        <v>122</v>
      </c>
      <c r="Z633" s="55">
        <f>IF(AQ633="5",BJ633,0)</f>
        <v>0</v>
      </c>
      <c r="AB633" s="55">
        <f>IF(AQ633="1",BH633,0)</f>
        <v>0</v>
      </c>
      <c r="AC633" s="55">
        <f>IF(AQ633="1",BI633,0)</f>
        <v>0</v>
      </c>
      <c r="AD633" s="55">
        <f>IF(AQ633="7",BH633,0)</f>
        <v>0</v>
      </c>
      <c r="AE633" s="55">
        <f>IF(AQ633="7",BI633,0)</f>
        <v>0</v>
      </c>
      <c r="AF633" s="55">
        <f>IF(AQ633="2",BH633,0)</f>
        <v>0</v>
      </c>
      <c r="AG633" s="55">
        <f>IF(AQ633="2",BI633,0)</f>
        <v>0</v>
      </c>
      <c r="AH633" s="55">
        <f>IF(AQ633="0",BJ633,0)</f>
        <v>0</v>
      </c>
      <c r="AI633" s="33" t="s">
        <v>4</v>
      </c>
      <c r="AJ633" s="55">
        <f>IF(AN633=0,I633,0)</f>
        <v>0</v>
      </c>
      <c r="AK633" s="55">
        <f>IF(AN633=12,I633,0)</f>
        <v>0</v>
      </c>
      <c r="AL633" s="55">
        <f>IF(AN633=21,I633,0)</f>
        <v>0</v>
      </c>
      <c r="AN633" s="55">
        <v>21</v>
      </c>
      <c r="AO633" s="55">
        <f>H633*0.648391266</f>
        <v>0</v>
      </c>
      <c r="AP633" s="55">
        <f>H633*(1-0.648391266)</f>
        <v>0</v>
      </c>
      <c r="AQ633" s="58" t="s">
        <v>162</v>
      </c>
      <c r="AV633" s="55">
        <f>AW633+AX633</f>
        <v>0</v>
      </c>
      <c r="AW633" s="55">
        <f>G633*AO633</f>
        <v>0</v>
      </c>
      <c r="AX633" s="55">
        <f>G633*AP633</f>
        <v>0</v>
      </c>
      <c r="AY633" s="58" t="s">
        <v>767</v>
      </c>
      <c r="AZ633" s="58" t="s">
        <v>745</v>
      </c>
      <c r="BA633" s="33" t="s">
        <v>125</v>
      </c>
      <c r="BB633" s="59">
        <v>100032</v>
      </c>
      <c r="BC633" s="55">
        <f>AW633+AX633</f>
        <v>0</v>
      </c>
      <c r="BD633" s="55">
        <f>H633/(100-BE633)*100</f>
        <v>0</v>
      </c>
      <c r="BE633" s="55">
        <v>0</v>
      </c>
      <c r="BF633" s="55">
        <f>L633</f>
        <v>2.76E-2</v>
      </c>
      <c r="BH633" s="55">
        <f>G633*AO633</f>
        <v>0</v>
      </c>
      <c r="BI633" s="55">
        <f>G633*AP633</f>
        <v>0</v>
      </c>
      <c r="BJ633" s="55">
        <f>G633*H633</f>
        <v>0</v>
      </c>
      <c r="BK633" s="55"/>
      <c r="BL633" s="55">
        <v>766</v>
      </c>
      <c r="BW633" s="55">
        <v>21</v>
      </c>
      <c r="BX633" s="3" t="s">
        <v>834</v>
      </c>
    </row>
    <row r="634" spans="1:76" x14ac:dyDescent="0.25">
      <c r="A634" s="60"/>
      <c r="D634" s="61" t="s">
        <v>389</v>
      </c>
      <c r="E634" s="61" t="s">
        <v>4</v>
      </c>
      <c r="G634" s="62">
        <v>24</v>
      </c>
      <c r="M634" s="63"/>
    </row>
    <row r="635" spans="1:76" x14ac:dyDescent="0.25">
      <c r="A635" s="66" t="s">
        <v>835</v>
      </c>
      <c r="B635" s="67" t="s">
        <v>4</v>
      </c>
      <c r="C635" s="67" t="s">
        <v>836</v>
      </c>
      <c r="D635" s="163" t="s">
        <v>837</v>
      </c>
      <c r="E635" s="164"/>
      <c r="F635" s="67" t="s">
        <v>838</v>
      </c>
      <c r="G635" s="69">
        <v>1</v>
      </c>
      <c r="H635" s="70">
        <v>0</v>
      </c>
      <c r="I635" s="69">
        <f>G635*H635</f>
        <v>0</v>
      </c>
      <c r="J635" s="69">
        <v>0</v>
      </c>
      <c r="K635" s="69">
        <v>0</v>
      </c>
      <c r="L635" s="69">
        <f>G635*K635</f>
        <v>0</v>
      </c>
      <c r="M635" s="71" t="s">
        <v>122</v>
      </c>
      <c r="Z635" s="55">
        <f>IF(AQ635="5",BJ635,0)</f>
        <v>0</v>
      </c>
      <c r="AB635" s="55">
        <f>IF(AQ635="1",BH635,0)</f>
        <v>0</v>
      </c>
      <c r="AC635" s="55">
        <f>IF(AQ635="1",BI635,0)</f>
        <v>0</v>
      </c>
      <c r="AD635" s="55">
        <f>IF(AQ635="7",BH635,0)</f>
        <v>0</v>
      </c>
      <c r="AE635" s="55">
        <f>IF(AQ635="7",BI635,0)</f>
        <v>0</v>
      </c>
      <c r="AF635" s="55">
        <f>IF(AQ635="2",BH635,0)</f>
        <v>0</v>
      </c>
      <c r="AG635" s="55">
        <f>IF(AQ635="2",BI635,0)</f>
        <v>0</v>
      </c>
      <c r="AH635" s="55">
        <f>IF(AQ635="0",BJ635,0)</f>
        <v>0</v>
      </c>
      <c r="AI635" s="33" t="s">
        <v>4</v>
      </c>
      <c r="AJ635" s="69">
        <f>IF(AN635=0,I635,0)</f>
        <v>0</v>
      </c>
      <c r="AK635" s="69">
        <f>IF(AN635=12,I635,0)</f>
        <v>0</v>
      </c>
      <c r="AL635" s="69">
        <f>IF(AN635=21,I635,0)</f>
        <v>0</v>
      </c>
      <c r="AN635" s="55">
        <v>21</v>
      </c>
      <c r="AO635" s="55">
        <f>H635*1</f>
        <v>0</v>
      </c>
      <c r="AP635" s="55">
        <f>H635*(1-1)</f>
        <v>0</v>
      </c>
      <c r="AQ635" s="72" t="s">
        <v>162</v>
      </c>
      <c r="AV635" s="55">
        <f>AW635+AX635</f>
        <v>0</v>
      </c>
      <c r="AW635" s="55">
        <f>G635*AO635</f>
        <v>0</v>
      </c>
      <c r="AX635" s="55">
        <f>G635*AP635</f>
        <v>0</v>
      </c>
      <c r="AY635" s="58" t="s">
        <v>767</v>
      </c>
      <c r="AZ635" s="58" t="s">
        <v>745</v>
      </c>
      <c r="BA635" s="33" t="s">
        <v>125</v>
      </c>
      <c r="BC635" s="55">
        <f>AW635+AX635</f>
        <v>0</v>
      </c>
      <c r="BD635" s="55">
        <f>H635/(100-BE635)*100</f>
        <v>0</v>
      </c>
      <c r="BE635" s="55">
        <v>0</v>
      </c>
      <c r="BF635" s="55">
        <f>L635</f>
        <v>0</v>
      </c>
      <c r="BH635" s="69">
        <f>G635*AO635</f>
        <v>0</v>
      </c>
      <c r="BI635" s="69">
        <f>G635*AP635</f>
        <v>0</v>
      </c>
      <c r="BJ635" s="69">
        <f>G635*H635</f>
        <v>0</v>
      </c>
      <c r="BK635" s="69"/>
      <c r="BL635" s="55">
        <v>766</v>
      </c>
      <c r="BW635" s="55">
        <v>21</v>
      </c>
      <c r="BX635" s="68" t="s">
        <v>837</v>
      </c>
    </row>
    <row r="636" spans="1:76" x14ac:dyDescent="0.25">
      <c r="A636" s="60"/>
      <c r="D636" s="61" t="s">
        <v>118</v>
      </c>
      <c r="E636" s="61" t="s">
        <v>4</v>
      </c>
      <c r="G636" s="62">
        <v>1</v>
      </c>
      <c r="M636" s="63"/>
    </row>
    <row r="637" spans="1:76" x14ac:dyDescent="0.25">
      <c r="A637" s="1" t="s">
        <v>839</v>
      </c>
      <c r="B637" s="2" t="s">
        <v>4</v>
      </c>
      <c r="C637" s="2" t="s">
        <v>840</v>
      </c>
      <c r="D637" s="82" t="s">
        <v>841</v>
      </c>
      <c r="E637" s="83"/>
      <c r="F637" s="2" t="s">
        <v>132</v>
      </c>
      <c r="G637" s="55">
        <v>1.34985</v>
      </c>
      <c r="H637" s="56">
        <v>0</v>
      </c>
      <c r="I637" s="55">
        <f>G637*H637</f>
        <v>0</v>
      </c>
      <c r="J637" s="55">
        <v>0</v>
      </c>
      <c r="K637" s="55">
        <v>0</v>
      </c>
      <c r="L637" s="55">
        <f>G637*K637</f>
        <v>0</v>
      </c>
      <c r="M637" s="57" t="s">
        <v>122</v>
      </c>
      <c r="Z637" s="55">
        <f>IF(AQ637="5",BJ637,0)</f>
        <v>0</v>
      </c>
      <c r="AB637" s="55">
        <f>IF(AQ637="1",BH637,0)</f>
        <v>0</v>
      </c>
      <c r="AC637" s="55">
        <f>IF(AQ637="1",BI637,0)</f>
        <v>0</v>
      </c>
      <c r="AD637" s="55">
        <f>IF(AQ637="7",BH637,0)</f>
        <v>0</v>
      </c>
      <c r="AE637" s="55">
        <f>IF(AQ637="7",BI637,0)</f>
        <v>0</v>
      </c>
      <c r="AF637" s="55">
        <f>IF(AQ637="2",BH637,0)</f>
        <v>0</v>
      </c>
      <c r="AG637" s="55">
        <f>IF(AQ637="2",BI637,0)</f>
        <v>0</v>
      </c>
      <c r="AH637" s="55">
        <f>IF(AQ637="0",BJ637,0)</f>
        <v>0</v>
      </c>
      <c r="AI637" s="33" t="s">
        <v>4</v>
      </c>
      <c r="AJ637" s="55">
        <f>IF(AN637=0,I637,0)</f>
        <v>0</v>
      </c>
      <c r="AK637" s="55">
        <f>IF(AN637=12,I637,0)</f>
        <v>0</v>
      </c>
      <c r="AL637" s="55">
        <f>IF(AN637=21,I637,0)</f>
        <v>0</v>
      </c>
      <c r="AN637" s="55">
        <v>21</v>
      </c>
      <c r="AO637" s="55">
        <f>H637*0</f>
        <v>0</v>
      </c>
      <c r="AP637" s="55">
        <f>H637*(1-0)</f>
        <v>0</v>
      </c>
      <c r="AQ637" s="58" t="s">
        <v>139</v>
      </c>
      <c r="AV637" s="55">
        <f>AW637+AX637</f>
        <v>0</v>
      </c>
      <c r="AW637" s="55">
        <f>G637*AO637</f>
        <v>0</v>
      </c>
      <c r="AX637" s="55">
        <f>G637*AP637</f>
        <v>0</v>
      </c>
      <c r="AY637" s="58" t="s">
        <v>767</v>
      </c>
      <c r="AZ637" s="58" t="s">
        <v>745</v>
      </c>
      <c r="BA637" s="33" t="s">
        <v>125</v>
      </c>
      <c r="BB637" s="59">
        <v>100049</v>
      </c>
      <c r="BC637" s="55">
        <f>AW637+AX637</f>
        <v>0</v>
      </c>
      <c r="BD637" s="55">
        <f>H637/(100-BE637)*100</f>
        <v>0</v>
      </c>
      <c r="BE637" s="55">
        <v>0</v>
      </c>
      <c r="BF637" s="55">
        <f>L637</f>
        <v>0</v>
      </c>
      <c r="BH637" s="55">
        <f>G637*AO637</f>
        <v>0</v>
      </c>
      <c r="BI637" s="55">
        <f>G637*AP637</f>
        <v>0</v>
      </c>
      <c r="BJ637" s="55">
        <f>G637*H637</f>
        <v>0</v>
      </c>
      <c r="BK637" s="55"/>
      <c r="BL637" s="55">
        <v>766</v>
      </c>
      <c r="BW637" s="55">
        <v>21</v>
      </c>
      <c r="BX637" s="3" t="s">
        <v>841</v>
      </c>
    </row>
    <row r="638" spans="1:76" x14ac:dyDescent="0.25">
      <c r="A638" s="50" t="s">
        <v>4</v>
      </c>
      <c r="B638" s="51" t="s">
        <v>4</v>
      </c>
      <c r="C638" s="51" t="s">
        <v>842</v>
      </c>
      <c r="D638" s="153" t="s">
        <v>843</v>
      </c>
      <c r="E638" s="154"/>
      <c r="F638" s="52" t="s">
        <v>78</v>
      </c>
      <c r="G638" s="52" t="s">
        <v>78</v>
      </c>
      <c r="H638" s="53" t="s">
        <v>78</v>
      </c>
      <c r="I638" s="26">
        <f>SUM(I639:I675)</f>
        <v>0</v>
      </c>
      <c r="J638" s="33" t="s">
        <v>4</v>
      </c>
      <c r="K638" s="33" t="s">
        <v>4</v>
      </c>
      <c r="L638" s="26">
        <f>SUM(L639:L675)</f>
        <v>4.5431500000000007</v>
      </c>
      <c r="M638" s="54" t="s">
        <v>4</v>
      </c>
      <c r="AI638" s="33" t="s">
        <v>4</v>
      </c>
      <c r="AS638" s="26">
        <f>SUM(AJ639:AJ675)</f>
        <v>0</v>
      </c>
      <c r="AT638" s="26">
        <f>SUM(AK639:AK675)</f>
        <v>0</v>
      </c>
      <c r="AU638" s="26">
        <f>SUM(AL639:AL675)</f>
        <v>0</v>
      </c>
    </row>
    <row r="639" spans="1:76" x14ac:dyDescent="0.25">
      <c r="A639" s="1" t="s">
        <v>844</v>
      </c>
      <c r="B639" s="2" t="s">
        <v>4</v>
      </c>
      <c r="C639" s="2" t="s">
        <v>845</v>
      </c>
      <c r="D639" s="82" t="s">
        <v>846</v>
      </c>
      <c r="E639" s="83"/>
      <c r="F639" s="2" t="s">
        <v>157</v>
      </c>
      <c r="G639" s="55">
        <v>517.41999999999996</v>
      </c>
      <c r="H639" s="56">
        <v>0</v>
      </c>
      <c r="I639" s="55">
        <f>G639*H639</f>
        <v>0</v>
      </c>
      <c r="J639" s="55">
        <v>0</v>
      </c>
      <c r="K639" s="55">
        <v>7.0000000000000001E-3</v>
      </c>
      <c r="L639" s="55">
        <f>G639*K639</f>
        <v>3.6219399999999999</v>
      </c>
      <c r="M639" s="57" t="s">
        <v>122</v>
      </c>
      <c r="Z639" s="55">
        <f>IF(AQ639="5",BJ639,0)</f>
        <v>0</v>
      </c>
      <c r="AB639" s="55">
        <f>IF(AQ639="1",BH639,0)</f>
        <v>0</v>
      </c>
      <c r="AC639" s="55">
        <f>IF(AQ639="1",BI639,0)</f>
        <v>0</v>
      </c>
      <c r="AD639" s="55">
        <f>IF(AQ639="7",BH639,0)</f>
        <v>0</v>
      </c>
      <c r="AE639" s="55">
        <f>IF(AQ639="7",BI639,0)</f>
        <v>0</v>
      </c>
      <c r="AF639" s="55">
        <f>IF(AQ639="2",BH639,0)</f>
        <v>0</v>
      </c>
      <c r="AG639" s="55">
        <f>IF(AQ639="2",BI639,0)</f>
        <v>0</v>
      </c>
      <c r="AH639" s="55">
        <f>IF(AQ639="0",BJ639,0)</f>
        <v>0</v>
      </c>
      <c r="AI639" s="33" t="s">
        <v>4</v>
      </c>
      <c r="AJ639" s="55">
        <f>IF(AN639=0,I639,0)</f>
        <v>0</v>
      </c>
      <c r="AK639" s="55">
        <f>IF(AN639=12,I639,0)</f>
        <v>0</v>
      </c>
      <c r="AL639" s="55">
        <f>IF(AN639=21,I639,0)</f>
        <v>0</v>
      </c>
      <c r="AN639" s="55">
        <v>21</v>
      </c>
      <c r="AO639" s="55">
        <f>H639*0.622219015</f>
        <v>0</v>
      </c>
      <c r="AP639" s="55">
        <f>H639*(1-0.622219015)</f>
        <v>0</v>
      </c>
      <c r="AQ639" s="58" t="s">
        <v>162</v>
      </c>
      <c r="AV639" s="55">
        <f>AW639+AX639</f>
        <v>0</v>
      </c>
      <c r="AW639" s="55">
        <f>G639*AO639</f>
        <v>0</v>
      </c>
      <c r="AX639" s="55">
        <f>G639*AP639</f>
        <v>0</v>
      </c>
      <c r="AY639" s="58" t="s">
        <v>847</v>
      </c>
      <c r="AZ639" s="58" t="s">
        <v>745</v>
      </c>
      <c r="BA639" s="33" t="s">
        <v>125</v>
      </c>
      <c r="BB639" s="59">
        <v>100001</v>
      </c>
      <c r="BC639" s="55">
        <f>AW639+AX639</f>
        <v>0</v>
      </c>
      <c r="BD639" s="55">
        <f>H639/(100-BE639)*100</f>
        <v>0</v>
      </c>
      <c r="BE639" s="55">
        <v>0</v>
      </c>
      <c r="BF639" s="55">
        <f>L639</f>
        <v>3.6219399999999999</v>
      </c>
      <c r="BH639" s="55">
        <f>G639*AO639</f>
        <v>0</v>
      </c>
      <c r="BI639" s="55">
        <f>G639*AP639</f>
        <v>0</v>
      </c>
      <c r="BJ639" s="55">
        <f>G639*H639</f>
        <v>0</v>
      </c>
      <c r="BK639" s="55"/>
      <c r="BL639" s="55">
        <v>767</v>
      </c>
      <c r="BW639" s="55">
        <v>21</v>
      </c>
      <c r="BX639" s="3" t="s">
        <v>846</v>
      </c>
    </row>
    <row r="640" spans="1:76" x14ac:dyDescent="0.25">
      <c r="A640" s="60"/>
      <c r="D640" s="61" t="s">
        <v>500</v>
      </c>
      <c r="E640" s="61" t="s">
        <v>501</v>
      </c>
      <c r="G640" s="62">
        <v>15.79</v>
      </c>
      <c r="M640" s="63"/>
    </row>
    <row r="641" spans="1:13" x14ac:dyDescent="0.25">
      <c r="A641" s="60"/>
      <c r="D641" s="61" t="s">
        <v>502</v>
      </c>
      <c r="E641" s="61" t="s">
        <v>503</v>
      </c>
      <c r="G641" s="62">
        <v>2.61</v>
      </c>
      <c r="M641" s="63"/>
    </row>
    <row r="642" spans="1:13" x14ac:dyDescent="0.25">
      <c r="A642" s="60"/>
      <c r="D642" s="61" t="s">
        <v>504</v>
      </c>
      <c r="E642" s="61" t="s">
        <v>505</v>
      </c>
      <c r="G642" s="62">
        <v>1.89</v>
      </c>
      <c r="M642" s="63"/>
    </row>
    <row r="643" spans="1:13" x14ac:dyDescent="0.25">
      <c r="A643" s="60"/>
      <c r="D643" s="61" t="s">
        <v>506</v>
      </c>
      <c r="E643" s="61" t="s">
        <v>507</v>
      </c>
      <c r="G643" s="62">
        <v>5.2</v>
      </c>
      <c r="M643" s="63"/>
    </row>
    <row r="644" spans="1:13" x14ac:dyDescent="0.25">
      <c r="A644" s="60"/>
      <c r="D644" s="61" t="s">
        <v>532</v>
      </c>
      <c r="E644" s="61" t="s">
        <v>533</v>
      </c>
      <c r="G644" s="62">
        <v>22.2</v>
      </c>
      <c r="M644" s="63"/>
    </row>
    <row r="645" spans="1:13" x14ac:dyDescent="0.25">
      <c r="A645" s="60"/>
      <c r="D645" s="61" t="s">
        <v>534</v>
      </c>
      <c r="E645" s="61" t="s">
        <v>535</v>
      </c>
      <c r="G645" s="62">
        <v>21.64</v>
      </c>
      <c r="M645" s="63"/>
    </row>
    <row r="646" spans="1:13" x14ac:dyDescent="0.25">
      <c r="A646" s="60"/>
      <c r="D646" s="61" t="s">
        <v>508</v>
      </c>
      <c r="E646" s="61" t="s">
        <v>509</v>
      </c>
      <c r="G646" s="62">
        <v>4.7300000000000004</v>
      </c>
      <c r="M646" s="63"/>
    </row>
    <row r="647" spans="1:13" x14ac:dyDescent="0.25">
      <c r="A647" s="60"/>
      <c r="D647" s="61" t="s">
        <v>510</v>
      </c>
      <c r="E647" s="61" t="s">
        <v>511</v>
      </c>
      <c r="G647" s="62">
        <v>4.42</v>
      </c>
      <c r="M647" s="63"/>
    </row>
    <row r="648" spans="1:13" x14ac:dyDescent="0.25">
      <c r="A648" s="60"/>
      <c r="D648" s="61" t="s">
        <v>536</v>
      </c>
      <c r="E648" s="61" t="s">
        <v>537</v>
      </c>
      <c r="G648" s="62">
        <v>20.81</v>
      </c>
      <c r="M648" s="63"/>
    </row>
    <row r="649" spans="1:13" x14ac:dyDescent="0.25">
      <c r="A649" s="60"/>
      <c r="D649" s="61" t="s">
        <v>538</v>
      </c>
      <c r="E649" s="61" t="s">
        <v>539</v>
      </c>
      <c r="G649" s="62">
        <v>21.75</v>
      </c>
      <c r="M649" s="63"/>
    </row>
    <row r="650" spans="1:13" x14ac:dyDescent="0.25">
      <c r="A650" s="60"/>
      <c r="D650" s="61" t="s">
        <v>512</v>
      </c>
      <c r="E650" s="61" t="s">
        <v>513</v>
      </c>
      <c r="G650" s="62">
        <v>5.34</v>
      </c>
      <c r="M650" s="63"/>
    </row>
    <row r="651" spans="1:13" x14ac:dyDescent="0.25">
      <c r="A651" s="60"/>
      <c r="D651" s="61" t="s">
        <v>514</v>
      </c>
      <c r="E651" s="61" t="s">
        <v>515</v>
      </c>
      <c r="G651" s="62">
        <v>5.21</v>
      </c>
      <c r="M651" s="63"/>
    </row>
    <row r="652" spans="1:13" x14ac:dyDescent="0.25">
      <c r="A652" s="60"/>
      <c r="D652" s="61" t="s">
        <v>540</v>
      </c>
      <c r="E652" s="61" t="s">
        <v>541</v>
      </c>
      <c r="G652" s="62">
        <v>19.22</v>
      </c>
      <c r="M652" s="63"/>
    </row>
    <row r="653" spans="1:13" x14ac:dyDescent="0.25">
      <c r="A653" s="60"/>
      <c r="D653" s="61" t="s">
        <v>542</v>
      </c>
      <c r="E653" s="61" t="s">
        <v>543</v>
      </c>
      <c r="G653" s="62">
        <v>20.36</v>
      </c>
      <c r="M653" s="63"/>
    </row>
    <row r="654" spans="1:13" x14ac:dyDescent="0.25">
      <c r="A654" s="60"/>
      <c r="D654" s="61" t="s">
        <v>516</v>
      </c>
      <c r="E654" s="61" t="s">
        <v>517</v>
      </c>
      <c r="G654" s="62">
        <v>5.63</v>
      </c>
      <c r="M654" s="63"/>
    </row>
    <row r="655" spans="1:13" x14ac:dyDescent="0.25">
      <c r="A655" s="60"/>
      <c r="D655" s="61" t="s">
        <v>544</v>
      </c>
      <c r="E655" s="61" t="s">
        <v>545</v>
      </c>
      <c r="G655" s="62">
        <v>7.3</v>
      </c>
      <c r="M655" s="63"/>
    </row>
    <row r="656" spans="1:13" x14ac:dyDescent="0.25">
      <c r="A656" s="60"/>
      <c r="D656" s="61" t="s">
        <v>518</v>
      </c>
      <c r="E656" s="61" t="s">
        <v>519</v>
      </c>
      <c r="G656" s="62">
        <v>16.84</v>
      </c>
      <c r="M656" s="63"/>
    </row>
    <row r="657" spans="1:76" x14ac:dyDescent="0.25">
      <c r="A657" s="60"/>
      <c r="D657" s="61" t="s">
        <v>546</v>
      </c>
      <c r="E657" s="61" t="s">
        <v>547</v>
      </c>
      <c r="G657" s="62">
        <v>29.33</v>
      </c>
      <c r="M657" s="63"/>
    </row>
    <row r="658" spans="1:76" x14ac:dyDescent="0.25">
      <c r="A658" s="60"/>
      <c r="D658" s="61" t="s">
        <v>848</v>
      </c>
      <c r="E658" s="61" t="s">
        <v>308</v>
      </c>
      <c r="G658" s="62">
        <v>5.51</v>
      </c>
      <c r="M658" s="63"/>
    </row>
    <row r="659" spans="1:76" x14ac:dyDescent="0.25">
      <c r="A659" s="60"/>
      <c r="D659" s="61" t="s">
        <v>548</v>
      </c>
      <c r="E659" s="61" t="s">
        <v>310</v>
      </c>
      <c r="G659" s="62">
        <v>154.38</v>
      </c>
      <c r="M659" s="63"/>
    </row>
    <row r="660" spans="1:76" x14ac:dyDescent="0.25">
      <c r="A660" s="60"/>
      <c r="D660" s="61" t="s">
        <v>520</v>
      </c>
      <c r="E660" s="61" t="s">
        <v>521</v>
      </c>
      <c r="G660" s="62">
        <v>9.5500000000000007</v>
      </c>
      <c r="M660" s="63"/>
    </row>
    <row r="661" spans="1:76" x14ac:dyDescent="0.25">
      <c r="A661" s="60"/>
      <c r="D661" s="61" t="s">
        <v>522</v>
      </c>
      <c r="E661" s="61" t="s">
        <v>314</v>
      </c>
      <c r="G661" s="62">
        <v>8.5</v>
      </c>
      <c r="M661" s="63"/>
    </row>
    <row r="662" spans="1:76" x14ac:dyDescent="0.25">
      <c r="A662" s="60"/>
      <c r="D662" s="61" t="s">
        <v>849</v>
      </c>
      <c r="E662" s="61" t="s">
        <v>850</v>
      </c>
      <c r="G662" s="62">
        <v>10.4</v>
      </c>
      <c r="M662" s="63"/>
    </row>
    <row r="663" spans="1:76" x14ac:dyDescent="0.25">
      <c r="A663" s="60"/>
      <c r="D663" s="61" t="s">
        <v>523</v>
      </c>
      <c r="E663" s="61" t="s">
        <v>318</v>
      </c>
      <c r="G663" s="62">
        <v>1.86</v>
      </c>
      <c r="M663" s="63"/>
    </row>
    <row r="664" spans="1:76" x14ac:dyDescent="0.25">
      <c r="A664" s="60"/>
      <c r="D664" s="61" t="s">
        <v>524</v>
      </c>
      <c r="E664" s="61" t="s">
        <v>525</v>
      </c>
      <c r="G664" s="62">
        <v>6.51</v>
      </c>
      <c r="M664" s="63"/>
    </row>
    <row r="665" spans="1:76" x14ac:dyDescent="0.25">
      <c r="A665" s="60"/>
      <c r="D665" s="61" t="s">
        <v>549</v>
      </c>
      <c r="E665" s="61" t="s">
        <v>550</v>
      </c>
      <c r="G665" s="62">
        <v>36.67</v>
      </c>
      <c r="M665" s="63"/>
    </row>
    <row r="666" spans="1:76" x14ac:dyDescent="0.25">
      <c r="A666" s="60"/>
      <c r="D666" s="61" t="s">
        <v>526</v>
      </c>
      <c r="E666" s="61" t="s">
        <v>324</v>
      </c>
      <c r="G666" s="62">
        <v>4.93</v>
      </c>
      <c r="M666" s="63"/>
    </row>
    <row r="667" spans="1:76" x14ac:dyDescent="0.25">
      <c r="A667" s="60"/>
      <c r="D667" s="61" t="s">
        <v>527</v>
      </c>
      <c r="E667" s="61" t="s">
        <v>528</v>
      </c>
      <c r="G667" s="62">
        <v>4.87</v>
      </c>
      <c r="M667" s="63"/>
    </row>
    <row r="668" spans="1:76" x14ac:dyDescent="0.25">
      <c r="A668" s="60"/>
      <c r="D668" s="61" t="s">
        <v>551</v>
      </c>
      <c r="E668" s="61" t="s">
        <v>552</v>
      </c>
      <c r="G668" s="62">
        <v>25.08</v>
      </c>
      <c r="M668" s="63"/>
    </row>
    <row r="669" spans="1:76" x14ac:dyDescent="0.25">
      <c r="A669" s="60"/>
      <c r="D669" s="61" t="s">
        <v>553</v>
      </c>
      <c r="E669" s="61" t="s">
        <v>554</v>
      </c>
      <c r="G669" s="62">
        <v>18.89</v>
      </c>
      <c r="M669" s="63"/>
    </row>
    <row r="670" spans="1:76" x14ac:dyDescent="0.25">
      <c r="A670" s="1" t="s">
        <v>851</v>
      </c>
      <c r="B670" s="2" t="s">
        <v>4</v>
      </c>
      <c r="C670" s="2" t="s">
        <v>852</v>
      </c>
      <c r="D670" s="82">
        <v>3</v>
      </c>
      <c r="E670" s="83"/>
      <c r="F670" s="2" t="s">
        <v>805</v>
      </c>
      <c r="G670" s="55">
        <v>1</v>
      </c>
      <c r="H670" s="56">
        <v>0</v>
      </c>
      <c r="I670" s="55">
        <f>G670*H670</f>
        <v>0</v>
      </c>
      <c r="J670" s="55">
        <v>0.33</v>
      </c>
      <c r="K670" s="55">
        <v>0.79547000000000001</v>
      </c>
      <c r="L670" s="55">
        <f>G670*K670</f>
        <v>0.79547000000000001</v>
      </c>
      <c r="M670" s="57" t="s">
        <v>122</v>
      </c>
      <c r="Z670" s="55">
        <f>IF(AQ670="5",BJ670,0)</f>
        <v>0</v>
      </c>
      <c r="AB670" s="55">
        <f>IF(AQ670="1",BH670,0)</f>
        <v>0</v>
      </c>
      <c r="AC670" s="55">
        <f>IF(AQ670="1",BI670,0)</f>
        <v>0</v>
      </c>
      <c r="AD670" s="55">
        <f>IF(AQ670="7",BH670,0)</f>
        <v>0</v>
      </c>
      <c r="AE670" s="55">
        <f>IF(AQ670="7",BI670,0)</f>
        <v>0</v>
      </c>
      <c r="AF670" s="55">
        <f>IF(AQ670="2",BH670,0)</f>
        <v>0</v>
      </c>
      <c r="AG670" s="55">
        <f>IF(AQ670="2",BI670,0)</f>
        <v>0</v>
      </c>
      <c r="AH670" s="55">
        <f>IF(AQ670="0",BJ670,0)</f>
        <v>0</v>
      </c>
      <c r="AI670" s="33" t="s">
        <v>4</v>
      </c>
      <c r="AJ670" s="55">
        <f>IF(AN670=0,I670,0)</f>
        <v>0</v>
      </c>
      <c r="AK670" s="55">
        <f>IF(AN670=12,I670,0)</f>
        <v>0</v>
      </c>
      <c r="AL670" s="55">
        <f>IF(AN670=21,I670,0)</f>
        <v>0</v>
      </c>
      <c r="AN670" s="55">
        <v>21</v>
      </c>
      <c r="AO670" s="55">
        <f>H670*0.1967</f>
        <v>0</v>
      </c>
      <c r="AP670" s="55">
        <f>H670*(1-0.1967)</f>
        <v>0</v>
      </c>
      <c r="AQ670" s="58" t="s">
        <v>162</v>
      </c>
      <c r="AV670" s="55">
        <f>AW670+AX670</f>
        <v>0</v>
      </c>
      <c r="AW670" s="55">
        <f>G670*AO670</f>
        <v>0</v>
      </c>
      <c r="AX670" s="55">
        <f>G670*AP670</f>
        <v>0</v>
      </c>
      <c r="AY670" s="58" t="s">
        <v>847</v>
      </c>
      <c r="AZ670" s="58" t="s">
        <v>745</v>
      </c>
      <c r="BA670" s="33" t="s">
        <v>125</v>
      </c>
      <c r="BB670" s="59">
        <v>100001</v>
      </c>
      <c r="BC670" s="55">
        <f>AW670+AX670</f>
        <v>0</v>
      </c>
      <c r="BD670" s="55">
        <f>H670/(100-BE670)*100</f>
        <v>0</v>
      </c>
      <c r="BE670" s="55">
        <v>0</v>
      </c>
      <c r="BF670" s="55">
        <f>L670</f>
        <v>0.79547000000000001</v>
      </c>
      <c r="BH670" s="55">
        <f>G670*AO670</f>
        <v>0</v>
      </c>
      <c r="BI670" s="55">
        <f>G670*AP670</f>
        <v>0</v>
      </c>
      <c r="BJ670" s="55">
        <f>G670*H670</f>
        <v>0</v>
      </c>
      <c r="BK670" s="55"/>
      <c r="BL670" s="55">
        <v>767</v>
      </c>
      <c r="BW670" s="55">
        <v>21</v>
      </c>
      <c r="BX670" s="3" t="s">
        <v>853</v>
      </c>
    </row>
    <row r="671" spans="1:76" x14ac:dyDescent="0.25">
      <c r="A671" s="60"/>
      <c r="D671" s="61" t="s">
        <v>118</v>
      </c>
      <c r="E671" s="61" t="s">
        <v>461</v>
      </c>
      <c r="G671" s="62">
        <v>1</v>
      </c>
      <c r="M671" s="63"/>
    </row>
    <row r="672" spans="1:76" x14ac:dyDescent="0.25">
      <c r="A672" s="1" t="s">
        <v>854</v>
      </c>
      <c r="B672" s="2" t="s">
        <v>4</v>
      </c>
      <c r="C672" s="2" t="s">
        <v>855</v>
      </c>
      <c r="D672" s="82" t="s">
        <v>856</v>
      </c>
      <c r="E672" s="83"/>
      <c r="F672" s="2" t="s">
        <v>145</v>
      </c>
      <c r="G672" s="55">
        <v>1</v>
      </c>
      <c r="H672" s="56">
        <v>0</v>
      </c>
      <c r="I672" s="55">
        <f>G672*H672</f>
        <v>0</v>
      </c>
      <c r="J672" s="55">
        <v>0</v>
      </c>
      <c r="K672" s="55">
        <v>0.12573999999999999</v>
      </c>
      <c r="L672" s="55">
        <f>G672*K672</f>
        <v>0.12573999999999999</v>
      </c>
      <c r="M672" s="57" t="s">
        <v>122</v>
      </c>
      <c r="Z672" s="55">
        <f>IF(AQ672="5",BJ672,0)</f>
        <v>0</v>
      </c>
      <c r="AB672" s="55">
        <f>IF(AQ672="1",BH672,0)</f>
        <v>0</v>
      </c>
      <c r="AC672" s="55">
        <f>IF(AQ672="1",BI672,0)</f>
        <v>0</v>
      </c>
      <c r="AD672" s="55">
        <f>IF(AQ672="7",BH672,0)</f>
        <v>0</v>
      </c>
      <c r="AE672" s="55">
        <f>IF(AQ672="7",BI672,0)</f>
        <v>0</v>
      </c>
      <c r="AF672" s="55">
        <f>IF(AQ672="2",BH672,0)</f>
        <v>0</v>
      </c>
      <c r="AG672" s="55">
        <f>IF(AQ672="2",BI672,0)</f>
        <v>0</v>
      </c>
      <c r="AH672" s="55">
        <f>IF(AQ672="0",BJ672,0)</f>
        <v>0</v>
      </c>
      <c r="AI672" s="33" t="s">
        <v>4</v>
      </c>
      <c r="AJ672" s="55">
        <f>IF(AN672=0,I672,0)</f>
        <v>0</v>
      </c>
      <c r="AK672" s="55">
        <f>IF(AN672=12,I672,0)</f>
        <v>0</v>
      </c>
      <c r="AL672" s="55">
        <f>IF(AN672=21,I672,0)</f>
        <v>0</v>
      </c>
      <c r="AN672" s="55">
        <v>21</v>
      </c>
      <c r="AO672" s="55">
        <f>H672*0.958561528</f>
        <v>0</v>
      </c>
      <c r="AP672" s="55">
        <f>H672*(1-0.958561528)</f>
        <v>0</v>
      </c>
      <c r="AQ672" s="58" t="s">
        <v>162</v>
      </c>
      <c r="AV672" s="55">
        <f>AW672+AX672</f>
        <v>0</v>
      </c>
      <c r="AW672" s="55">
        <f>G672*AO672</f>
        <v>0</v>
      </c>
      <c r="AX672" s="55">
        <f>G672*AP672</f>
        <v>0</v>
      </c>
      <c r="AY672" s="58" t="s">
        <v>847</v>
      </c>
      <c r="AZ672" s="58" t="s">
        <v>745</v>
      </c>
      <c r="BA672" s="33" t="s">
        <v>125</v>
      </c>
      <c r="BB672" s="59">
        <v>100001</v>
      </c>
      <c r="BC672" s="55">
        <f>AW672+AX672</f>
        <v>0</v>
      </c>
      <c r="BD672" s="55">
        <f>H672/(100-BE672)*100</f>
        <v>0</v>
      </c>
      <c r="BE672" s="55">
        <v>0</v>
      </c>
      <c r="BF672" s="55">
        <f>L672</f>
        <v>0.12573999999999999</v>
      </c>
      <c r="BH672" s="55">
        <f>G672*AO672</f>
        <v>0</v>
      </c>
      <c r="BI672" s="55">
        <f>G672*AP672</f>
        <v>0</v>
      </c>
      <c r="BJ672" s="55">
        <f>G672*H672</f>
        <v>0</v>
      </c>
      <c r="BK672" s="55"/>
      <c r="BL672" s="55">
        <v>767</v>
      </c>
      <c r="BW672" s="55">
        <v>21</v>
      </c>
      <c r="BX672" s="3" t="s">
        <v>856</v>
      </c>
    </row>
    <row r="673" spans="1:76" ht="13.5" customHeight="1" x14ac:dyDescent="0.25">
      <c r="A673" s="60"/>
      <c r="D673" s="155" t="s">
        <v>857</v>
      </c>
      <c r="E673" s="156"/>
      <c r="F673" s="156"/>
      <c r="G673" s="156"/>
      <c r="H673" s="157"/>
      <c r="I673" s="156"/>
      <c r="J673" s="156"/>
      <c r="K673" s="156"/>
      <c r="L673" s="156"/>
      <c r="M673" s="158"/>
    </row>
    <row r="674" spans="1:76" x14ac:dyDescent="0.25">
      <c r="A674" s="60"/>
      <c r="D674" s="61" t="s">
        <v>118</v>
      </c>
      <c r="E674" s="61" t="s">
        <v>4</v>
      </c>
      <c r="G674" s="62">
        <v>1</v>
      </c>
      <c r="M674" s="63"/>
    </row>
    <row r="675" spans="1:76" x14ac:dyDescent="0.25">
      <c r="A675" s="1" t="s">
        <v>858</v>
      </c>
      <c r="B675" s="2" t="s">
        <v>4</v>
      </c>
      <c r="C675" s="2" t="s">
        <v>859</v>
      </c>
      <c r="D675" s="82" t="s">
        <v>860</v>
      </c>
      <c r="E675" s="83"/>
      <c r="F675" s="2" t="s">
        <v>132</v>
      </c>
      <c r="G675" s="55">
        <v>5.1031500000000003</v>
      </c>
      <c r="H675" s="56">
        <v>0</v>
      </c>
      <c r="I675" s="55">
        <f>G675*H675</f>
        <v>0</v>
      </c>
      <c r="J675" s="55">
        <v>0</v>
      </c>
      <c r="K675" s="55">
        <v>0</v>
      </c>
      <c r="L675" s="55">
        <f>G675*K675</f>
        <v>0</v>
      </c>
      <c r="M675" s="57" t="s">
        <v>122</v>
      </c>
      <c r="Z675" s="55">
        <f>IF(AQ675="5",BJ675,0)</f>
        <v>0</v>
      </c>
      <c r="AB675" s="55">
        <f>IF(AQ675="1",BH675,0)</f>
        <v>0</v>
      </c>
      <c r="AC675" s="55">
        <f>IF(AQ675="1",BI675,0)</f>
        <v>0</v>
      </c>
      <c r="AD675" s="55">
        <f>IF(AQ675="7",BH675,0)</f>
        <v>0</v>
      </c>
      <c r="AE675" s="55">
        <f>IF(AQ675="7",BI675,0)</f>
        <v>0</v>
      </c>
      <c r="AF675" s="55">
        <f>IF(AQ675="2",BH675,0)</f>
        <v>0</v>
      </c>
      <c r="AG675" s="55">
        <f>IF(AQ675="2",BI675,0)</f>
        <v>0</v>
      </c>
      <c r="AH675" s="55">
        <f>IF(AQ675="0",BJ675,0)</f>
        <v>0</v>
      </c>
      <c r="AI675" s="33" t="s">
        <v>4</v>
      </c>
      <c r="AJ675" s="55">
        <f>IF(AN675=0,I675,0)</f>
        <v>0</v>
      </c>
      <c r="AK675" s="55">
        <f>IF(AN675=12,I675,0)</f>
        <v>0</v>
      </c>
      <c r="AL675" s="55">
        <f>IF(AN675=21,I675,0)</f>
        <v>0</v>
      </c>
      <c r="AN675" s="55">
        <v>21</v>
      </c>
      <c r="AO675" s="55">
        <f>H675*0</f>
        <v>0</v>
      </c>
      <c r="AP675" s="55">
        <f>H675*(1-0)</f>
        <v>0</v>
      </c>
      <c r="AQ675" s="58" t="s">
        <v>139</v>
      </c>
      <c r="AV675" s="55">
        <f>AW675+AX675</f>
        <v>0</v>
      </c>
      <c r="AW675" s="55">
        <f>G675*AO675</f>
        <v>0</v>
      </c>
      <c r="AX675" s="55">
        <f>G675*AP675</f>
        <v>0</v>
      </c>
      <c r="AY675" s="58" t="s">
        <v>847</v>
      </c>
      <c r="AZ675" s="58" t="s">
        <v>745</v>
      </c>
      <c r="BA675" s="33" t="s">
        <v>125</v>
      </c>
      <c r="BB675" s="59">
        <v>100050</v>
      </c>
      <c r="BC675" s="55">
        <f>AW675+AX675</f>
        <v>0</v>
      </c>
      <c r="BD675" s="55">
        <f>H675/(100-BE675)*100</f>
        <v>0</v>
      </c>
      <c r="BE675" s="55">
        <v>0</v>
      </c>
      <c r="BF675" s="55">
        <f>L675</f>
        <v>0</v>
      </c>
      <c r="BH675" s="55">
        <f>G675*AO675</f>
        <v>0</v>
      </c>
      <c r="BI675" s="55">
        <f>G675*AP675</f>
        <v>0</v>
      </c>
      <c r="BJ675" s="55">
        <f>G675*H675</f>
        <v>0</v>
      </c>
      <c r="BK675" s="55"/>
      <c r="BL675" s="55">
        <v>767</v>
      </c>
      <c r="BW675" s="55">
        <v>21</v>
      </c>
      <c r="BX675" s="3" t="s">
        <v>860</v>
      </c>
    </row>
    <row r="676" spans="1:76" x14ac:dyDescent="0.25">
      <c r="A676" s="50" t="s">
        <v>4</v>
      </c>
      <c r="B676" s="51" t="s">
        <v>4</v>
      </c>
      <c r="C676" s="51" t="s">
        <v>861</v>
      </c>
      <c r="D676" s="153" t="s">
        <v>862</v>
      </c>
      <c r="E676" s="154"/>
      <c r="F676" s="52" t="s">
        <v>78</v>
      </c>
      <c r="G676" s="52" t="s">
        <v>78</v>
      </c>
      <c r="H676" s="53" t="s">
        <v>78</v>
      </c>
      <c r="I676" s="26">
        <f>SUM(I677:I766)</f>
        <v>0</v>
      </c>
      <c r="J676" s="33" t="s">
        <v>4</v>
      </c>
      <c r="K676" s="33" t="s">
        <v>4</v>
      </c>
      <c r="L676" s="26">
        <f>SUM(L677:L766)</f>
        <v>2.9335476359999997</v>
      </c>
      <c r="M676" s="54" t="s">
        <v>4</v>
      </c>
      <c r="AI676" s="33" t="s">
        <v>4</v>
      </c>
      <c r="AS676" s="26">
        <f>SUM(AJ677:AJ766)</f>
        <v>0</v>
      </c>
      <c r="AT676" s="26">
        <f>SUM(AK677:AK766)</f>
        <v>0</v>
      </c>
      <c r="AU676" s="26">
        <f>SUM(AL677:AL766)</f>
        <v>0</v>
      </c>
    </row>
    <row r="677" spans="1:76" x14ac:dyDescent="0.25">
      <c r="A677" s="1" t="s">
        <v>863</v>
      </c>
      <c r="B677" s="2" t="s">
        <v>4</v>
      </c>
      <c r="C677" s="2" t="s">
        <v>864</v>
      </c>
      <c r="D677" s="82" t="s">
        <v>865</v>
      </c>
      <c r="E677" s="83"/>
      <c r="F677" s="2" t="s">
        <v>157</v>
      </c>
      <c r="G677" s="55">
        <v>109.39</v>
      </c>
      <c r="H677" s="56">
        <v>0</v>
      </c>
      <c r="I677" s="55">
        <f>G677*H677</f>
        <v>0</v>
      </c>
      <c r="J677" s="55">
        <v>0</v>
      </c>
      <c r="K677" s="55">
        <v>2.1000000000000001E-4</v>
      </c>
      <c r="L677" s="55">
        <f>G677*K677</f>
        <v>2.29719E-2</v>
      </c>
      <c r="M677" s="57" t="s">
        <v>122</v>
      </c>
      <c r="Z677" s="55">
        <f>IF(AQ677="5",BJ677,0)</f>
        <v>0</v>
      </c>
      <c r="AB677" s="55">
        <f>IF(AQ677="1",BH677,0)</f>
        <v>0</v>
      </c>
      <c r="AC677" s="55">
        <f>IF(AQ677="1",BI677,0)</f>
        <v>0</v>
      </c>
      <c r="AD677" s="55">
        <f>IF(AQ677="7",BH677,0)</f>
        <v>0</v>
      </c>
      <c r="AE677" s="55">
        <f>IF(AQ677="7",BI677,0)</f>
        <v>0</v>
      </c>
      <c r="AF677" s="55">
        <f>IF(AQ677="2",BH677,0)</f>
        <v>0</v>
      </c>
      <c r="AG677" s="55">
        <f>IF(AQ677="2",BI677,0)</f>
        <v>0</v>
      </c>
      <c r="AH677" s="55">
        <f>IF(AQ677="0",BJ677,0)</f>
        <v>0</v>
      </c>
      <c r="AI677" s="33" t="s">
        <v>4</v>
      </c>
      <c r="AJ677" s="55">
        <f>IF(AN677=0,I677,0)</f>
        <v>0</v>
      </c>
      <c r="AK677" s="55">
        <f>IF(AN677=12,I677,0)</f>
        <v>0</v>
      </c>
      <c r="AL677" s="55">
        <f>IF(AN677=21,I677,0)</f>
        <v>0</v>
      </c>
      <c r="AN677" s="55">
        <v>21</v>
      </c>
      <c r="AO677" s="55">
        <f>H677*0.472426153</f>
        <v>0</v>
      </c>
      <c r="AP677" s="55">
        <f>H677*(1-0.472426153)</f>
        <v>0</v>
      </c>
      <c r="AQ677" s="58" t="s">
        <v>162</v>
      </c>
      <c r="AV677" s="55">
        <f>AW677+AX677</f>
        <v>0</v>
      </c>
      <c r="AW677" s="55">
        <f>G677*AO677</f>
        <v>0</v>
      </c>
      <c r="AX677" s="55">
        <f>G677*AP677</f>
        <v>0</v>
      </c>
      <c r="AY677" s="58" t="s">
        <v>866</v>
      </c>
      <c r="AZ677" s="58" t="s">
        <v>867</v>
      </c>
      <c r="BA677" s="33" t="s">
        <v>125</v>
      </c>
      <c r="BB677" s="59">
        <v>100011</v>
      </c>
      <c r="BC677" s="55">
        <f>AW677+AX677</f>
        <v>0</v>
      </c>
      <c r="BD677" s="55">
        <f>H677/(100-BE677)*100</f>
        <v>0</v>
      </c>
      <c r="BE677" s="55">
        <v>0</v>
      </c>
      <c r="BF677" s="55">
        <f>L677</f>
        <v>2.29719E-2</v>
      </c>
      <c r="BH677" s="55">
        <f>G677*AO677</f>
        <v>0</v>
      </c>
      <c r="BI677" s="55">
        <f>G677*AP677</f>
        <v>0</v>
      </c>
      <c r="BJ677" s="55">
        <f>G677*H677</f>
        <v>0</v>
      </c>
      <c r="BK677" s="55"/>
      <c r="BL677" s="55">
        <v>771</v>
      </c>
      <c r="BW677" s="55">
        <v>21</v>
      </c>
      <c r="BX677" s="3" t="s">
        <v>865</v>
      </c>
    </row>
    <row r="678" spans="1:76" x14ac:dyDescent="0.25">
      <c r="A678" s="60"/>
      <c r="D678" s="61" t="s">
        <v>500</v>
      </c>
      <c r="E678" s="61" t="s">
        <v>501</v>
      </c>
      <c r="G678" s="62">
        <v>15.79</v>
      </c>
      <c r="M678" s="63"/>
    </row>
    <row r="679" spans="1:76" x14ac:dyDescent="0.25">
      <c r="A679" s="60"/>
      <c r="D679" s="61" t="s">
        <v>502</v>
      </c>
      <c r="E679" s="61" t="s">
        <v>503</v>
      </c>
      <c r="G679" s="62">
        <v>2.61</v>
      </c>
      <c r="M679" s="63"/>
    </row>
    <row r="680" spans="1:76" x14ac:dyDescent="0.25">
      <c r="A680" s="60"/>
      <c r="D680" s="61" t="s">
        <v>504</v>
      </c>
      <c r="E680" s="61" t="s">
        <v>505</v>
      </c>
      <c r="G680" s="62">
        <v>1.89</v>
      </c>
      <c r="M680" s="63"/>
    </row>
    <row r="681" spans="1:76" x14ac:dyDescent="0.25">
      <c r="A681" s="60"/>
      <c r="D681" s="61" t="s">
        <v>506</v>
      </c>
      <c r="E681" s="61" t="s">
        <v>507</v>
      </c>
      <c r="G681" s="62">
        <v>5.2</v>
      </c>
      <c r="M681" s="63"/>
    </row>
    <row r="682" spans="1:76" x14ac:dyDescent="0.25">
      <c r="A682" s="60"/>
      <c r="D682" s="61" t="s">
        <v>508</v>
      </c>
      <c r="E682" s="61" t="s">
        <v>509</v>
      </c>
      <c r="G682" s="62">
        <v>4.7300000000000004</v>
      </c>
      <c r="M682" s="63"/>
    </row>
    <row r="683" spans="1:76" x14ac:dyDescent="0.25">
      <c r="A683" s="60"/>
      <c r="D683" s="61" t="s">
        <v>510</v>
      </c>
      <c r="E683" s="61" t="s">
        <v>511</v>
      </c>
      <c r="G683" s="62">
        <v>4.42</v>
      </c>
      <c r="M683" s="63"/>
    </row>
    <row r="684" spans="1:76" x14ac:dyDescent="0.25">
      <c r="A684" s="60"/>
      <c r="D684" s="61" t="s">
        <v>512</v>
      </c>
      <c r="E684" s="61" t="s">
        <v>513</v>
      </c>
      <c r="G684" s="62">
        <v>5.34</v>
      </c>
      <c r="M684" s="63"/>
    </row>
    <row r="685" spans="1:76" x14ac:dyDescent="0.25">
      <c r="A685" s="60"/>
      <c r="D685" s="61" t="s">
        <v>514</v>
      </c>
      <c r="E685" s="61" t="s">
        <v>515</v>
      </c>
      <c r="G685" s="62">
        <v>5.21</v>
      </c>
      <c r="M685" s="63"/>
    </row>
    <row r="686" spans="1:76" x14ac:dyDescent="0.25">
      <c r="A686" s="60"/>
      <c r="D686" s="61" t="s">
        <v>516</v>
      </c>
      <c r="E686" s="61" t="s">
        <v>517</v>
      </c>
      <c r="G686" s="62">
        <v>5.63</v>
      </c>
      <c r="M686" s="63"/>
    </row>
    <row r="687" spans="1:76" x14ac:dyDescent="0.25">
      <c r="A687" s="60"/>
      <c r="D687" s="61" t="s">
        <v>518</v>
      </c>
      <c r="E687" s="61" t="s">
        <v>519</v>
      </c>
      <c r="G687" s="62">
        <v>16.84</v>
      </c>
      <c r="M687" s="63"/>
    </row>
    <row r="688" spans="1:76" x14ac:dyDescent="0.25">
      <c r="A688" s="60"/>
      <c r="D688" s="61" t="s">
        <v>848</v>
      </c>
      <c r="E688" s="61" t="s">
        <v>308</v>
      </c>
      <c r="G688" s="62">
        <v>5.51</v>
      </c>
      <c r="M688" s="63"/>
    </row>
    <row r="689" spans="1:76" x14ac:dyDescent="0.25">
      <c r="A689" s="60"/>
      <c r="D689" s="61" t="s">
        <v>520</v>
      </c>
      <c r="E689" s="61" t="s">
        <v>521</v>
      </c>
      <c r="G689" s="62">
        <v>9.5500000000000007</v>
      </c>
      <c r="M689" s="63"/>
    </row>
    <row r="690" spans="1:76" x14ac:dyDescent="0.25">
      <c r="A690" s="60"/>
      <c r="D690" s="61" t="s">
        <v>522</v>
      </c>
      <c r="E690" s="61" t="s">
        <v>314</v>
      </c>
      <c r="G690" s="62">
        <v>8.5</v>
      </c>
      <c r="M690" s="63"/>
    </row>
    <row r="691" spans="1:76" x14ac:dyDescent="0.25">
      <c r="A691" s="60"/>
      <c r="D691" s="61" t="s">
        <v>523</v>
      </c>
      <c r="E691" s="61" t="s">
        <v>318</v>
      </c>
      <c r="G691" s="62">
        <v>1.86</v>
      </c>
      <c r="M691" s="63"/>
    </row>
    <row r="692" spans="1:76" x14ac:dyDescent="0.25">
      <c r="A692" s="60"/>
      <c r="D692" s="61" t="s">
        <v>524</v>
      </c>
      <c r="E692" s="61" t="s">
        <v>525</v>
      </c>
      <c r="G692" s="62">
        <v>6.51</v>
      </c>
      <c r="M692" s="63"/>
    </row>
    <row r="693" spans="1:76" x14ac:dyDescent="0.25">
      <c r="A693" s="60"/>
      <c r="D693" s="61" t="s">
        <v>526</v>
      </c>
      <c r="E693" s="61" t="s">
        <v>324</v>
      </c>
      <c r="G693" s="62">
        <v>4.93</v>
      </c>
      <c r="M693" s="63"/>
    </row>
    <row r="694" spans="1:76" x14ac:dyDescent="0.25">
      <c r="A694" s="60"/>
      <c r="D694" s="61" t="s">
        <v>527</v>
      </c>
      <c r="E694" s="61" t="s">
        <v>528</v>
      </c>
      <c r="G694" s="62">
        <v>4.87</v>
      </c>
      <c r="M694" s="63"/>
    </row>
    <row r="695" spans="1:76" ht="25.5" x14ac:dyDescent="0.25">
      <c r="A695" s="60"/>
      <c r="C695" s="64" t="s">
        <v>127</v>
      </c>
      <c r="D695" s="159" t="s">
        <v>868</v>
      </c>
      <c r="E695" s="160"/>
      <c r="F695" s="160"/>
      <c r="G695" s="160"/>
      <c r="H695" s="161"/>
      <c r="I695" s="160"/>
      <c r="J695" s="160"/>
      <c r="K695" s="160"/>
      <c r="L695" s="160"/>
      <c r="M695" s="162"/>
      <c r="BX695" s="65" t="s">
        <v>868</v>
      </c>
    </row>
    <row r="696" spans="1:76" x14ac:dyDescent="0.25">
      <c r="A696" s="1" t="s">
        <v>869</v>
      </c>
      <c r="B696" s="2" t="s">
        <v>4</v>
      </c>
      <c r="C696" s="2" t="s">
        <v>870</v>
      </c>
      <c r="D696" s="82" t="s">
        <v>871</v>
      </c>
      <c r="E696" s="83"/>
      <c r="F696" s="2" t="s">
        <v>157</v>
      </c>
      <c r="G696" s="55">
        <v>109.39</v>
      </c>
      <c r="H696" s="56">
        <v>0</v>
      </c>
      <c r="I696" s="55">
        <f>G696*H696</f>
        <v>0</v>
      </c>
      <c r="J696" s="55">
        <v>0</v>
      </c>
      <c r="K696" s="55">
        <v>5.3600000000000002E-3</v>
      </c>
      <c r="L696" s="55">
        <f>G696*K696</f>
        <v>0.58633040000000003</v>
      </c>
      <c r="M696" s="57" t="s">
        <v>122</v>
      </c>
      <c r="Z696" s="55">
        <f>IF(AQ696="5",BJ696,0)</f>
        <v>0</v>
      </c>
      <c r="AB696" s="55">
        <f>IF(AQ696="1",BH696,0)</f>
        <v>0</v>
      </c>
      <c r="AC696" s="55">
        <f>IF(AQ696="1",BI696,0)</f>
        <v>0</v>
      </c>
      <c r="AD696" s="55">
        <f>IF(AQ696="7",BH696,0)</f>
        <v>0</v>
      </c>
      <c r="AE696" s="55">
        <f>IF(AQ696="7",BI696,0)</f>
        <v>0</v>
      </c>
      <c r="AF696" s="55">
        <f>IF(AQ696="2",BH696,0)</f>
        <v>0</v>
      </c>
      <c r="AG696" s="55">
        <f>IF(AQ696="2",BI696,0)</f>
        <v>0</v>
      </c>
      <c r="AH696" s="55">
        <f>IF(AQ696="0",BJ696,0)</f>
        <v>0</v>
      </c>
      <c r="AI696" s="33" t="s">
        <v>4</v>
      </c>
      <c r="AJ696" s="55">
        <f>IF(AN696=0,I696,0)</f>
        <v>0</v>
      </c>
      <c r="AK696" s="55">
        <f>IF(AN696=12,I696,0)</f>
        <v>0</v>
      </c>
      <c r="AL696" s="55">
        <f>IF(AN696=21,I696,0)</f>
        <v>0</v>
      </c>
      <c r="AN696" s="55">
        <v>21</v>
      </c>
      <c r="AO696" s="55">
        <f>H696*0.21774675</f>
        <v>0</v>
      </c>
      <c r="AP696" s="55">
        <f>H696*(1-0.21774675)</f>
        <v>0</v>
      </c>
      <c r="AQ696" s="58" t="s">
        <v>162</v>
      </c>
      <c r="AV696" s="55">
        <f>AW696+AX696</f>
        <v>0</v>
      </c>
      <c r="AW696" s="55">
        <f>G696*AO696</f>
        <v>0</v>
      </c>
      <c r="AX696" s="55">
        <f>G696*AP696</f>
        <v>0</v>
      </c>
      <c r="AY696" s="58" t="s">
        <v>866</v>
      </c>
      <c r="AZ696" s="58" t="s">
        <v>867</v>
      </c>
      <c r="BA696" s="33" t="s">
        <v>125</v>
      </c>
      <c r="BB696" s="59">
        <v>100011</v>
      </c>
      <c r="BC696" s="55">
        <f>AW696+AX696</f>
        <v>0</v>
      </c>
      <c r="BD696" s="55">
        <f>H696/(100-BE696)*100</f>
        <v>0</v>
      </c>
      <c r="BE696" s="55">
        <v>0</v>
      </c>
      <c r="BF696" s="55">
        <f>L696</f>
        <v>0.58633040000000003</v>
      </c>
      <c r="BH696" s="55">
        <f>G696*AO696</f>
        <v>0</v>
      </c>
      <c r="BI696" s="55">
        <f>G696*AP696</f>
        <v>0</v>
      </c>
      <c r="BJ696" s="55">
        <f>G696*H696</f>
        <v>0</v>
      </c>
      <c r="BK696" s="55"/>
      <c r="BL696" s="55">
        <v>771</v>
      </c>
      <c r="BW696" s="55">
        <v>21</v>
      </c>
      <c r="BX696" s="3" t="s">
        <v>871</v>
      </c>
    </row>
    <row r="697" spans="1:76" ht="13.5" customHeight="1" x14ac:dyDescent="0.25">
      <c r="A697" s="60"/>
      <c r="D697" s="155" t="s">
        <v>872</v>
      </c>
      <c r="E697" s="156"/>
      <c r="F697" s="156"/>
      <c r="G697" s="156"/>
      <c r="H697" s="157"/>
      <c r="I697" s="156"/>
      <c r="J697" s="156"/>
      <c r="K697" s="156"/>
      <c r="L697" s="156"/>
      <c r="M697" s="158"/>
    </row>
    <row r="698" spans="1:76" x14ac:dyDescent="0.25">
      <c r="A698" s="60"/>
      <c r="D698" s="61" t="s">
        <v>500</v>
      </c>
      <c r="E698" s="61" t="s">
        <v>501</v>
      </c>
      <c r="G698" s="62">
        <v>15.79</v>
      </c>
      <c r="M698" s="63"/>
    </row>
    <row r="699" spans="1:76" x14ac:dyDescent="0.25">
      <c r="A699" s="60"/>
      <c r="D699" s="61" t="s">
        <v>502</v>
      </c>
      <c r="E699" s="61" t="s">
        <v>503</v>
      </c>
      <c r="G699" s="62">
        <v>2.61</v>
      </c>
      <c r="M699" s="63"/>
    </row>
    <row r="700" spans="1:76" x14ac:dyDescent="0.25">
      <c r="A700" s="60"/>
      <c r="D700" s="61" t="s">
        <v>504</v>
      </c>
      <c r="E700" s="61" t="s">
        <v>505</v>
      </c>
      <c r="G700" s="62">
        <v>1.89</v>
      </c>
      <c r="M700" s="63"/>
    </row>
    <row r="701" spans="1:76" x14ac:dyDescent="0.25">
      <c r="A701" s="60"/>
      <c r="D701" s="61" t="s">
        <v>506</v>
      </c>
      <c r="E701" s="61" t="s">
        <v>507</v>
      </c>
      <c r="G701" s="62">
        <v>5.2</v>
      </c>
      <c r="M701" s="63"/>
    </row>
    <row r="702" spans="1:76" x14ac:dyDescent="0.25">
      <c r="A702" s="60"/>
      <c r="D702" s="61" t="s">
        <v>508</v>
      </c>
      <c r="E702" s="61" t="s">
        <v>509</v>
      </c>
      <c r="G702" s="62">
        <v>4.7300000000000004</v>
      </c>
      <c r="M702" s="63"/>
    </row>
    <row r="703" spans="1:76" x14ac:dyDescent="0.25">
      <c r="A703" s="60"/>
      <c r="D703" s="61" t="s">
        <v>510</v>
      </c>
      <c r="E703" s="61" t="s">
        <v>511</v>
      </c>
      <c r="G703" s="62">
        <v>4.42</v>
      </c>
      <c r="M703" s="63"/>
    </row>
    <row r="704" spans="1:76" x14ac:dyDescent="0.25">
      <c r="A704" s="60"/>
      <c r="D704" s="61" t="s">
        <v>512</v>
      </c>
      <c r="E704" s="61" t="s">
        <v>513</v>
      </c>
      <c r="G704" s="62">
        <v>5.34</v>
      </c>
      <c r="M704" s="63"/>
    </row>
    <row r="705" spans="1:76" x14ac:dyDescent="0.25">
      <c r="A705" s="60"/>
      <c r="D705" s="61" t="s">
        <v>514</v>
      </c>
      <c r="E705" s="61" t="s">
        <v>515</v>
      </c>
      <c r="G705" s="62">
        <v>5.21</v>
      </c>
      <c r="M705" s="63"/>
    </row>
    <row r="706" spans="1:76" x14ac:dyDescent="0.25">
      <c r="A706" s="60"/>
      <c r="D706" s="61" t="s">
        <v>516</v>
      </c>
      <c r="E706" s="61" t="s">
        <v>517</v>
      </c>
      <c r="G706" s="62">
        <v>5.63</v>
      </c>
      <c r="M706" s="63"/>
    </row>
    <row r="707" spans="1:76" x14ac:dyDescent="0.25">
      <c r="A707" s="60"/>
      <c r="D707" s="61" t="s">
        <v>518</v>
      </c>
      <c r="E707" s="61" t="s">
        <v>519</v>
      </c>
      <c r="G707" s="62">
        <v>16.84</v>
      </c>
      <c r="M707" s="63"/>
    </row>
    <row r="708" spans="1:76" x14ac:dyDescent="0.25">
      <c r="A708" s="60"/>
      <c r="D708" s="61" t="s">
        <v>848</v>
      </c>
      <c r="E708" s="61" t="s">
        <v>308</v>
      </c>
      <c r="G708" s="62">
        <v>5.51</v>
      </c>
      <c r="M708" s="63"/>
    </row>
    <row r="709" spans="1:76" x14ac:dyDescent="0.25">
      <c r="A709" s="60"/>
      <c r="D709" s="61" t="s">
        <v>520</v>
      </c>
      <c r="E709" s="61" t="s">
        <v>521</v>
      </c>
      <c r="G709" s="62">
        <v>9.5500000000000007</v>
      </c>
      <c r="M709" s="63"/>
    </row>
    <row r="710" spans="1:76" x14ac:dyDescent="0.25">
      <c r="A710" s="60"/>
      <c r="D710" s="61" t="s">
        <v>522</v>
      </c>
      <c r="E710" s="61" t="s">
        <v>314</v>
      </c>
      <c r="G710" s="62">
        <v>8.5</v>
      </c>
      <c r="M710" s="63"/>
    </row>
    <row r="711" spans="1:76" x14ac:dyDescent="0.25">
      <c r="A711" s="60"/>
      <c r="D711" s="61" t="s">
        <v>523</v>
      </c>
      <c r="E711" s="61" t="s">
        <v>318</v>
      </c>
      <c r="G711" s="62">
        <v>1.86</v>
      </c>
      <c r="M711" s="63"/>
    </row>
    <row r="712" spans="1:76" x14ac:dyDescent="0.25">
      <c r="A712" s="60"/>
      <c r="D712" s="61" t="s">
        <v>524</v>
      </c>
      <c r="E712" s="61" t="s">
        <v>525</v>
      </c>
      <c r="G712" s="62">
        <v>6.51</v>
      </c>
      <c r="M712" s="63"/>
    </row>
    <row r="713" spans="1:76" x14ac:dyDescent="0.25">
      <c r="A713" s="60"/>
      <c r="D713" s="61" t="s">
        <v>526</v>
      </c>
      <c r="E713" s="61" t="s">
        <v>324</v>
      </c>
      <c r="G713" s="62">
        <v>4.93</v>
      </c>
      <c r="M713" s="63"/>
    </row>
    <row r="714" spans="1:76" x14ac:dyDescent="0.25">
      <c r="A714" s="60"/>
      <c r="D714" s="61" t="s">
        <v>527</v>
      </c>
      <c r="E714" s="61" t="s">
        <v>528</v>
      </c>
      <c r="G714" s="62">
        <v>4.87</v>
      </c>
      <c r="M714" s="63"/>
    </row>
    <row r="715" spans="1:76" x14ac:dyDescent="0.25">
      <c r="A715" s="66" t="s">
        <v>873</v>
      </c>
      <c r="B715" s="67" t="s">
        <v>4</v>
      </c>
      <c r="C715" s="67" t="s">
        <v>874</v>
      </c>
      <c r="D715" s="163" t="s">
        <v>875</v>
      </c>
      <c r="E715" s="164"/>
      <c r="F715" s="67" t="s">
        <v>157</v>
      </c>
      <c r="G715" s="69">
        <v>120.32983</v>
      </c>
      <c r="H715" s="70">
        <v>0</v>
      </c>
      <c r="I715" s="69">
        <f>G715*H715</f>
        <v>0</v>
      </c>
      <c r="J715" s="69">
        <v>0</v>
      </c>
      <c r="K715" s="69">
        <v>1.9199999999999998E-2</v>
      </c>
      <c r="L715" s="69">
        <f>G715*K715</f>
        <v>2.3103327359999999</v>
      </c>
      <c r="M715" s="71" t="s">
        <v>122</v>
      </c>
      <c r="Z715" s="55">
        <f>IF(AQ715="5",BJ715,0)</f>
        <v>0</v>
      </c>
      <c r="AB715" s="55">
        <f>IF(AQ715="1",BH715,0)</f>
        <v>0</v>
      </c>
      <c r="AC715" s="55">
        <f>IF(AQ715="1",BI715,0)</f>
        <v>0</v>
      </c>
      <c r="AD715" s="55">
        <f>IF(AQ715="7",BH715,0)</f>
        <v>0</v>
      </c>
      <c r="AE715" s="55">
        <f>IF(AQ715="7",BI715,0)</f>
        <v>0</v>
      </c>
      <c r="AF715" s="55">
        <f>IF(AQ715="2",BH715,0)</f>
        <v>0</v>
      </c>
      <c r="AG715" s="55">
        <f>IF(AQ715="2",BI715,0)</f>
        <v>0</v>
      </c>
      <c r="AH715" s="55">
        <f>IF(AQ715="0",BJ715,0)</f>
        <v>0</v>
      </c>
      <c r="AI715" s="33" t="s">
        <v>4</v>
      </c>
      <c r="AJ715" s="69">
        <f>IF(AN715=0,I715,0)</f>
        <v>0</v>
      </c>
      <c r="AK715" s="69">
        <f>IF(AN715=12,I715,0)</f>
        <v>0</v>
      </c>
      <c r="AL715" s="69">
        <f>IF(AN715=21,I715,0)</f>
        <v>0</v>
      </c>
      <c r="AN715" s="55">
        <v>21</v>
      </c>
      <c r="AO715" s="55">
        <f>H715*1</f>
        <v>0</v>
      </c>
      <c r="AP715" s="55">
        <f>H715*(1-1)</f>
        <v>0</v>
      </c>
      <c r="AQ715" s="72" t="s">
        <v>162</v>
      </c>
      <c r="AV715" s="55">
        <f>AW715+AX715</f>
        <v>0</v>
      </c>
      <c r="AW715" s="55">
        <f>G715*AO715</f>
        <v>0</v>
      </c>
      <c r="AX715" s="55">
        <f>G715*AP715</f>
        <v>0</v>
      </c>
      <c r="AY715" s="58" t="s">
        <v>866</v>
      </c>
      <c r="AZ715" s="58" t="s">
        <v>867</v>
      </c>
      <c r="BA715" s="33" t="s">
        <v>125</v>
      </c>
      <c r="BC715" s="55">
        <f>AW715+AX715</f>
        <v>0</v>
      </c>
      <c r="BD715" s="55">
        <f>H715/(100-BE715)*100</f>
        <v>0</v>
      </c>
      <c r="BE715" s="55">
        <v>0</v>
      </c>
      <c r="BF715" s="55">
        <f>L715</f>
        <v>2.3103327359999999</v>
      </c>
      <c r="BH715" s="69">
        <f>G715*AO715</f>
        <v>0</v>
      </c>
      <c r="BI715" s="69">
        <f>G715*AP715</f>
        <v>0</v>
      </c>
      <c r="BJ715" s="69">
        <f>G715*H715</f>
        <v>0</v>
      </c>
      <c r="BK715" s="69"/>
      <c r="BL715" s="55">
        <v>771</v>
      </c>
      <c r="BW715" s="55">
        <v>21</v>
      </c>
      <c r="BX715" s="68" t="s">
        <v>875</v>
      </c>
    </row>
    <row r="716" spans="1:76" x14ac:dyDescent="0.25">
      <c r="A716" s="60"/>
      <c r="D716" s="61" t="s">
        <v>500</v>
      </c>
      <c r="E716" s="61" t="s">
        <v>4</v>
      </c>
      <c r="G716" s="62">
        <v>15.79</v>
      </c>
      <c r="M716" s="63"/>
    </row>
    <row r="717" spans="1:76" x14ac:dyDescent="0.25">
      <c r="A717" s="60"/>
      <c r="D717" s="61" t="s">
        <v>876</v>
      </c>
      <c r="E717" s="61" t="s">
        <v>4</v>
      </c>
      <c r="G717" s="62">
        <v>1.579</v>
      </c>
      <c r="M717" s="63"/>
    </row>
    <row r="718" spans="1:76" x14ac:dyDescent="0.25">
      <c r="A718" s="60"/>
      <c r="C718" s="64" t="s">
        <v>127</v>
      </c>
      <c r="D718" s="159" t="s">
        <v>877</v>
      </c>
      <c r="E718" s="160"/>
      <c r="F718" s="160"/>
      <c r="G718" s="160"/>
      <c r="H718" s="161"/>
      <c r="I718" s="160"/>
      <c r="J718" s="160"/>
      <c r="K718" s="160"/>
      <c r="L718" s="160"/>
      <c r="M718" s="162"/>
      <c r="BX718" s="73" t="s">
        <v>877</v>
      </c>
    </row>
    <row r="719" spans="1:76" x14ac:dyDescent="0.25">
      <c r="A719" s="1" t="s">
        <v>878</v>
      </c>
      <c r="B719" s="2" t="s">
        <v>4</v>
      </c>
      <c r="C719" s="2" t="s">
        <v>879</v>
      </c>
      <c r="D719" s="82" t="s">
        <v>880</v>
      </c>
      <c r="E719" s="83"/>
      <c r="F719" s="2" t="s">
        <v>219</v>
      </c>
      <c r="G719" s="55">
        <v>139.07</v>
      </c>
      <c r="H719" s="56">
        <v>0</v>
      </c>
      <c r="I719" s="55">
        <f>G719*H719</f>
        <v>0</v>
      </c>
      <c r="J719" s="55">
        <v>0</v>
      </c>
      <c r="K719" s="55">
        <v>2.0000000000000002E-5</v>
      </c>
      <c r="L719" s="55">
        <f>G719*K719</f>
        <v>2.7814000000000003E-3</v>
      </c>
      <c r="M719" s="57" t="s">
        <v>122</v>
      </c>
      <c r="Z719" s="55">
        <f>IF(AQ719="5",BJ719,0)</f>
        <v>0</v>
      </c>
      <c r="AB719" s="55">
        <f>IF(AQ719="1",BH719,0)</f>
        <v>0</v>
      </c>
      <c r="AC719" s="55">
        <f>IF(AQ719="1",BI719,0)</f>
        <v>0</v>
      </c>
      <c r="AD719" s="55">
        <f>IF(AQ719="7",BH719,0)</f>
        <v>0</v>
      </c>
      <c r="AE719" s="55">
        <f>IF(AQ719="7",BI719,0)</f>
        <v>0</v>
      </c>
      <c r="AF719" s="55">
        <f>IF(AQ719="2",BH719,0)</f>
        <v>0</v>
      </c>
      <c r="AG719" s="55">
        <f>IF(AQ719="2",BI719,0)</f>
        <v>0</v>
      </c>
      <c r="AH719" s="55">
        <f>IF(AQ719="0",BJ719,0)</f>
        <v>0</v>
      </c>
      <c r="AI719" s="33" t="s">
        <v>4</v>
      </c>
      <c r="AJ719" s="55">
        <f>IF(AN719=0,I719,0)</f>
        <v>0</v>
      </c>
      <c r="AK719" s="55">
        <f>IF(AN719=12,I719,0)</f>
        <v>0</v>
      </c>
      <c r="AL719" s="55">
        <f>IF(AN719=21,I719,0)</f>
        <v>0</v>
      </c>
      <c r="AN719" s="55">
        <v>21</v>
      </c>
      <c r="AO719" s="55">
        <f>H719*0.215147993</f>
        <v>0</v>
      </c>
      <c r="AP719" s="55">
        <f>H719*(1-0.215147993)</f>
        <v>0</v>
      </c>
      <c r="AQ719" s="58" t="s">
        <v>162</v>
      </c>
      <c r="AV719" s="55">
        <f>AW719+AX719</f>
        <v>0</v>
      </c>
      <c r="AW719" s="55">
        <f>G719*AO719</f>
        <v>0</v>
      </c>
      <c r="AX719" s="55">
        <f>G719*AP719</f>
        <v>0</v>
      </c>
      <c r="AY719" s="58" t="s">
        <v>866</v>
      </c>
      <c r="AZ719" s="58" t="s">
        <v>867</v>
      </c>
      <c r="BA719" s="33" t="s">
        <v>125</v>
      </c>
      <c r="BB719" s="59">
        <v>100011</v>
      </c>
      <c r="BC719" s="55">
        <f>AW719+AX719</f>
        <v>0</v>
      </c>
      <c r="BD719" s="55">
        <f>H719/(100-BE719)*100</f>
        <v>0</v>
      </c>
      <c r="BE719" s="55">
        <v>0</v>
      </c>
      <c r="BF719" s="55">
        <f>L719</f>
        <v>2.7814000000000003E-3</v>
      </c>
      <c r="BH719" s="55">
        <f>G719*AO719</f>
        <v>0</v>
      </c>
      <c r="BI719" s="55">
        <f>G719*AP719</f>
        <v>0</v>
      </c>
      <c r="BJ719" s="55">
        <f>G719*H719</f>
        <v>0</v>
      </c>
      <c r="BK719" s="55"/>
      <c r="BL719" s="55">
        <v>771</v>
      </c>
      <c r="BW719" s="55">
        <v>21</v>
      </c>
      <c r="BX719" s="3" t="s">
        <v>880</v>
      </c>
    </row>
    <row r="720" spans="1:76" ht="13.5" customHeight="1" x14ac:dyDescent="0.25">
      <c r="A720" s="60"/>
      <c r="D720" s="155" t="s">
        <v>881</v>
      </c>
      <c r="E720" s="156"/>
      <c r="F720" s="156"/>
      <c r="G720" s="156"/>
      <c r="H720" s="157"/>
      <c r="I720" s="156"/>
      <c r="J720" s="156"/>
      <c r="K720" s="156"/>
      <c r="L720" s="156"/>
      <c r="M720" s="158"/>
    </row>
    <row r="721" spans="1:13" x14ac:dyDescent="0.25">
      <c r="A721" s="60"/>
      <c r="D721" s="61" t="s">
        <v>882</v>
      </c>
      <c r="E721" s="61" t="s">
        <v>883</v>
      </c>
      <c r="G721" s="62">
        <v>3.5</v>
      </c>
      <c r="M721" s="63"/>
    </row>
    <row r="722" spans="1:13" x14ac:dyDescent="0.25">
      <c r="A722" s="60"/>
      <c r="D722" s="61" t="s">
        <v>884</v>
      </c>
      <c r="E722" s="61" t="s">
        <v>885</v>
      </c>
      <c r="G722" s="62">
        <v>5.39</v>
      </c>
      <c r="M722" s="63"/>
    </row>
    <row r="723" spans="1:13" x14ac:dyDescent="0.25">
      <c r="A723" s="60"/>
      <c r="D723" s="61" t="s">
        <v>886</v>
      </c>
      <c r="E723" s="61" t="s">
        <v>507</v>
      </c>
      <c r="G723" s="62">
        <v>8.43</v>
      </c>
      <c r="M723" s="63"/>
    </row>
    <row r="724" spans="1:13" x14ac:dyDescent="0.25">
      <c r="A724" s="60"/>
      <c r="D724" s="61" t="s">
        <v>887</v>
      </c>
      <c r="E724" s="61" t="s">
        <v>509</v>
      </c>
      <c r="G724" s="62">
        <v>7.84</v>
      </c>
      <c r="M724" s="63"/>
    </row>
    <row r="725" spans="1:13" x14ac:dyDescent="0.25">
      <c r="A725" s="60"/>
      <c r="D725" s="61" t="s">
        <v>888</v>
      </c>
      <c r="E725" s="61" t="s">
        <v>511</v>
      </c>
      <c r="G725" s="62">
        <v>8.01</v>
      </c>
      <c r="M725" s="63"/>
    </row>
    <row r="726" spans="1:13" x14ac:dyDescent="0.25">
      <c r="A726" s="60"/>
      <c r="D726" s="61" t="s">
        <v>889</v>
      </c>
      <c r="E726" s="61" t="s">
        <v>513</v>
      </c>
      <c r="G726" s="62">
        <v>8.2899999999999991</v>
      </c>
      <c r="M726" s="63"/>
    </row>
    <row r="727" spans="1:13" x14ac:dyDescent="0.25">
      <c r="A727" s="60"/>
      <c r="D727" s="61" t="s">
        <v>890</v>
      </c>
      <c r="E727" s="61" t="s">
        <v>515</v>
      </c>
      <c r="G727" s="62">
        <v>8.18</v>
      </c>
      <c r="M727" s="63"/>
    </row>
    <row r="728" spans="1:13" x14ac:dyDescent="0.25">
      <c r="A728" s="60"/>
      <c r="D728" s="61" t="s">
        <v>891</v>
      </c>
      <c r="E728" s="61" t="s">
        <v>517</v>
      </c>
      <c r="G728" s="62">
        <v>8.6999999999999993</v>
      </c>
      <c r="M728" s="63"/>
    </row>
    <row r="729" spans="1:13" x14ac:dyDescent="0.25">
      <c r="A729" s="60"/>
      <c r="D729" s="61" t="s">
        <v>892</v>
      </c>
      <c r="E729" s="61" t="s">
        <v>519</v>
      </c>
      <c r="G729" s="62">
        <v>17.12</v>
      </c>
      <c r="M729" s="63"/>
    </row>
    <row r="730" spans="1:13" x14ac:dyDescent="0.25">
      <c r="A730" s="60"/>
      <c r="D730" s="61" t="s">
        <v>893</v>
      </c>
      <c r="E730" s="61" t="s">
        <v>308</v>
      </c>
      <c r="G730" s="62">
        <v>8.42</v>
      </c>
      <c r="M730" s="63"/>
    </row>
    <row r="731" spans="1:13" x14ac:dyDescent="0.25">
      <c r="A731" s="60"/>
      <c r="D731" s="61" t="s">
        <v>894</v>
      </c>
      <c r="E731" s="61" t="s">
        <v>521</v>
      </c>
      <c r="G731" s="62">
        <v>11.65</v>
      </c>
      <c r="M731" s="63"/>
    </row>
    <row r="732" spans="1:13" x14ac:dyDescent="0.25">
      <c r="A732" s="60"/>
      <c r="D732" s="61" t="s">
        <v>895</v>
      </c>
      <c r="E732" s="61" t="s">
        <v>314</v>
      </c>
      <c r="G732" s="62">
        <v>11.05</v>
      </c>
      <c r="M732" s="63"/>
    </row>
    <row r="733" spans="1:13" x14ac:dyDescent="0.25">
      <c r="A733" s="60"/>
      <c r="D733" s="61" t="s">
        <v>896</v>
      </c>
      <c r="E733" s="61" t="s">
        <v>318</v>
      </c>
      <c r="G733" s="62">
        <v>4.99</v>
      </c>
      <c r="M733" s="63"/>
    </row>
    <row r="734" spans="1:13" x14ac:dyDescent="0.25">
      <c r="A734" s="60"/>
      <c r="D734" s="61" t="s">
        <v>897</v>
      </c>
      <c r="E734" s="61" t="s">
        <v>525</v>
      </c>
      <c r="G734" s="62">
        <v>11.35</v>
      </c>
      <c r="M734" s="63"/>
    </row>
    <row r="735" spans="1:13" x14ac:dyDescent="0.25">
      <c r="A735" s="60"/>
      <c r="D735" s="61" t="s">
        <v>898</v>
      </c>
      <c r="E735" s="61" t="s">
        <v>324</v>
      </c>
      <c r="G735" s="62">
        <v>8.1</v>
      </c>
      <c r="M735" s="63"/>
    </row>
    <row r="736" spans="1:13" x14ac:dyDescent="0.25">
      <c r="A736" s="60"/>
      <c r="D736" s="61" t="s">
        <v>899</v>
      </c>
      <c r="E736" s="61" t="s">
        <v>528</v>
      </c>
      <c r="G736" s="62">
        <v>8.0500000000000007</v>
      </c>
      <c r="M736" s="63"/>
    </row>
    <row r="737" spans="1:76" x14ac:dyDescent="0.25">
      <c r="A737" s="1" t="s">
        <v>900</v>
      </c>
      <c r="B737" s="2" t="s">
        <v>4</v>
      </c>
      <c r="C737" s="2" t="s">
        <v>901</v>
      </c>
      <c r="D737" s="82" t="s">
        <v>902</v>
      </c>
      <c r="E737" s="83"/>
      <c r="F737" s="2" t="s">
        <v>157</v>
      </c>
      <c r="G737" s="55">
        <v>109.39</v>
      </c>
      <c r="H737" s="56">
        <v>0</v>
      </c>
      <c r="I737" s="55">
        <f>G737*H737</f>
        <v>0</v>
      </c>
      <c r="J737" s="55">
        <v>0</v>
      </c>
      <c r="K737" s="55">
        <v>8.0000000000000007E-5</v>
      </c>
      <c r="L737" s="55">
        <f>G737*K737</f>
        <v>8.7512000000000006E-3</v>
      </c>
      <c r="M737" s="57" t="s">
        <v>122</v>
      </c>
      <c r="Z737" s="55">
        <f>IF(AQ737="5",BJ737,0)</f>
        <v>0</v>
      </c>
      <c r="AB737" s="55">
        <f>IF(AQ737="1",BH737,0)</f>
        <v>0</v>
      </c>
      <c r="AC737" s="55">
        <f>IF(AQ737="1",BI737,0)</f>
        <v>0</v>
      </c>
      <c r="AD737" s="55">
        <f>IF(AQ737="7",BH737,0)</f>
        <v>0</v>
      </c>
      <c r="AE737" s="55">
        <f>IF(AQ737="7",BI737,0)</f>
        <v>0</v>
      </c>
      <c r="AF737" s="55">
        <f>IF(AQ737="2",BH737,0)</f>
        <v>0</v>
      </c>
      <c r="AG737" s="55">
        <f>IF(AQ737="2",BI737,0)</f>
        <v>0</v>
      </c>
      <c r="AH737" s="55">
        <f>IF(AQ737="0",BJ737,0)</f>
        <v>0</v>
      </c>
      <c r="AI737" s="33" t="s">
        <v>4</v>
      </c>
      <c r="AJ737" s="55">
        <f>IF(AN737=0,I737,0)</f>
        <v>0</v>
      </c>
      <c r="AK737" s="55">
        <f>IF(AN737=12,I737,0)</f>
        <v>0</v>
      </c>
      <c r="AL737" s="55">
        <f>IF(AN737=21,I737,0)</f>
        <v>0</v>
      </c>
      <c r="AN737" s="55">
        <v>21</v>
      </c>
      <c r="AO737" s="55">
        <f>H737*0.568421183</f>
        <v>0</v>
      </c>
      <c r="AP737" s="55">
        <f>H737*(1-0.568421183)</f>
        <v>0</v>
      </c>
      <c r="AQ737" s="58" t="s">
        <v>162</v>
      </c>
      <c r="AV737" s="55">
        <f>AW737+AX737</f>
        <v>0</v>
      </c>
      <c r="AW737" s="55">
        <f>G737*AO737</f>
        <v>0</v>
      </c>
      <c r="AX737" s="55">
        <f>G737*AP737</f>
        <v>0</v>
      </c>
      <c r="AY737" s="58" t="s">
        <v>866</v>
      </c>
      <c r="AZ737" s="58" t="s">
        <v>867</v>
      </c>
      <c r="BA737" s="33" t="s">
        <v>125</v>
      </c>
      <c r="BB737" s="59">
        <v>100011</v>
      </c>
      <c r="BC737" s="55">
        <f>AW737+AX737</f>
        <v>0</v>
      </c>
      <c r="BD737" s="55">
        <f>H737/(100-BE737)*100</f>
        <v>0</v>
      </c>
      <c r="BE737" s="55">
        <v>0</v>
      </c>
      <c r="BF737" s="55">
        <f>L737</f>
        <v>8.7512000000000006E-3</v>
      </c>
      <c r="BH737" s="55">
        <f>G737*AO737</f>
        <v>0</v>
      </c>
      <c r="BI737" s="55">
        <f>G737*AP737</f>
        <v>0</v>
      </c>
      <c r="BJ737" s="55">
        <f>G737*H737</f>
        <v>0</v>
      </c>
      <c r="BK737" s="55"/>
      <c r="BL737" s="55">
        <v>771</v>
      </c>
      <c r="BW737" s="55">
        <v>21</v>
      </c>
      <c r="BX737" s="3" t="s">
        <v>902</v>
      </c>
    </row>
    <row r="738" spans="1:76" x14ac:dyDescent="0.25">
      <c r="A738" s="60"/>
      <c r="D738" s="61" t="s">
        <v>500</v>
      </c>
      <c r="E738" s="61" t="s">
        <v>501</v>
      </c>
      <c r="G738" s="62">
        <v>15.79</v>
      </c>
      <c r="M738" s="63"/>
    </row>
    <row r="739" spans="1:76" x14ac:dyDescent="0.25">
      <c r="A739" s="60"/>
      <c r="D739" s="61" t="s">
        <v>502</v>
      </c>
      <c r="E739" s="61" t="s">
        <v>503</v>
      </c>
      <c r="G739" s="62">
        <v>2.61</v>
      </c>
      <c r="M739" s="63"/>
    </row>
    <row r="740" spans="1:76" x14ac:dyDescent="0.25">
      <c r="A740" s="60"/>
      <c r="D740" s="61" t="s">
        <v>504</v>
      </c>
      <c r="E740" s="61" t="s">
        <v>505</v>
      </c>
      <c r="G740" s="62">
        <v>1.89</v>
      </c>
      <c r="M740" s="63"/>
    </row>
    <row r="741" spans="1:76" x14ac:dyDescent="0.25">
      <c r="A741" s="60"/>
      <c r="D741" s="61" t="s">
        <v>506</v>
      </c>
      <c r="E741" s="61" t="s">
        <v>507</v>
      </c>
      <c r="G741" s="62">
        <v>5.2</v>
      </c>
      <c r="M741" s="63"/>
    </row>
    <row r="742" spans="1:76" x14ac:dyDescent="0.25">
      <c r="A742" s="60"/>
      <c r="D742" s="61" t="s">
        <v>508</v>
      </c>
      <c r="E742" s="61" t="s">
        <v>509</v>
      </c>
      <c r="G742" s="62">
        <v>4.7300000000000004</v>
      </c>
      <c r="M742" s="63"/>
    </row>
    <row r="743" spans="1:76" x14ac:dyDescent="0.25">
      <c r="A743" s="60"/>
      <c r="D743" s="61" t="s">
        <v>510</v>
      </c>
      <c r="E743" s="61" t="s">
        <v>511</v>
      </c>
      <c r="G743" s="62">
        <v>4.42</v>
      </c>
      <c r="M743" s="63"/>
    </row>
    <row r="744" spans="1:76" x14ac:dyDescent="0.25">
      <c r="A744" s="60"/>
      <c r="D744" s="61" t="s">
        <v>512</v>
      </c>
      <c r="E744" s="61" t="s">
        <v>513</v>
      </c>
      <c r="G744" s="62">
        <v>5.34</v>
      </c>
      <c r="M744" s="63"/>
    </row>
    <row r="745" spans="1:76" x14ac:dyDescent="0.25">
      <c r="A745" s="60"/>
      <c r="D745" s="61" t="s">
        <v>514</v>
      </c>
      <c r="E745" s="61" t="s">
        <v>515</v>
      </c>
      <c r="G745" s="62">
        <v>5.21</v>
      </c>
      <c r="M745" s="63"/>
    </row>
    <row r="746" spans="1:76" x14ac:dyDescent="0.25">
      <c r="A746" s="60"/>
      <c r="D746" s="61" t="s">
        <v>516</v>
      </c>
      <c r="E746" s="61" t="s">
        <v>517</v>
      </c>
      <c r="G746" s="62">
        <v>5.63</v>
      </c>
      <c r="M746" s="63"/>
    </row>
    <row r="747" spans="1:76" x14ac:dyDescent="0.25">
      <c r="A747" s="60"/>
      <c r="D747" s="61" t="s">
        <v>518</v>
      </c>
      <c r="E747" s="61" t="s">
        <v>519</v>
      </c>
      <c r="G747" s="62">
        <v>16.84</v>
      </c>
      <c r="M747" s="63"/>
    </row>
    <row r="748" spans="1:76" x14ac:dyDescent="0.25">
      <c r="A748" s="60"/>
      <c r="D748" s="61" t="s">
        <v>848</v>
      </c>
      <c r="E748" s="61" t="s">
        <v>308</v>
      </c>
      <c r="G748" s="62">
        <v>5.51</v>
      </c>
      <c r="M748" s="63"/>
    </row>
    <row r="749" spans="1:76" x14ac:dyDescent="0.25">
      <c r="A749" s="60"/>
      <c r="D749" s="61" t="s">
        <v>520</v>
      </c>
      <c r="E749" s="61" t="s">
        <v>521</v>
      </c>
      <c r="G749" s="62">
        <v>9.5500000000000007</v>
      </c>
      <c r="M749" s="63"/>
    </row>
    <row r="750" spans="1:76" x14ac:dyDescent="0.25">
      <c r="A750" s="60"/>
      <c r="D750" s="61" t="s">
        <v>522</v>
      </c>
      <c r="E750" s="61" t="s">
        <v>314</v>
      </c>
      <c r="G750" s="62">
        <v>8.5</v>
      </c>
      <c r="M750" s="63"/>
    </row>
    <row r="751" spans="1:76" x14ac:dyDescent="0.25">
      <c r="A751" s="60"/>
      <c r="D751" s="61" t="s">
        <v>523</v>
      </c>
      <c r="E751" s="61" t="s">
        <v>318</v>
      </c>
      <c r="G751" s="62">
        <v>1.86</v>
      </c>
      <c r="M751" s="63"/>
    </row>
    <row r="752" spans="1:76" x14ac:dyDescent="0.25">
      <c r="A752" s="60"/>
      <c r="D752" s="61" t="s">
        <v>524</v>
      </c>
      <c r="E752" s="61" t="s">
        <v>525</v>
      </c>
      <c r="G752" s="62">
        <v>6.51</v>
      </c>
      <c r="M752" s="63"/>
    </row>
    <row r="753" spans="1:76" x14ac:dyDescent="0.25">
      <c r="A753" s="60"/>
      <c r="D753" s="61" t="s">
        <v>526</v>
      </c>
      <c r="E753" s="61" t="s">
        <v>324</v>
      </c>
      <c r="G753" s="62">
        <v>4.93</v>
      </c>
      <c r="M753" s="63"/>
    </row>
    <row r="754" spans="1:76" x14ac:dyDescent="0.25">
      <c r="A754" s="60"/>
      <c r="D754" s="61" t="s">
        <v>527</v>
      </c>
      <c r="E754" s="61" t="s">
        <v>528</v>
      </c>
      <c r="G754" s="62">
        <v>4.87</v>
      </c>
      <c r="M754" s="63"/>
    </row>
    <row r="755" spans="1:76" ht="38.25" x14ac:dyDescent="0.25">
      <c r="A755" s="60"/>
      <c r="C755" s="64" t="s">
        <v>127</v>
      </c>
      <c r="D755" s="159" t="s">
        <v>903</v>
      </c>
      <c r="E755" s="160"/>
      <c r="F755" s="160"/>
      <c r="G755" s="160"/>
      <c r="H755" s="161"/>
      <c r="I755" s="160"/>
      <c r="J755" s="160"/>
      <c r="K755" s="160"/>
      <c r="L755" s="160"/>
      <c r="M755" s="162"/>
      <c r="BX755" s="65" t="s">
        <v>903</v>
      </c>
    </row>
    <row r="756" spans="1:76" x14ac:dyDescent="0.25">
      <c r="A756" s="1" t="s">
        <v>904</v>
      </c>
      <c r="B756" s="2" t="s">
        <v>4</v>
      </c>
      <c r="C756" s="2" t="s">
        <v>905</v>
      </c>
      <c r="D756" s="82" t="s">
        <v>906</v>
      </c>
      <c r="E756" s="83"/>
      <c r="F756" s="2" t="s">
        <v>219</v>
      </c>
      <c r="G756" s="55">
        <v>14</v>
      </c>
      <c r="H756" s="56">
        <v>0</v>
      </c>
      <c r="I756" s="55">
        <f>G756*H756</f>
        <v>0</v>
      </c>
      <c r="J756" s="55">
        <v>0</v>
      </c>
      <c r="K756" s="55">
        <v>1.7000000000000001E-4</v>
      </c>
      <c r="L756" s="55">
        <f>G756*K756</f>
        <v>2.3800000000000002E-3</v>
      </c>
      <c r="M756" s="57" t="s">
        <v>122</v>
      </c>
      <c r="Z756" s="55">
        <f>IF(AQ756="5",BJ756,0)</f>
        <v>0</v>
      </c>
      <c r="AB756" s="55">
        <f>IF(AQ756="1",BH756,0)</f>
        <v>0</v>
      </c>
      <c r="AC756" s="55">
        <f>IF(AQ756="1",BI756,0)</f>
        <v>0</v>
      </c>
      <c r="AD756" s="55">
        <f>IF(AQ756="7",BH756,0)</f>
        <v>0</v>
      </c>
      <c r="AE756" s="55">
        <f>IF(AQ756="7",BI756,0)</f>
        <v>0</v>
      </c>
      <c r="AF756" s="55">
        <f>IF(AQ756="2",BH756,0)</f>
        <v>0</v>
      </c>
      <c r="AG756" s="55">
        <f>IF(AQ756="2",BI756,0)</f>
        <v>0</v>
      </c>
      <c r="AH756" s="55">
        <f>IF(AQ756="0",BJ756,0)</f>
        <v>0</v>
      </c>
      <c r="AI756" s="33" t="s">
        <v>4</v>
      </c>
      <c r="AJ756" s="55">
        <f>IF(AN756=0,I756,0)</f>
        <v>0</v>
      </c>
      <c r="AK756" s="55">
        <f>IF(AN756=12,I756,0)</f>
        <v>0</v>
      </c>
      <c r="AL756" s="55">
        <f>IF(AN756=21,I756,0)</f>
        <v>0</v>
      </c>
      <c r="AN756" s="55">
        <v>21</v>
      </c>
      <c r="AO756" s="55">
        <f>H756*0.683455882</f>
        <v>0</v>
      </c>
      <c r="AP756" s="55">
        <f>H756*(1-0.683455882)</f>
        <v>0</v>
      </c>
      <c r="AQ756" s="58" t="s">
        <v>162</v>
      </c>
      <c r="AV756" s="55">
        <f>AW756+AX756</f>
        <v>0</v>
      </c>
      <c r="AW756" s="55">
        <f>G756*AO756</f>
        <v>0</v>
      </c>
      <c r="AX756" s="55">
        <f>G756*AP756</f>
        <v>0</v>
      </c>
      <c r="AY756" s="58" t="s">
        <v>866</v>
      </c>
      <c r="AZ756" s="58" t="s">
        <v>867</v>
      </c>
      <c r="BA756" s="33" t="s">
        <v>125</v>
      </c>
      <c r="BB756" s="59">
        <v>100011</v>
      </c>
      <c r="BC756" s="55">
        <f>AW756+AX756</f>
        <v>0</v>
      </c>
      <c r="BD756" s="55">
        <f>H756/(100-BE756)*100</f>
        <v>0</v>
      </c>
      <c r="BE756" s="55">
        <v>0</v>
      </c>
      <c r="BF756" s="55">
        <f>L756</f>
        <v>2.3800000000000002E-3</v>
      </c>
      <c r="BH756" s="55">
        <f>G756*AO756</f>
        <v>0</v>
      </c>
      <c r="BI756" s="55">
        <f>G756*AP756</f>
        <v>0</v>
      </c>
      <c r="BJ756" s="55">
        <f>G756*H756</f>
        <v>0</v>
      </c>
      <c r="BK756" s="55"/>
      <c r="BL756" s="55">
        <v>771</v>
      </c>
      <c r="BW756" s="55">
        <v>21</v>
      </c>
      <c r="BX756" s="3" t="s">
        <v>906</v>
      </c>
    </row>
    <row r="757" spans="1:76" x14ac:dyDescent="0.25">
      <c r="A757" s="60"/>
      <c r="D757" s="61" t="s">
        <v>162</v>
      </c>
      <c r="E757" s="61" t="s">
        <v>907</v>
      </c>
      <c r="G757" s="62">
        <v>7</v>
      </c>
      <c r="M757" s="63"/>
    </row>
    <row r="758" spans="1:76" x14ac:dyDescent="0.25">
      <c r="A758" s="60"/>
      <c r="D758" s="61" t="s">
        <v>908</v>
      </c>
      <c r="E758" s="61" t="s">
        <v>909</v>
      </c>
      <c r="G758" s="62">
        <v>0.8</v>
      </c>
      <c r="M758" s="63"/>
    </row>
    <row r="759" spans="1:76" x14ac:dyDescent="0.25">
      <c r="A759" s="60"/>
      <c r="D759" s="61" t="s">
        <v>118</v>
      </c>
      <c r="E759" s="61" t="s">
        <v>910</v>
      </c>
      <c r="G759" s="62">
        <v>1</v>
      </c>
      <c r="M759" s="63"/>
    </row>
    <row r="760" spans="1:76" x14ac:dyDescent="0.25">
      <c r="A760" s="60"/>
      <c r="D760" s="61" t="s">
        <v>118</v>
      </c>
      <c r="E760" s="61" t="s">
        <v>647</v>
      </c>
      <c r="G760" s="62">
        <v>1</v>
      </c>
      <c r="M760" s="63"/>
    </row>
    <row r="761" spans="1:76" x14ac:dyDescent="0.25">
      <c r="A761" s="60"/>
      <c r="D761" s="61" t="s">
        <v>118</v>
      </c>
      <c r="E761" s="61" t="s">
        <v>648</v>
      </c>
      <c r="G761" s="62">
        <v>1</v>
      </c>
      <c r="M761" s="63"/>
    </row>
    <row r="762" spans="1:76" x14ac:dyDescent="0.25">
      <c r="A762" s="60"/>
      <c r="D762" s="61" t="s">
        <v>908</v>
      </c>
      <c r="E762" s="61" t="s">
        <v>649</v>
      </c>
      <c r="G762" s="62">
        <v>0.8</v>
      </c>
      <c r="M762" s="63"/>
    </row>
    <row r="763" spans="1:76" x14ac:dyDescent="0.25">
      <c r="A763" s="60"/>
      <c r="D763" s="61" t="s">
        <v>908</v>
      </c>
      <c r="E763" s="61" t="s">
        <v>650</v>
      </c>
      <c r="G763" s="62">
        <v>0.8</v>
      </c>
      <c r="M763" s="63"/>
    </row>
    <row r="764" spans="1:76" x14ac:dyDescent="0.25">
      <c r="A764" s="60"/>
      <c r="D764" s="61" t="s">
        <v>911</v>
      </c>
      <c r="E764" s="61" t="s">
        <v>651</v>
      </c>
      <c r="G764" s="62">
        <v>1.6</v>
      </c>
      <c r="M764" s="63"/>
    </row>
    <row r="765" spans="1:76" ht="25.5" x14ac:dyDescent="0.25">
      <c r="A765" s="60"/>
      <c r="C765" s="64" t="s">
        <v>127</v>
      </c>
      <c r="D765" s="159" t="s">
        <v>912</v>
      </c>
      <c r="E765" s="160"/>
      <c r="F765" s="160"/>
      <c r="G765" s="160"/>
      <c r="H765" s="161"/>
      <c r="I765" s="160"/>
      <c r="J765" s="160"/>
      <c r="K765" s="160"/>
      <c r="L765" s="160"/>
      <c r="M765" s="162"/>
      <c r="BX765" s="65" t="s">
        <v>912</v>
      </c>
    </row>
    <row r="766" spans="1:76" x14ac:dyDescent="0.25">
      <c r="A766" s="1" t="s">
        <v>913</v>
      </c>
      <c r="B766" s="2" t="s">
        <v>4</v>
      </c>
      <c r="C766" s="2" t="s">
        <v>914</v>
      </c>
      <c r="D766" s="82" t="s">
        <v>915</v>
      </c>
      <c r="E766" s="83"/>
      <c r="F766" s="2" t="s">
        <v>132</v>
      </c>
      <c r="G766" s="55">
        <v>2.9335499999999999</v>
      </c>
      <c r="H766" s="56">
        <v>0</v>
      </c>
      <c r="I766" s="55">
        <f>G766*H766</f>
        <v>0</v>
      </c>
      <c r="J766" s="55">
        <v>0</v>
      </c>
      <c r="K766" s="55">
        <v>0</v>
      </c>
      <c r="L766" s="55">
        <f>G766*K766</f>
        <v>0</v>
      </c>
      <c r="M766" s="57" t="s">
        <v>122</v>
      </c>
      <c r="Z766" s="55">
        <f>IF(AQ766="5",BJ766,0)</f>
        <v>0</v>
      </c>
      <c r="AB766" s="55">
        <f>IF(AQ766="1",BH766,0)</f>
        <v>0</v>
      </c>
      <c r="AC766" s="55">
        <f>IF(AQ766="1",BI766,0)</f>
        <v>0</v>
      </c>
      <c r="AD766" s="55">
        <f>IF(AQ766="7",BH766,0)</f>
        <v>0</v>
      </c>
      <c r="AE766" s="55">
        <f>IF(AQ766="7",BI766,0)</f>
        <v>0</v>
      </c>
      <c r="AF766" s="55">
        <f>IF(AQ766="2",BH766,0)</f>
        <v>0</v>
      </c>
      <c r="AG766" s="55">
        <f>IF(AQ766="2",BI766,0)</f>
        <v>0</v>
      </c>
      <c r="AH766" s="55">
        <f>IF(AQ766="0",BJ766,0)</f>
        <v>0</v>
      </c>
      <c r="AI766" s="33" t="s">
        <v>4</v>
      </c>
      <c r="AJ766" s="55">
        <f>IF(AN766=0,I766,0)</f>
        <v>0</v>
      </c>
      <c r="AK766" s="55">
        <f>IF(AN766=12,I766,0)</f>
        <v>0</v>
      </c>
      <c r="AL766" s="55">
        <f>IF(AN766=21,I766,0)</f>
        <v>0</v>
      </c>
      <c r="AN766" s="55">
        <v>21</v>
      </c>
      <c r="AO766" s="55">
        <f>H766*0</f>
        <v>0</v>
      </c>
      <c r="AP766" s="55">
        <f>H766*(1-0)</f>
        <v>0</v>
      </c>
      <c r="AQ766" s="58" t="s">
        <v>139</v>
      </c>
      <c r="AV766" s="55">
        <f>AW766+AX766</f>
        <v>0</v>
      </c>
      <c r="AW766" s="55">
        <f>G766*AO766</f>
        <v>0</v>
      </c>
      <c r="AX766" s="55">
        <f>G766*AP766</f>
        <v>0</v>
      </c>
      <c r="AY766" s="58" t="s">
        <v>866</v>
      </c>
      <c r="AZ766" s="58" t="s">
        <v>867</v>
      </c>
      <c r="BA766" s="33" t="s">
        <v>125</v>
      </c>
      <c r="BB766" s="59">
        <v>100051</v>
      </c>
      <c r="BC766" s="55">
        <f>AW766+AX766</f>
        <v>0</v>
      </c>
      <c r="BD766" s="55">
        <f>H766/(100-BE766)*100</f>
        <v>0</v>
      </c>
      <c r="BE766" s="55">
        <v>0</v>
      </c>
      <c r="BF766" s="55">
        <f>L766</f>
        <v>0</v>
      </c>
      <c r="BH766" s="55">
        <f>G766*AO766</f>
        <v>0</v>
      </c>
      <c r="BI766" s="55">
        <f>G766*AP766</f>
        <v>0</v>
      </c>
      <c r="BJ766" s="55">
        <f>G766*H766</f>
        <v>0</v>
      </c>
      <c r="BK766" s="55"/>
      <c r="BL766" s="55">
        <v>771</v>
      </c>
      <c r="BW766" s="55">
        <v>21</v>
      </c>
      <c r="BX766" s="3" t="s">
        <v>915</v>
      </c>
    </row>
    <row r="767" spans="1:76" x14ac:dyDescent="0.25">
      <c r="A767" s="50" t="s">
        <v>4</v>
      </c>
      <c r="B767" s="51" t="s">
        <v>4</v>
      </c>
      <c r="C767" s="51" t="s">
        <v>916</v>
      </c>
      <c r="D767" s="153" t="s">
        <v>917</v>
      </c>
      <c r="E767" s="154"/>
      <c r="F767" s="52" t="s">
        <v>78</v>
      </c>
      <c r="G767" s="52" t="s">
        <v>78</v>
      </c>
      <c r="H767" s="53" t="s">
        <v>78</v>
      </c>
      <c r="I767" s="26">
        <f>SUM(I768:I800)</f>
        <v>0</v>
      </c>
      <c r="J767" s="33" t="s">
        <v>4</v>
      </c>
      <c r="K767" s="33" t="s">
        <v>4</v>
      </c>
      <c r="L767" s="26">
        <f>SUM(L768:L800)</f>
        <v>1.6290929544000001</v>
      </c>
      <c r="M767" s="54" t="s">
        <v>4</v>
      </c>
      <c r="AI767" s="33" t="s">
        <v>4</v>
      </c>
      <c r="AS767" s="26">
        <f>SUM(AJ768:AJ800)</f>
        <v>0</v>
      </c>
      <c r="AT767" s="26">
        <f>SUM(AK768:AK800)</f>
        <v>0</v>
      </c>
      <c r="AU767" s="26">
        <f>SUM(AL768:AL800)</f>
        <v>0</v>
      </c>
    </row>
    <row r="768" spans="1:76" x14ac:dyDescent="0.25">
      <c r="A768" s="1" t="s">
        <v>918</v>
      </c>
      <c r="B768" s="2" t="s">
        <v>4</v>
      </c>
      <c r="C768" s="2" t="s">
        <v>919</v>
      </c>
      <c r="D768" s="82" t="s">
        <v>920</v>
      </c>
      <c r="E768" s="83"/>
      <c r="F768" s="2" t="s">
        <v>157</v>
      </c>
      <c r="G768" s="55">
        <v>397.63</v>
      </c>
      <c r="H768" s="56">
        <v>0</v>
      </c>
      <c r="I768" s="55">
        <f>G768*H768</f>
        <v>0</v>
      </c>
      <c r="J768" s="55">
        <v>0</v>
      </c>
      <c r="K768" s="55">
        <v>2.5999999999999998E-4</v>
      </c>
      <c r="L768" s="55">
        <f>G768*K768</f>
        <v>0.10338379999999998</v>
      </c>
      <c r="M768" s="57" t="s">
        <v>122</v>
      </c>
      <c r="Z768" s="55">
        <f>IF(AQ768="5",BJ768,0)</f>
        <v>0</v>
      </c>
      <c r="AB768" s="55">
        <f>IF(AQ768="1",BH768,0)</f>
        <v>0</v>
      </c>
      <c r="AC768" s="55">
        <f>IF(AQ768="1",BI768,0)</f>
        <v>0</v>
      </c>
      <c r="AD768" s="55">
        <f>IF(AQ768="7",BH768,0)</f>
        <v>0</v>
      </c>
      <c r="AE768" s="55">
        <f>IF(AQ768="7",BI768,0)</f>
        <v>0</v>
      </c>
      <c r="AF768" s="55">
        <f>IF(AQ768="2",BH768,0)</f>
        <v>0</v>
      </c>
      <c r="AG768" s="55">
        <f>IF(AQ768="2",BI768,0)</f>
        <v>0</v>
      </c>
      <c r="AH768" s="55">
        <f>IF(AQ768="0",BJ768,0)</f>
        <v>0</v>
      </c>
      <c r="AI768" s="33" t="s">
        <v>4</v>
      </c>
      <c r="AJ768" s="55">
        <f>IF(AN768=0,I768,0)</f>
        <v>0</v>
      </c>
      <c r="AK768" s="55">
        <f>IF(AN768=12,I768,0)</f>
        <v>0</v>
      </c>
      <c r="AL768" s="55">
        <f>IF(AN768=21,I768,0)</f>
        <v>0</v>
      </c>
      <c r="AN768" s="55">
        <v>21</v>
      </c>
      <c r="AO768" s="55">
        <f>H768*0.321555197</f>
        <v>0</v>
      </c>
      <c r="AP768" s="55">
        <f>H768*(1-0.321555197)</f>
        <v>0</v>
      </c>
      <c r="AQ768" s="58" t="s">
        <v>162</v>
      </c>
      <c r="AV768" s="55">
        <f>AW768+AX768</f>
        <v>0</v>
      </c>
      <c r="AW768" s="55">
        <f>G768*AO768</f>
        <v>0</v>
      </c>
      <c r="AX768" s="55">
        <f>G768*AP768</f>
        <v>0</v>
      </c>
      <c r="AY768" s="58" t="s">
        <v>921</v>
      </c>
      <c r="AZ768" s="58" t="s">
        <v>867</v>
      </c>
      <c r="BA768" s="33" t="s">
        <v>125</v>
      </c>
      <c r="BB768" s="59">
        <v>100002</v>
      </c>
      <c r="BC768" s="55">
        <f>AW768+AX768</f>
        <v>0</v>
      </c>
      <c r="BD768" s="55">
        <f>H768/(100-BE768)*100</f>
        <v>0</v>
      </c>
      <c r="BE768" s="55">
        <v>0</v>
      </c>
      <c r="BF768" s="55">
        <f>L768</f>
        <v>0.10338379999999998</v>
      </c>
      <c r="BH768" s="55">
        <f>G768*AO768</f>
        <v>0</v>
      </c>
      <c r="BI768" s="55">
        <f>G768*AP768</f>
        <v>0</v>
      </c>
      <c r="BJ768" s="55">
        <f>G768*H768</f>
        <v>0</v>
      </c>
      <c r="BK768" s="55"/>
      <c r="BL768" s="55">
        <v>776</v>
      </c>
      <c r="BW768" s="55">
        <v>21</v>
      </c>
      <c r="BX768" s="3" t="s">
        <v>920</v>
      </c>
    </row>
    <row r="769" spans="1:76" ht="13.5" customHeight="1" x14ac:dyDescent="0.25">
      <c r="A769" s="60"/>
      <c r="D769" s="155" t="s">
        <v>922</v>
      </c>
      <c r="E769" s="156"/>
      <c r="F769" s="156"/>
      <c r="G769" s="156"/>
      <c r="H769" s="157"/>
      <c r="I769" s="156"/>
      <c r="J769" s="156"/>
      <c r="K769" s="156"/>
      <c r="L769" s="156"/>
      <c r="M769" s="158"/>
    </row>
    <row r="770" spans="1:76" x14ac:dyDescent="0.25">
      <c r="A770" s="60"/>
      <c r="D770" s="61" t="s">
        <v>532</v>
      </c>
      <c r="E770" s="61" t="s">
        <v>533</v>
      </c>
      <c r="G770" s="62">
        <v>22.2</v>
      </c>
      <c r="M770" s="63"/>
    </row>
    <row r="771" spans="1:76" x14ac:dyDescent="0.25">
      <c r="A771" s="60"/>
      <c r="D771" s="61" t="s">
        <v>534</v>
      </c>
      <c r="E771" s="61" t="s">
        <v>535</v>
      </c>
      <c r="G771" s="62">
        <v>21.64</v>
      </c>
      <c r="M771" s="63"/>
    </row>
    <row r="772" spans="1:76" x14ac:dyDescent="0.25">
      <c r="A772" s="60"/>
      <c r="D772" s="61" t="s">
        <v>536</v>
      </c>
      <c r="E772" s="61" t="s">
        <v>537</v>
      </c>
      <c r="G772" s="62">
        <v>20.81</v>
      </c>
      <c r="M772" s="63"/>
    </row>
    <row r="773" spans="1:76" x14ac:dyDescent="0.25">
      <c r="A773" s="60"/>
      <c r="D773" s="61" t="s">
        <v>538</v>
      </c>
      <c r="E773" s="61" t="s">
        <v>539</v>
      </c>
      <c r="G773" s="62">
        <v>21.75</v>
      </c>
      <c r="M773" s="63"/>
    </row>
    <row r="774" spans="1:76" x14ac:dyDescent="0.25">
      <c r="A774" s="60"/>
      <c r="D774" s="61" t="s">
        <v>540</v>
      </c>
      <c r="E774" s="61" t="s">
        <v>541</v>
      </c>
      <c r="G774" s="62">
        <v>19.22</v>
      </c>
      <c r="M774" s="63"/>
    </row>
    <row r="775" spans="1:76" x14ac:dyDescent="0.25">
      <c r="A775" s="60"/>
      <c r="D775" s="61" t="s">
        <v>542</v>
      </c>
      <c r="E775" s="61" t="s">
        <v>543</v>
      </c>
      <c r="G775" s="62">
        <v>20.36</v>
      </c>
      <c r="M775" s="63"/>
    </row>
    <row r="776" spans="1:76" x14ac:dyDescent="0.25">
      <c r="A776" s="60"/>
      <c r="D776" s="61" t="s">
        <v>544</v>
      </c>
      <c r="E776" s="61" t="s">
        <v>545</v>
      </c>
      <c r="G776" s="62">
        <v>7.3</v>
      </c>
      <c r="M776" s="63"/>
    </row>
    <row r="777" spans="1:76" x14ac:dyDescent="0.25">
      <c r="A777" s="60"/>
      <c r="D777" s="61" t="s">
        <v>546</v>
      </c>
      <c r="E777" s="61" t="s">
        <v>547</v>
      </c>
      <c r="G777" s="62">
        <v>29.33</v>
      </c>
      <c r="M777" s="63"/>
    </row>
    <row r="778" spans="1:76" x14ac:dyDescent="0.25">
      <c r="A778" s="60"/>
      <c r="D778" s="61" t="s">
        <v>548</v>
      </c>
      <c r="E778" s="61" t="s">
        <v>310</v>
      </c>
      <c r="G778" s="62">
        <v>154.38</v>
      </c>
      <c r="M778" s="63"/>
    </row>
    <row r="779" spans="1:76" x14ac:dyDescent="0.25">
      <c r="A779" s="60"/>
      <c r="D779" s="61" t="s">
        <v>549</v>
      </c>
      <c r="E779" s="61" t="s">
        <v>550</v>
      </c>
      <c r="G779" s="62">
        <v>36.67</v>
      </c>
      <c r="M779" s="63"/>
    </row>
    <row r="780" spans="1:76" x14ac:dyDescent="0.25">
      <c r="A780" s="60"/>
      <c r="D780" s="61" t="s">
        <v>551</v>
      </c>
      <c r="E780" s="61" t="s">
        <v>552</v>
      </c>
      <c r="G780" s="62">
        <v>25.08</v>
      </c>
      <c r="M780" s="63"/>
    </row>
    <row r="781" spans="1:76" x14ac:dyDescent="0.25">
      <c r="A781" s="60"/>
      <c r="D781" s="61" t="s">
        <v>553</v>
      </c>
      <c r="E781" s="61" t="s">
        <v>554</v>
      </c>
      <c r="G781" s="62">
        <v>18.89</v>
      </c>
      <c r="M781" s="63"/>
    </row>
    <row r="782" spans="1:76" x14ac:dyDescent="0.25">
      <c r="A782" s="66" t="s">
        <v>923</v>
      </c>
      <c r="B782" s="67" t="s">
        <v>4</v>
      </c>
      <c r="C782" s="67" t="s">
        <v>924</v>
      </c>
      <c r="D782" s="163" t="s">
        <v>925</v>
      </c>
      <c r="E782" s="164"/>
      <c r="F782" s="67" t="s">
        <v>157</v>
      </c>
      <c r="G782" s="69">
        <v>457.27523000000002</v>
      </c>
      <c r="H782" s="70">
        <v>0</v>
      </c>
      <c r="I782" s="69">
        <f>G782*H782</f>
        <v>0</v>
      </c>
      <c r="J782" s="69">
        <v>0</v>
      </c>
      <c r="K782" s="69">
        <v>3.2799999999999999E-3</v>
      </c>
      <c r="L782" s="69">
        <f>G782*K782</f>
        <v>1.4998627544000001</v>
      </c>
      <c r="M782" s="71" t="s">
        <v>122</v>
      </c>
      <c r="Z782" s="55">
        <f>IF(AQ782="5",BJ782,0)</f>
        <v>0</v>
      </c>
      <c r="AB782" s="55">
        <f>IF(AQ782="1",BH782,0)</f>
        <v>0</v>
      </c>
      <c r="AC782" s="55">
        <f>IF(AQ782="1",BI782,0)</f>
        <v>0</v>
      </c>
      <c r="AD782" s="55">
        <f>IF(AQ782="7",BH782,0)</f>
        <v>0</v>
      </c>
      <c r="AE782" s="55">
        <f>IF(AQ782="7",BI782,0)</f>
        <v>0</v>
      </c>
      <c r="AF782" s="55">
        <f>IF(AQ782="2",BH782,0)</f>
        <v>0</v>
      </c>
      <c r="AG782" s="55">
        <f>IF(AQ782="2",BI782,0)</f>
        <v>0</v>
      </c>
      <c r="AH782" s="55">
        <f>IF(AQ782="0",BJ782,0)</f>
        <v>0</v>
      </c>
      <c r="AI782" s="33" t="s">
        <v>4</v>
      </c>
      <c r="AJ782" s="69">
        <f>IF(AN782=0,I782,0)</f>
        <v>0</v>
      </c>
      <c r="AK782" s="69">
        <f>IF(AN782=12,I782,0)</f>
        <v>0</v>
      </c>
      <c r="AL782" s="69">
        <f>IF(AN782=21,I782,0)</f>
        <v>0</v>
      </c>
      <c r="AN782" s="55">
        <v>21</v>
      </c>
      <c r="AO782" s="55">
        <f>H782*1</f>
        <v>0</v>
      </c>
      <c r="AP782" s="55">
        <f>H782*(1-1)</f>
        <v>0</v>
      </c>
      <c r="AQ782" s="72" t="s">
        <v>162</v>
      </c>
      <c r="AV782" s="55">
        <f>AW782+AX782</f>
        <v>0</v>
      </c>
      <c r="AW782" s="55">
        <f>G782*AO782</f>
        <v>0</v>
      </c>
      <c r="AX782" s="55">
        <f>G782*AP782</f>
        <v>0</v>
      </c>
      <c r="AY782" s="58" t="s">
        <v>921</v>
      </c>
      <c r="AZ782" s="58" t="s">
        <v>867</v>
      </c>
      <c r="BA782" s="33" t="s">
        <v>125</v>
      </c>
      <c r="BC782" s="55">
        <f>AW782+AX782</f>
        <v>0</v>
      </c>
      <c r="BD782" s="55">
        <f>H782/(100-BE782)*100</f>
        <v>0</v>
      </c>
      <c r="BE782" s="55">
        <v>0</v>
      </c>
      <c r="BF782" s="55">
        <f>L782</f>
        <v>1.4998627544000001</v>
      </c>
      <c r="BH782" s="69">
        <f>G782*AO782</f>
        <v>0</v>
      </c>
      <c r="BI782" s="69">
        <f>G782*AP782</f>
        <v>0</v>
      </c>
      <c r="BJ782" s="69">
        <f>G782*H782</f>
        <v>0</v>
      </c>
      <c r="BK782" s="69"/>
      <c r="BL782" s="55">
        <v>776</v>
      </c>
      <c r="BW782" s="55">
        <v>21</v>
      </c>
      <c r="BX782" s="68" t="s">
        <v>925</v>
      </c>
    </row>
    <row r="783" spans="1:76" x14ac:dyDescent="0.25">
      <c r="A783" s="60"/>
      <c r="D783" s="61" t="s">
        <v>532</v>
      </c>
      <c r="E783" s="61" t="s">
        <v>533</v>
      </c>
      <c r="G783" s="62">
        <v>22.2</v>
      </c>
      <c r="M783" s="63"/>
    </row>
    <row r="784" spans="1:76" x14ac:dyDescent="0.25">
      <c r="A784" s="60"/>
      <c r="D784" s="61" t="s">
        <v>926</v>
      </c>
      <c r="E784" s="61" t="s">
        <v>4</v>
      </c>
      <c r="G784" s="62">
        <v>3.33</v>
      </c>
      <c r="M784" s="63"/>
    </row>
    <row r="785" spans="1:76" x14ac:dyDescent="0.25">
      <c r="A785" s="60"/>
      <c r="C785" s="64" t="s">
        <v>127</v>
      </c>
      <c r="D785" s="159" t="s">
        <v>927</v>
      </c>
      <c r="E785" s="160"/>
      <c r="F785" s="160"/>
      <c r="G785" s="160"/>
      <c r="H785" s="161"/>
      <c r="I785" s="160"/>
      <c r="J785" s="160"/>
      <c r="K785" s="160"/>
      <c r="L785" s="160"/>
      <c r="M785" s="162"/>
      <c r="BX785" s="73" t="s">
        <v>927</v>
      </c>
    </row>
    <row r="786" spans="1:76" x14ac:dyDescent="0.25">
      <c r="A786" s="1" t="s">
        <v>928</v>
      </c>
      <c r="B786" s="2" t="s">
        <v>4</v>
      </c>
      <c r="C786" s="2" t="s">
        <v>929</v>
      </c>
      <c r="D786" s="82" t="s">
        <v>930</v>
      </c>
      <c r="E786" s="83"/>
      <c r="F786" s="2" t="s">
        <v>219</v>
      </c>
      <c r="G786" s="55">
        <v>323.08</v>
      </c>
      <c r="H786" s="56">
        <v>0</v>
      </c>
      <c r="I786" s="55">
        <f>G786*H786</f>
        <v>0</v>
      </c>
      <c r="J786" s="55">
        <v>0</v>
      </c>
      <c r="K786" s="55">
        <v>8.0000000000000007E-5</v>
      </c>
      <c r="L786" s="55">
        <f>G786*K786</f>
        <v>2.5846400000000002E-2</v>
      </c>
      <c r="M786" s="57" t="s">
        <v>122</v>
      </c>
      <c r="Z786" s="55">
        <f>IF(AQ786="5",BJ786,0)</f>
        <v>0</v>
      </c>
      <c r="AB786" s="55">
        <f>IF(AQ786="1",BH786,0)</f>
        <v>0</v>
      </c>
      <c r="AC786" s="55">
        <f>IF(AQ786="1",BI786,0)</f>
        <v>0</v>
      </c>
      <c r="AD786" s="55">
        <f>IF(AQ786="7",BH786,0)</f>
        <v>0</v>
      </c>
      <c r="AE786" s="55">
        <f>IF(AQ786="7",BI786,0)</f>
        <v>0</v>
      </c>
      <c r="AF786" s="55">
        <f>IF(AQ786="2",BH786,0)</f>
        <v>0</v>
      </c>
      <c r="AG786" s="55">
        <f>IF(AQ786="2",BI786,0)</f>
        <v>0</v>
      </c>
      <c r="AH786" s="55">
        <f>IF(AQ786="0",BJ786,0)</f>
        <v>0</v>
      </c>
      <c r="AI786" s="33" t="s">
        <v>4</v>
      </c>
      <c r="AJ786" s="55">
        <f>IF(AN786=0,I786,0)</f>
        <v>0</v>
      </c>
      <c r="AK786" s="55">
        <f>IF(AN786=12,I786,0)</f>
        <v>0</v>
      </c>
      <c r="AL786" s="55">
        <f>IF(AN786=21,I786,0)</f>
        <v>0</v>
      </c>
      <c r="AN786" s="55">
        <v>21</v>
      </c>
      <c r="AO786" s="55">
        <f>H786*0.357142857</f>
        <v>0</v>
      </c>
      <c r="AP786" s="55">
        <f>H786*(1-0.357142857)</f>
        <v>0</v>
      </c>
      <c r="AQ786" s="58" t="s">
        <v>162</v>
      </c>
      <c r="AV786" s="55">
        <f>AW786+AX786</f>
        <v>0</v>
      </c>
      <c r="AW786" s="55">
        <f>G786*AO786</f>
        <v>0</v>
      </c>
      <c r="AX786" s="55">
        <f>G786*AP786</f>
        <v>0</v>
      </c>
      <c r="AY786" s="58" t="s">
        <v>921</v>
      </c>
      <c r="AZ786" s="58" t="s">
        <v>867</v>
      </c>
      <c r="BA786" s="33" t="s">
        <v>125</v>
      </c>
      <c r="BB786" s="59">
        <v>100002</v>
      </c>
      <c r="BC786" s="55">
        <f>AW786+AX786</f>
        <v>0</v>
      </c>
      <c r="BD786" s="55">
        <f>H786/(100-BE786)*100</f>
        <v>0</v>
      </c>
      <c r="BE786" s="55">
        <v>0</v>
      </c>
      <c r="BF786" s="55">
        <f>L786</f>
        <v>2.5846400000000002E-2</v>
      </c>
      <c r="BH786" s="55">
        <f>G786*AO786</f>
        <v>0</v>
      </c>
      <c r="BI786" s="55">
        <f>G786*AP786</f>
        <v>0</v>
      </c>
      <c r="BJ786" s="55">
        <f>G786*H786</f>
        <v>0</v>
      </c>
      <c r="BK786" s="55"/>
      <c r="BL786" s="55">
        <v>776</v>
      </c>
      <c r="BW786" s="55">
        <v>21</v>
      </c>
      <c r="BX786" s="3" t="s">
        <v>930</v>
      </c>
    </row>
    <row r="787" spans="1:76" ht="13.5" customHeight="1" x14ac:dyDescent="0.25">
      <c r="A787" s="60"/>
      <c r="D787" s="155" t="s">
        <v>931</v>
      </c>
      <c r="E787" s="156"/>
      <c r="F787" s="156"/>
      <c r="G787" s="156"/>
      <c r="H787" s="157"/>
      <c r="I787" s="156"/>
      <c r="J787" s="156"/>
      <c r="K787" s="156"/>
      <c r="L787" s="156"/>
      <c r="M787" s="158"/>
    </row>
    <row r="788" spans="1:76" x14ac:dyDescent="0.25">
      <c r="A788" s="60"/>
      <c r="D788" s="61" t="s">
        <v>932</v>
      </c>
      <c r="E788" s="61" t="s">
        <v>533</v>
      </c>
      <c r="G788" s="62">
        <v>17.86</v>
      </c>
      <c r="M788" s="63"/>
    </row>
    <row r="789" spans="1:76" x14ac:dyDescent="0.25">
      <c r="A789" s="60"/>
      <c r="D789" s="61" t="s">
        <v>933</v>
      </c>
      <c r="E789" s="61" t="s">
        <v>535</v>
      </c>
      <c r="G789" s="62">
        <v>17.38</v>
      </c>
      <c r="M789" s="63"/>
    </row>
    <row r="790" spans="1:76" x14ac:dyDescent="0.25">
      <c r="A790" s="60"/>
      <c r="D790" s="61" t="s">
        <v>934</v>
      </c>
      <c r="E790" s="61" t="s">
        <v>537</v>
      </c>
      <c r="G790" s="62">
        <v>17.510000000000002</v>
      </c>
      <c r="M790" s="63"/>
    </row>
    <row r="791" spans="1:76" x14ac:dyDescent="0.25">
      <c r="A791" s="60"/>
      <c r="D791" s="61" t="s">
        <v>935</v>
      </c>
      <c r="E791" s="61" t="s">
        <v>539</v>
      </c>
      <c r="G791" s="62">
        <v>17.54</v>
      </c>
      <c r="M791" s="63"/>
    </row>
    <row r="792" spans="1:76" x14ac:dyDescent="0.25">
      <c r="A792" s="60"/>
      <c r="D792" s="61" t="s">
        <v>936</v>
      </c>
      <c r="E792" s="61" t="s">
        <v>541</v>
      </c>
      <c r="G792" s="62">
        <v>16.37</v>
      </c>
      <c r="M792" s="63"/>
    </row>
    <row r="793" spans="1:76" x14ac:dyDescent="0.25">
      <c r="A793" s="60"/>
      <c r="D793" s="61" t="s">
        <v>937</v>
      </c>
      <c r="E793" s="61" t="s">
        <v>543</v>
      </c>
      <c r="G793" s="62">
        <v>16.510000000000002</v>
      </c>
      <c r="M793" s="63"/>
    </row>
    <row r="794" spans="1:76" x14ac:dyDescent="0.25">
      <c r="A794" s="60"/>
      <c r="D794" s="61" t="s">
        <v>938</v>
      </c>
      <c r="E794" s="61" t="s">
        <v>545</v>
      </c>
      <c r="G794" s="62">
        <v>10.36</v>
      </c>
      <c r="M794" s="63"/>
    </row>
    <row r="795" spans="1:76" x14ac:dyDescent="0.25">
      <c r="A795" s="60"/>
      <c r="D795" s="61" t="s">
        <v>939</v>
      </c>
      <c r="E795" s="61" t="s">
        <v>547</v>
      </c>
      <c r="G795" s="62">
        <v>26.55</v>
      </c>
      <c r="M795" s="63"/>
    </row>
    <row r="796" spans="1:76" x14ac:dyDescent="0.25">
      <c r="A796" s="60"/>
      <c r="D796" s="61" t="s">
        <v>940</v>
      </c>
      <c r="E796" s="61" t="s">
        <v>310</v>
      </c>
      <c r="G796" s="62">
        <v>116.11</v>
      </c>
      <c r="M796" s="63"/>
    </row>
    <row r="797" spans="1:76" x14ac:dyDescent="0.25">
      <c r="A797" s="60"/>
      <c r="D797" s="61" t="s">
        <v>941</v>
      </c>
      <c r="E797" s="61" t="s">
        <v>550</v>
      </c>
      <c r="G797" s="62">
        <v>28.14</v>
      </c>
      <c r="M797" s="63"/>
    </row>
    <row r="798" spans="1:76" x14ac:dyDescent="0.25">
      <c r="A798" s="60"/>
      <c r="D798" s="61" t="s">
        <v>942</v>
      </c>
      <c r="E798" s="61" t="s">
        <v>552</v>
      </c>
      <c r="G798" s="62">
        <v>20.41</v>
      </c>
      <c r="M798" s="63"/>
    </row>
    <row r="799" spans="1:76" x14ac:dyDescent="0.25">
      <c r="A799" s="60"/>
      <c r="D799" s="61" t="s">
        <v>943</v>
      </c>
      <c r="E799" s="61" t="s">
        <v>554</v>
      </c>
      <c r="G799" s="62">
        <v>18.34</v>
      </c>
      <c r="M799" s="63"/>
    </row>
    <row r="800" spans="1:76" x14ac:dyDescent="0.25">
      <c r="A800" s="1" t="s">
        <v>944</v>
      </c>
      <c r="B800" s="2" t="s">
        <v>4</v>
      </c>
      <c r="C800" s="2" t="s">
        <v>945</v>
      </c>
      <c r="D800" s="82" t="s">
        <v>946</v>
      </c>
      <c r="E800" s="83"/>
      <c r="F800" s="2" t="s">
        <v>132</v>
      </c>
      <c r="G800" s="55">
        <v>1.6290899999999999</v>
      </c>
      <c r="H800" s="56">
        <v>0</v>
      </c>
      <c r="I800" s="55">
        <f>G800*H800</f>
        <v>0</v>
      </c>
      <c r="J800" s="55">
        <v>0</v>
      </c>
      <c r="K800" s="55">
        <v>0</v>
      </c>
      <c r="L800" s="55">
        <f>G800*K800</f>
        <v>0</v>
      </c>
      <c r="M800" s="57" t="s">
        <v>122</v>
      </c>
      <c r="Z800" s="55">
        <f>IF(AQ800="5",BJ800,0)</f>
        <v>0</v>
      </c>
      <c r="AB800" s="55">
        <f>IF(AQ800="1",BH800,0)</f>
        <v>0</v>
      </c>
      <c r="AC800" s="55">
        <f>IF(AQ800="1",BI800,0)</f>
        <v>0</v>
      </c>
      <c r="AD800" s="55">
        <f>IF(AQ800="7",BH800,0)</f>
        <v>0</v>
      </c>
      <c r="AE800" s="55">
        <f>IF(AQ800="7",BI800,0)</f>
        <v>0</v>
      </c>
      <c r="AF800" s="55">
        <f>IF(AQ800="2",BH800,0)</f>
        <v>0</v>
      </c>
      <c r="AG800" s="55">
        <f>IF(AQ800="2",BI800,0)</f>
        <v>0</v>
      </c>
      <c r="AH800" s="55">
        <f>IF(AQ800="0",BJ800,0)</f>
        <v>0</v>
      </c>
      <c r="AI800" s="33" t="s">
        <v>4</v>
      </c>
      <c r="AJ800" s="55">
        <f>IF(AN800=0,I800,0)</f>
        <v>0</v>
      </c>
      <c r="AK800" s="55">
        <f>IF(AN800=12,I800,0)</f>
        <v>0</v>
      </c>
      <c r="AL800" s="55">
        <f>IF(AN800=21,I800,0)</f>
        <v>0</v>
      </c>
      <c r="AN800" s="55">
        <v>21</v>
      </c>
      <c r="AO800" s="55">
        <f>H800*0</f>
        <v>0</v>
      </c>
      <c r="AP800" s="55">
        <f>H800*(1-0)</f>
        <v>0</v>
      </c>
      <c r="AQ800" s="58" t="s">
        <v>139</v>
      </c>
      <c r="AV800" s="55">
        <f>AW800+AX800</f>
        <v>0</v>
      </c>
      <c r="AW800" s="55">
        <f>G800*AO800</f>
        <v>0</v>
      </c>
      <c r="AX800" s="55">
        <f>G800*AP800</f>
        <v>0</v>
      </c>
      <c r="AY800" s="58" t="s">
        <v>921</v>
      </c>
      <c r="AZ800" s="58" t="s">
        <v>867</v>
      </c>
      <c r="BA800" s="33" t="s">
        <v>125</v>
      </c>
      <c r="BB800" s="59">
        <v>100052</v>
      </c>
      <c r="BC800" s="55">
        <f>AW800+AX800</f>
        <v>0</v>
      </c>
      <c r="BD800" s="55">
        <f>H800/(100-BE800)*100</f>
        <v>0</v>
      </c>
      <c r="BE800" s="55">
        <v>0</v>
      </c>
      <c r="BF800" s="55">
        <f>L800</f>
        <v>0</v>
      </c>
      <c r="BH800" s="55">
        <f>G800*AO800</f>
        <v>0</v>
      </c>
      <c r="BI800" s="55">
        <f>G800*AP800</f>
        <v>0</v>
      </c>
      <c r="BJ800" s="55">
        <f>G800*H800</f>
        <v>0</v>
      </c>
      <c r="BK800" s="55"/>
      <c r="BL800" s="55">
        <v>776</v>
      </c>
      <c r="BW800" s="55">
        <v>21</v>
      </c>
      <c r="BX800" s="3" t="s">
        <v>946</v>
      </c>
    </row>
    <row r="801" spans="1:76" x14ac:dyDescent="0.25">
      <c r="A801" s="50" t="s">
        <v>4</v>
      </c>
      <c r="B801" s="51" t="s">
        <v>4</v>
      </c>
      <c r="C801" s="51" t="s">
        <v>947</v>
      </c>
      <c r="D801" s="153" t="s">
        <v>948</v>
      </c>
      <c r="E801" s="154"/>
      <c r="F801" s="52" t="s">
        <v>78</v>
      </c>
      <c r="G801" s="52" t="s">
        <v>78</v>
      </c>
      <c r="H801" s="53" t="s">
        <v>78</v>
      </c>
      <c r="I801" s="26">
        <f>SUM(I802:I930)</f>
        <v>0</v>
      </c>
      <c r="J801" s="33" t="s">
        <v>4</v>
      </c>
      <c r="K801" s="33" t="s">
        <v>4</v>
      </c>
      <c r="L801" s="26">
        <f>SUM(L802:L930)</f>
        <v>5.4458679700000001</v>
      </c>
      <c r="M801" s="54" t="s">
        <v>4</v>
      </c>
      <c r="AI801" s="33" t="s">
        <v>4</v>
      </c>
      <c r="AS801" s="26">
        <f>SUM(AJ802:AJ930)</f>
        <v>0</v>
      </c>
      <c r="AT801" s="26">
        <f>SUM(AK802:AK930)</f>
        <v>0</v>
      </c>
      <c r="AU801" s="26">
        <f>SUM(AL802:AL930)</f>
        <v>0</v>
      </c>
    </row>
    <row r="802" spans="1:76" x14ac:dyDescent="0.25">
      <c r="A802" s="1" t="s">
        <v>949</v>
      </c>
      <c r="B802" s="2" t="s">
        <v>4</v>
      </c>
      <c r="C802" s="2" t="s">
        <v>950</v>
      </c>
      <c r="D802" s="82" t="s">
        <v>951</v>
      </c>
      <c r="E802" s="83"/>
      <c r="F802" s="2" t="s">
        <v>157</v>
      </c>
      <c r="G802" s="55">
        <v>327.65100000000001</v>
      </c>
      <c r="H802" s="56">
        <v>0</v>
      </c>
      <c r="I802" s="55">
        <f>G802*H802</f>
        <v>0</v>
      </c>
      <c r="J802" s="55">
        <v>0</v>
      </c>
      <c r="K802" s="55">
        <v>2.1000000000000001E-4</v>
      </c>
      <c r="L802" s="55">
        <f>G802*K802</f>
        <v>6.8806710000000007E-2</v>
      </c>
      <c r="M802" s="57" t="s">
        <v>122</v>
      </c>
      <c r="Z802" s="55">
        <f>IF(AQ802="5",BJ802,0)</f>
        <v>0</v>
      </c>
      <c r="AB802" s="55">
        <f>IF(AQ802="1",BH802,0)</f>
        <v>0</v>
      </c>
      <c r="AC802" s="55">
        <f>IF(AQ802="1",BI802,0)</f>
        <v>0</v>
      </c>
      <c r="AD802" s="55">
        <f>IF(AQ802="7",BH802,0)</f>
        <v>0</v>
      </c>
      <c r="AE802" s="55">
        <f>IF(AQ802="7",BI802,0)</f>
        <v>0</v>
      </c>
      <c r="AF802" s="55">
        <f>IF(AQ802="2",BH802,0)</f>
        <v>0</v>
      </c>
      <c r="AG802" s="55">
        <f>IF(AQ802="2",BI802,0)</f>
        <v>0</v>
      </c>
      <c r="AH802" s="55">
        <f>IF(AQ802="0",BJ802,0)</f>
        <v>0</v>
      </c>
      <c r="AI802" s="33" t="s">
        <v>4</v>
      </c>
      <c r="AJ802" s="55">
        <f>IF(AN802=0,I802,0)</f>
        <v>0</v>
      </c>
      <c r="AK802" s="55">
        <f>IF(AN802=12,I802,0)</f>
        <v>0</v>
      </c>
      <c r="AL802" s="55">
        <f>IF(AN802=21,I802,0)</f>
        <v>0</v>
      </c>
      <c r="AN802" s="55">
        <v>21</v>
      </c>
      <c r="AO802" s="55">
        <f>H802*0.472426587</f>
        <v>0</v>
      </c>
      <c r="AP802" s="55">
        <f>H802*(1-0.472426587)</f>
        <v>0</v>
      </c>
      <c r="AQ802" s="58" t="s">
        <v>162</v>
      </c>
      <c r="AV802" s="55">
        <f>AW802+AX802</f>
        <v>0</v>
      </c>
      <c r="AW802" s="55">
        <f>G802*AO802</f>
        <v>0</v>
      </c>
      <c r="AX802" s="55">
        <f>G802*AP802</f>
        <v>0</v>
      </c>
      <c r="AY802" s="58" t="s">
        <v>952</v>
      </c>
      <c r="AZ802" s="58" t="s">
        <v>953</v>
      </c>
      <c r="BA802" s="33" t="s">
        <v>125</v>
      </c>
      <c r="BB802" s="59">
        <v>100012</v>
      </c>
      <c r="BC802" s="55">
        <f>AW802+AX802</f>
        <v>0</v>
      </c>
      <c r="BD802" s="55">
        <f>H802/(100-BE802)*100</f>
        <v>0</v>
      </c>
      <c r="BE802" s="55">
        <v>0</v>
      </c>
      <c r="BF802" s="55">
        <f>L802</f>
        <v>6.8806710000000007E-2</v>
      </c>
      <c r="BH802" s="55">
        <f>G802*AO802</f>
        <v>0</v>
      </c>
      <c r="BI802" s="55">
        <f>G802*AP802</f>
        <v>0</v>
      </c>
      <c r="BJ802" s="55">
        <f>G802*H802</f>
        <v>0</v>
      </c>
      <c r="BK802" s="55"/>
      <c r="BL802" s="55">
        <v>781</v>
      </c>
      <c r="BW802" s="55">
        <v>21</v>
      </c>
      <c r="BX802" s="3" t="s">
        <v>951</v>
      </c>
    </row>
    <row r="803" spans="1:76" x14ac:dyDescent="0.25">
      <c r="A803" s="60"/>
      <c r="D803" s="61" t="s">
        <v>954</v>
      </c>
      <c r="E803" s="61" t="s">
        <v>955</v>
      </c>
      <c r="G803" s="62">
        <v>1.44</v>
      </c>
      <c r="M803" s="63"/>
    </row>
    <row r="804" spans="1:76" x14ac:dyDescent="0.25">
      <c r="A804" s="60"/>
      <c r="D804" s="61" t="s">
        <v>956</v>
      </c>
      <c r="E804" s="61" t="s">
        <v>339</v>
      </c>
      <c r="G804" s="62">
        <v>8.9250000000000007</v>
      </c>
      <c r="M804" s="63"/>
    </row>
    <row r="805" spans="1:76" x14ac:dyDescent="0.25">
      <c r="A805" s="60"/>
      <c r="D805" s="61" t="s">
        <v>340</v>
      </c>
      <c r="E805" s="61" t="s">
        <v>341</v>
      </c>
      <c r="G805" s="62">
        <v>14.125</v>
      </c>
      <c r="M805" s="63"/>
    </row>
    <row r="806" spans="1:76" x14ac:dyDescent="0.25">
      <c r="A806" s="60"/>
      <c r="D806" s="61" t="s">
        <v>342</v>
      </c>
      <c r="E806" s="61" t="s">
        <v>343</v>
      </c>
      <c r="G806" s="62">
        <v>22.076499999999999</v>
      </c>
      <c r="M806" s="63"/>
    </row>
    <row r="807" spans="1:76" x14ac:dyDescent="0.25">
      <c r="A807" s="60"/>
      <c r="D807" s="61" t="s">
        <v>289</v>
      </c>
      <c r="E807" s="61" t="s">
        <v>290</v>
      </c>
      <c r="G807" s="62">
        <v>36.3245</v>
      </c>
      <c r="M807" s="63"/>
    </row>
    <row r="808" spans="1:76" x14ac:dyDescent="0.25">
      <c r="A808" s="60"/>
      <c r="D808" s="61" t="s">
        <v>660</v>
      </c>
      <c r="E808" s="61" t="s">
        <v>513</v>
      </c>
      <c r="G808" s="62">
        <v>21.7195</v>
      </c>
      <c r="M808" s="63"/>
    </row>
    <row r="809" spans="1:76" x14ac:dyDescent="0.25">
      <c r="A809" s="60"/>
      <c r="D809" s="61" t="s">
        <v>661</v>
      </c>
      <c r="E809" s="61" t="s">
        <v>515</v>
      </c>
      <c r="G809" s="62">
        <v>21.439</v>
      </c>
      <c r="M809" s="63"/>
    </row>
    <row r="810" spans="1:76" x14ac:dyDescent="0.25">
      <c r="A810" s="60"/>
      <c r="D810" s="61" t="s">
        <v>662</v>
      </c>
      <c r="E810" s="61" t="s">
        <v>517</v>
      </c>
      <c r="G810" s="62">
        <v>22.765000000000001</v>
      </c>
      <c r="M810" s="63"/>
    </row>
    <row r="811" spans="1:76" x14ac:dyDescent="0.25">
      <c r="A811" s="60"/>
      <c r="D811" s="61" t="s">
        <v>663</v>
      </c>
      <c r="E811" s="61" t="s">
        <v>519</v>
      </c>
      <c r="G811" s="62">
        <v>45.887999999999998</v>
      </c>
      <c r="M811" s="63"/>
    </row>
    <row r="812" spans="1:76" x14ac:dyDescent="0.25">
      <c r="A812" s="60"/>
      <c r="D812" s="61" t="s">
        <v>307</v>
      </c>
      <c r="E812" s="61" t="s">
        <v>308</v>
      </c>
      <c r="G812" s="62">
        <v>23.050999999999998</v>
      </c>
      <c r="M812" s="63"/>
    </row>
    <row r="813" spans="1:76" x14ac:dyDescent="0.25">
      <c r="A813" s="60"/>
      <c r="D813" s="61" t="s">
        <v>664</v>
      </c>
      <c r="E813" s="61" t="s">
        <v>312</v>
      </c>
      <c r="G813" s="62">
        <v>18.861999999999998</v>
      </c>
      <c r="M813" s="63"/>
    </row>
    <row r="814" spans="1:76" x14ac:dyDescent="0.25">
      <c r="A814" s="60"/>
      <c r="D814" s="61" t="s">
        <v>957</v>
      </c>
      <c r="E814" s="61" t="s">
        <v>958</v>
      </c>
      <c r="G814" s="62">
        <v>3.282</v>
      </c>
      <c r="M814" s="63"/>
    </row>
    <row r="815" spans="1:76" x14ac:dyDescent="0.25">
      <c r="A815" s="60"/>
      <c r="D815" s="61" t="s">
        <v>317</v>
      </c>
      <c r="E815" s="61" t="s">
        <v>318</v>
      </c>
      <c r="G815" s="62">
        <v>13.188499999999999</v>
      </c>
      <c r="M815" s="63"/>
    </row>
    <row r="816" spans="1:76" x14ac:dyDescent="0.25">
      <c r="A816" s="60"/>
      <c r="D816" s="61" t="s">
        <v>665</v>
      </c>
      <c r="E816" s="61" t="s">
        <v>525</v>
      </c>
      <c r="G816" s="62">
        <v>29.406500000000001</v>
      </c>
      <c r="M816" s="63"/>
    </row>
    <row r="817" spans="1:76" x14ac:dyDescent="0.25">
      <c r="A817" s="60"/>
      <c r="D817" s="61" t="s">
        <v>323</v>
      </c>
      <c r="E817" s="61" t="s">
        <v>324</v>
      </c>
      <c r="G817" s="62">
        <v>21.119</v>
      </c>
      <c r="M817" s="63"/>
    </row>
    <row r="818" spans="1:76" x14ac:dyDescent="0.25">
      <c r="A818" s="60"/>
      <c r="D818" s="61" t="s">
        <v>325</v>
      </c>
      <c r="E818" s="61" t="s">
        <v>326</v>
      </c>
      <c r="G818" s="62">
        <v>20.991499999999998</v>
      </c>
      <c r="M818" s="63"/>
    </row>
    <row r="819" spans="1:76" x14ac:dyDescent="0.25">
      <c r="A819" s="60"/>
      <c r="D819" s="61" t="s">
        <v>959</v>
      </c>
      <c r="E819" s="61" t="s">
        <v>387</v>
      </c>
      <c r="G819" s="62">
        <v>3.048</v>
      </c>
      <c r="M819" s="63"/>
    </row>
    <row r="820" spans="1:76" x14ac:dyDescent="0.25">
      <c r="A820" s="60"/>
      <c r="C820" s="64" t="s">
        <v>127</v>
      </c>
      <c r="D820" s="159" t="s">
        <v>960</v>
      </c>
      <c r="E820" s="160"/>
      <c r="F820" s="160"/>
      <c r="G820" s="160"/>
      <c r="H820" s="161"/>
      <c r="I820" s="160"/>
      <c r="J820" s="160"/>
      <c r="K820" s="160"/>
      <c r="L820" s="160"/>
      <c r="M820" s="162"/>
      <c r="BX820" s="65" t="s">
        <v>960</v>
      </c>
    </row>
    <row r="821" spans="1:76" x14ac:dyDescent="0.25">
      <c r="A821" s="1" t="s">
        <v>961</v>
      </c>
      <c r="B821" s="2" t="s">
        <v>4</v>
      </c>
      <c r="C821" s="2" t="s">
        <v>962</v>
      </c>
      <c r="D821" s="82" t="s">
        <v>963</v>
      </c>
      <c r="E821" s="83"/>
      <c r="F821" s="2" t="s">
        <v>157</v>
      </c>
      <c r="G821" s="55">
        <v>327.65100000000001</v>
      </c>
      <c r="H821" s="56">
        <v>0</v>
      </c>
      <c r="I821" s="55">
        <f>G821*H821</f>
        <v>0</v>
      </c>
      <c r="J821" s="55">
        <v>0</v>
      </c>
      <c r="K821" s="55">
        <v>4.7800000000000004E-3</v>
      </c>
      <c r="L821" s="55">
        <f>G821*K821</f>
        <v>1.5661717800000001</v>
      </c>
      <c r="M821" s="57" t="s">
        <v>122</v>
      </c>
      <c r="Z821" s="55">
        <f>IF(AQ821="5",BJ821,0)</f>
        <v>0</v>
      </c>
      <c r="AB821" s="55">
        <f>IF(AQ821="1",BH821,0)</f>
        <v>0</v>
      </c>
      <c r="AC821" s="55">
        <f>IF(AQ821="1",BI821,0)</f>
        <v>0</v>
      </c>
      <c r="AD821" s="55">
        <f>IF(AQ821="7",BH821,0)</f>
        <v>0</v>
      </c>
      <c r="AE821" s="55">
        <f>IF(AQ821="7",BI821,0)</f>
        <v>0</v>
      </c>
      <c r="AF821" s="55">
        <f>IF(AQ821="2",BH821,0)</f>
        <v>0</v>
      </c>
      <c r="AG821" s="55">
        <f>IF(AQ821="2",BI821,0)</f>
        <v>0</v>
      </c>
      <c r="AH821" s="55">
        <f>IF(AQ821="0",BJ821,0)</f>
        <v>0</v>
      </c>
      <c r="AI821" s="33" t="s">
        <v>4</v>
      </c>
      <c r="AJ821" s="55">
        <f>IF(AN821=0,I821,0)</f>
        <v>0</v>
      </c>
      <c r="AK821" s="55">
        <f>IF(AN821=12,I821,0)</f>
        <v>0</v>
      </c>
      <c r="AL821" s="55">
        <f>IF(AN821=21,I821,0)</f>
        <v>0</v>
      </c>
      <c r="AN821" s="55">
        <v>21</v>
      </c>
      <c r="AO821" s="55">
        <f>H821*0.143084004</f>
        <v>0</v>
      </c>
      <c r="AP821" s="55">
        <f>H821*(1-0.143084004)</f>
        <v>0</v>
      </c>
      <c r="AQ821" s="58" t="s">
        <v>162</v>
      </c>
      <c r="AV821" s="55">
        <f>AW821+AX821</f>
        <v>0</v>
      </c>
      <c r="AW821" s="55">
        <f>G821*AO821</f>
        <v>0</v>
      </c>
      <c r="AX821" s="55">
        <f>G821*AP821</f>
        <v>0</v>
      </c>
      <c r="AY821" s="58" t="s">
        <v>952</v>
      </c>
      <c r="AZ821" s="58" t="s">
        <v>953</v>
      </c>
      <c r="BA821" s="33" t="s">
        <v>125</v>
      </c>
      <c r="BB821" s="59">
        <v>100012</v>
      </c>
      <c r="BC821" s="55">
        <f>AW821+AX821</f>
        <v>0</v>
      </c>
      <c r="BD821" s="55">
        <f>H821/(100-BE821)*100</f>
        <v>0</v>
      </c>
      <c r="BE821" s="55">
        <v>0</v>
      </c>
      <c r="BF821" s="55">
        <f>L821</f>
        <v>1.5661717800000001</v>
      </c>
      <c r="BH821" s="55">
        <f>G821*AO821</f>
        <v>0</v>
      </c>
      <c r="BI821" s="55">
        <f>G821*AP821</f>
        <v>0</v>
      </c>
      <c r="BJ821" s="55">
        <f>G821*H821</f>
        <v>0</v>
      </c>
      <c r="BK821" s="55"/>
      <c r="BL821" s="55">
        <v>781</v>
      </c>
      <c r="BW821" s="55">
        <v>21</v>
      </c>
      <c r="BX821" s="3" t="s">
        <v>963</v>
      </c>
    </row>
    <row r="822" spans="1:76" ht="13.5" customHeight="1" x14ac:dyDescent="0.25">
      <c r="A822" s="60"/>
      <c r="D822" s="155" t="s">
        <v>964</v>
      </c>
      <c r="E822" s="156"/>
      <c r="F822" s="156"/>
      <c r="G822" s="156"/>
      <c r="H822" s="157"/>
      <c r="I822" s="156"/>
      <c r="J822" s="156"/>
      <c r="K822" s="156"/>
      <c r="L822" s="156"/>
      <c r="M822" s="158"/>
    </row>
    <row r="823" spans="1:76" x14ac:dyDescent="0.25">
      <c r="A823" s="60"/>
      <c r="D823" s="61" t="s">
        <v>954</v>
      </c>
      <c r="E823" s="61" t="s">
        <v>955</v>
      </c>
      <c r="G823" s="62">
        <v>1.44</v>
      </c>
      <c r="M823" s="63"/>
    </row>
    <row r="824" spans="1:76" x14ac:dyDescent="0.25">
      <c r="A824" s="60"/>
      <c r="D824" s="61" t="s">
        <v>956</v>
      </c>
      <c r="E824" s="61" t="s">
        <v>339</v>
      </c>
      <c r="G824" s="62">
        <v>8.9250000000000007</v>
      </c>
      <c r="M824" s="63"/>
    </row>
    <row r="825" spans="1:76" x14ac:dyDescent="0.25">
      <c r="A825" s="60"/>
      <c r="D825" s="61" t="s">
        <v>340</v>
      </c>
      <c r="E825" s="61" t="s">
        <v>341</v>
      </c>
      <c r="G825" s="62">
        <v>14.125</v>
      </c>
      <c r="M825" s="63"/>
    </row>
    <row r="826" spans="1:76" x14ac:dyDescent="0.25">
      <c r="A826" s="60"/>
      <c r="D826" s="61" t="s">
        <v>342</v>
      </c>
      <c r="E826" s="61" t="s">
        <v>343</v>
      </c>
      <c r="G826" s="62">
        <v>22.076499999999999</v>
      </c>
      <c r="M826" s="63"/>
    </row>
    <row r="827" spans="1:76" x14ac:dyDescent="0.25">
      <c r="A827" s="60"/>
      <c r="D827" s="61" t="s">
        <v>289</v>
      </c>
      <c r="E827" s="61" t="s">
        <v>290</v>
      </c>
      <c r="G827" s="62">
        <v>36.3245</v>
      </c>
      <c r="M827" s="63"/>
    </row>
    <row r="828" spans="1:76" x14ac:dyDescent="0.25">
      <c r="A828" s="60"/>
      <c r="D828" s="61" t="s">
        <v>660</v>
      </c>
      <c r="E828" s="61" t="s">
        <v>513</v>
      </c>
      <c r="G828" s="62">
        <v>21.7195</v>
      </c>
      <c r="M828" s="63"/>
    </row>
    <row r="829" spans="1:76" x14ac:dyDescent="0.25">
      <c r="A829" s="60"/>
      <c r="D829" s="61" t="s">
        <v>661</v>
      </c>
      <c r="E829" s="61" t="s">
        <v>515</v>
      </c>
      <c r="G829" s="62">
        <v>21.439</v>
      </c>
      <c r="M829" s="63"/>
    </row>
    <row r="830" spans="1:76" x14ac:dyDescent="0.25">
      <c r="A830" s="60"/>
      <c r="D830" s="61" t="s">
        <v>662</v>
      </c>
      <c r="E830" s="61" t="s">
        <v>517</v>
      </c>
      <c r="G830" s="62">
        <v>22.765000000000001</v>
      </c>
      <c r="M830" s="63"/>
    </row>
    <row r="831" spans="1:76" x14ac:dyDescent="0.25">
      <c r="A831" s="60"/>
      <c r="D831" s="61" t="s">
        <v>663</v>
      </c>
      <c r="E831" s="61" t="s">
        <v>519</v>
      </c>
      <c r="G831" s="62">
        <v>45.887999999999998</v>
      </c>
      <c r="M831" s="63"/>
    </row>
    <row r="832" spans="1:76" x14ac:dyDescent="0.25">
      <c r="A832" s="60"/>
      <c r="D832" s="61" t="s">
        <v>307</v>
      </c>
      <c r="E832" s="61" t="s">
        <v>308</v>
      </c>
      <c r="G832" s="62">
        <v>23.050999999999998</v>
      </c>
      <c r="M832" s="63"/>
    </row>
    <row r="833" spans="1:76" x14ac:dyDescent="0.25">
      <c r="A833" s="60"/>
      <c r="D833" s="61" t="s">
        <v>664</v>
      </c>
      <c r="E833" s="61" t="s">
        <v>312</v>
      </c>
      <c r="G833" s="62">
        <v>18.861999999999998</v>
      </c>
      <c r="M833" s="63"/>
    </row>
    <row r="834" spans="1:76" x14ac:dyDescent="0.25">
      <c r="A834" s="60"/>
      <c r="D834" s="61" t="s">
        <v>957</v>
      </c>
      <c r="E834" s="61" t="s">
        <v>958</v>
      </c>
      <c r="G834" s="62">
        <v>3.282</v>
      </c>
      <c r="M834" s="63"/>
    </row>
    <row r="835" spans="1:76" x14ac:dyDescent="0.25">
      <c r="A835" s="60"/>
      <c r="D835" s="61" t="s">
        <v>317</v>
      </c>
      <c r="E835" s="61" t="s">
        <v>318</v>
      </c>
      <c r="G835" s="62">
        <v>13.188499999999999</v>
      </c>
      <c r="M835" s="63"/>
    </row>
    <row r="836" spans="1:76" x14ac:dyDescent="0.25">
      <c r="A836" s="60"/>
      <c r="D836" s="61" t="s">
        <v>665</v>
      </c>
      <c r="E836" s="61" t="s">
        <v>525</v>
      </c>
      <c r="G836" s="62">
        <v>29.406500000000001</v>
      </c>
      <c r="M836" s="63"/>
    </row>
    <row r="837" spans="1:76" x14ac:dyDescent="0.25">
      <c r="A837" s="60"/>
      <c r="D837" s="61" t="s">
        <v>323</v>
      </c>
      <c r="E837" s="61" t="s">
        <v>324</v>
      </c>
      <c r="G837" s="62">
        <v>21.119</v>
      </c>
      <c r="M837" s="63"/>
    </row>
    <row r="838" spans="1:76" x14ac:dyDescent="0.25">
      <c r="A838" s="60"/>
      <c r="D838" s="61" t="s">
        <v>325</v>
      </c>
      <c r="E838" s="61" t="s">
        <v>326</v>
      </c>
      <c r="G838" s="62">
        <v>20.991499999999998</v>
      </c>
      <c r="M838" s="63"/>
    </row>
    <row r="839" spans="1:76" x14ac:dyDescent="0.25">
      <c r="A839" s="60"/>
      <c r="D839" s="61" t="s">
        <v>959</v>
      </c>
      <c r="E839" s="61" t="s">
        <v>387</v>
      </c>
      <c r="G839" s="62">
        <v>3.048</v>
      </c>
      <c r="M839" s="63"/>
    </row>
    <row r="840" spans="1:76" x14ac:dyDescent="0.25">
      <c r="A840" s="66" t="s">
        <v>965</v>
      </c>
      <c r="B840" s="67" t="s">
        <v>4</v>
      </c>
      <c r="C840" s="67" t="s">
        <v>966</v>
      </c>
      <c r="D840" s="163" t="s">
        <v>967</v>
      </c>
      <c r="E840" s="164"/>
      <c r="F840" s="67" t="s">
        <v>157</v>
      </c>
      <c r="G840" s="69">
        <v>360.41879999999998</v>
      </c>
      <c r="H840" s="70">
        <v>0</v>
      </c>
      <c r="I840" s="69">
        <f>G840*H840</f>
        <v>0</v>
      </c>
      <c r="J840" s="69">
        <v>0</v>
      </c>
      <c r="K840" s="69">
        <v>1.0500000000000001E-2</v>
      </c>
      <c r="L840" s="69">
        <f>G840*K840</f>
        <v>3.7843974</v>
      </c>
      <c r="M840" s="71" t="s">
        <v>122</v>
      </c>
      <c r="Z840" s="55">
        <f>IF(AQ840="5",BJ840,0)</f>
        <v>0</v>
      </c>
      <c r="AB840" s="55">
        <f>IF(AQ840="1",BH840,0)</f>
        <v>0</v>
      </c>
      <c r="AC840" s="55">
        <f>IF(AQ840="1",BI840,0)</f>
        <v>0</v>
      </c>
      <c r="AD840" s="55">
        <f>IF(AQ840="7",BH840,0)</f>
        <v>0</v>
      </c>
      <c r="AE840" s="55">
        <f>IF(AQ840="7",BI840,0)</f>
        <v>0</v>
      </c>
      <c r="AF840" s="55">
        <f>IF(AQ840="2",BH840,0)</f>
        <v>0</v>
      </c>
      <c r="AG840" s="55">
        <f>IF(AQ840="2",BI840,0)</f>
        <v>0</v>
      </c>
      <c r="AH840" s="55">
        <f>IF(AQ840="0",BJ840,0)</f>
        <v>0</v>
      </c>
      <c r="AI840" s="33" t="s">
        <v>4</v>
      </c>
      <c r="AJ840" s="69">
        <f>IF(AN840=0,I840,0)</f>
        <v>0</v>
      </c>
      <c r="AK840" s="69">
        <f>IF(AN840=12,I840,0)</f>
        <v>0</v>
      </c>
      <c r="AL840" s="69">
        <f>IF(AN840=21,I840,0)</f>
        <v>0</v>
      </c>
      <c r="AN840" s="55">
        <v>21</v>
      </c>
      <c r="AO840" s="55">
        <f>H840*1</f>
        <v>0</v>
      </c>
      <c r="AP840" s="55">
        <f>H840*(1-1)</f>
        <v>0</v>
      </c>
      <c r="AQ840" s="72" t="s">
        <v>162</v>
      </c>
      <c r="AV840" s="55">
        <f>AW840+AX840</f>
        <v>0</v>
      </c>
      <c r="AW840" s="55">
        <f>G840*AO840</f>
        <v>0</v>
      </c>
      <c r="AX840" s="55">
        <f>G840*AP840</f>
        <v>0</v>
      </c>
      <c r="AY840" s="58" t="s">
        <v>952</v>
      </c>
      <c r="AZ840" s="58" t="s">
        <v>953</v>
      </c>
      <c r="BA840" s="33" t="s">
        <v>125</v>
      </c>
      <c r="BC840" s="55">
        <f>AW840+AX840</f>
        <v>0</v>
      </c>
      <c r="BD840" s="55">
        <f>H840/(100-BE840)*100</f>
        <v>0</v>
      </c>
      <c r="BE840" s="55">
        <v>0</v>
      </c>
      <c r="BF840" s="55">
        <f>L840</f>
        <v>3.7843974</v>
      </c>
      <c r="BH840" s="69">
        <f>G840*AO840</f>
        <v>0</v>
      </c>
      <c r="BI840" s="69">
        <f>G840*AP840</f>
        <v>0</v>
      </c>
      <c r="BJ840" s="69">
        <f>G840*H840</f>
        <v>0</v>
      </c>
      <c r="BK840" s="69"/>
      <c r="BL840" s="55">
        <v>781</v>
      </c>
      <c r="BW840" s="55">
        <v>21</v>
      </c>
      <c r="BX840" s="68" t="s">
        <v>967</v>
      </c>
    </row>
    <row r="841" spans="1:76" x14ac:dyDescent="0.25">
      <c r="A841" s="60"/>
      <c r="D841" s="61" t="s">
        <v>954</v>
      </c>
      <c r="E841" s="61" t="s">
        <v>955</v>
      </c>
      <c r="G841" s="62">
        <v>1.44</v>
      </c>
      <c r="M841" s="63"/>
    </row>
    <row r="842" spans="1:76" x14ac:dyDescent="0.25">
      <c r="A842" s="60"/>
      <c r="D842" s="61" t="s">
        <v>968</v>
      </c>
      <c r="E842" s="61" t="s">
        <v>4</v>
      </c>
      <c r="G842" s="62">
        <v>0.14399999999999999</v>
      </c>
      <c r="M842" s="63"/>
    </row>
    <row r="843" spans="1:76" x14ac:dyDescent="0.25">
      <c r="A843" s="60"/>
      <c r="C843" s="64" t="s">
        <v>127</v>
      </c>
      <c r="D843" s="159" t="s">
        <v>969</v>
      </c>
      <c r="E843" s="160"/>
      <c r="F843" s="160"/>
      <c r="G843" s="160"/>
      <c r="H843" s="161"/>
      <c r="I843" s="160"/>
      <c r="J843" s="160"/>
      <c r="K843" s="160"/>
      <c r="L843" s="160"/>
      <c r="M843" s="162"/>
      <c r="BX843" s="73" t="s">
        <v>969</v>
      </c>
    </row>
    <row r="844" spans="1:76" x14ac:dyDescent="0.25">
      <c r="A844" s="1" t="s">
        <v>970</v>
      </c>
      <c r="B844" s="2" t="s">
        <v>4</v>
      </c>
      <c r="C844" s="2" t="s">
        <v>971</v>
      </c>
      <c r="D844" s="82" t="s">
        <v>972</v>
      </c>
      <c r="E844" s="83"/>
      <c r="F844" s="2" t="s">
        <v>145</v>
      </c>
      <c r="G844" s="55">
        <v>58</v>
      </c>
      <c r="H844" s="56">
        <v>0</v>
      </c>
      <c r="I844" s="55">
        <f>G844*H844</f>
        <v>0</v>
      </c>
      <c r="J844" s="55">
        <v>0</v>
      </c>
      <c r="K844" s="55">
        <v>0</v>
      </c>
      <c r="L844" s="55">
        <f>G844*K844</f>
        <v>0</v>
      </c>
      <c r="M844" s="57" t="s">
        <v>122</v>
      </c>
      <c r="Z844" s="55">
        <f>IF(AQ844="5",BJ844,0)</f>
        <v>0</v>
      </c>
      <c r="AB844" s="55">
        <f>IF(AQ844="1",BH844,0)</f>
        <v>0</v>
      </c>
      <c r="AC844" s="55">
        <f>IF(AQ844="1",BI844,0)</f>
        <v>0</v>
      </c>
      <c r="AD844" s="55">
        <f>IF(AQ844="7",BH844,0)</f>
        <v>0</v>
      </c>
      <c r="AE844" s="55">
        <f>IF(AQ844="7",BI844,0)</f>
        <v>0</v>
      </c>
      <c r="AF844" s="55">
        <f>IF(AQ844="2",BH844,0)</f>
        <v>0</v>
      </c>
      <c r="AG844" s="55">
        <f>IF(AQ844="2",BI844,0)</f>
        <v>0</v>
      </c>
      <c r="AH844" s="55">
        <f>IF(AQ844="0",BJ844,0)</f>
        <v>0</v>
      </c>
      <c r="AI844" s="33" t="s">
        <v>4</v>
      </c>
      <c r="AJ844" s="55">
        <f>IF(AN844=0,I844,0)</f>
        <v>0</v>
      </c>
      <c r="AK844" s="55">
        <f>IF(AN844=12,I844,0)</f>
        <v>0</v>
      </c>
      <c r="AL844" s="55">
        <f>IF(AN844=21,I844,0)</f>
        <v>0</v>
      </c>
      <c r="AN844" s="55">
        <v>21</v>
      </c>
      <c r="AO844" s="55">
        <f>H844*0.027118644</f>
        <v>0</v>
      </c>
      <c r="AP844" s="55">
        <f>H844*(1-0.027118644)</f>
        <v>0</v>
      </c>
      <c r="AQ844" s="58" t="s">
        <v>162</v>
      </c>
      <c r="AV844" s="55">
        <f>AW844+AX844</f>
        <v>0</v>
      </c>
      <c r="AW844" s="55">
        <f>G844*AO844</f>
        <v>0</v>
      </c>
      <c r="AX844" s="55">
        <f>G844*AP844</f>
        <v>0</v>
      </c>
      <c r="AY844" s="58" t="s">
        <v>952</v>
      </c>
      <c r="AZ844" s="58" t="s">
        <v>953</v>
      </c>
      <c r="BA844" s="33" t="s">
        <v>125</v>
      </c>
      <c r="BB844" s="59">
        <v>100012</v>
      </c>
      <c r="BC844" s="55">
        <f>AW844+AX844</f>
        <v>0</v>
      </c>
      <c r="BD844" s="55">
        <f>H844/(100-BE844)*100</f>
        <v>0</v>
      </c>
      <c r="BE844" s="55">
        <v>0</v>
      </c>
      <c r="BF844" s="55">
        <f>L844</f>
        <v>0</v>
      </c>
      <c r="BH844" s="55">
        <f>G844*AO844</f>
        <v>0</v>
      </c>
      <c r="BI844" s="55">
        <f>G844*AP844</f>
        <v>0</v>
      </c>
      <c r="BJ844" s="55">
        <f>G844*H844</f>
        <v>0</v>
      </c>
      <c r="BK844" s="55"/>
      <c r="BL844" s="55">
        <v>781</v>
      </c>
      <c r="BW844" s="55">
        <v>21</v>
      </c>
      <c r="BX844" s="3" t="s">
        <v>972</v>
      </c>
    </row>
    <row r="845" spans="1:76" x14ac:dyDescent="0.25">
      <c r="A845" s="60"/>
      <c r="D845" s="61" t="s">
        <v>129</v>
      </c>
      <c r="E845" s="61" t="s">
        <v>679</v>
      </c>
      <c r="G845" s="62">
        <v>2</v>
      </c>
      <c r="M845" s="63"/>
    </row>
    <row r="846" spans="1:76" x14ac:dyDescent="0.25">
      <c r="A846" s="60"/>
      <c r="D846" s="61" t="s">
        <v>142</v>
      </c>
      <c r="E846" s="61" t="s">
        <v>659</v>
      </c>
      <c r="G846" s="62">
        <v>4</v>
      </c>
      <c r="M846" s="63"/>
    </row>
    <row r="847" spans="1:76" x14ac:dyDescent="0.25">
      <c r="A847" s="60"/>
      <c r="D847" s="61" t="s">
        <v>169</v>
      </c>
      <c r="E847" s="61" t="s">
        <v>643</v>
      </c>
      <c r="G847" s="62">
        <v>8</v>
      </c>
      <c r="M847" s="63"/>
    </row>
    <row r="848" spans="1:76" x14ac:dyDescent="0.25">
      <c r="A848" s="60"/>
      <c r="D848" s="61" t="s">
        <v>169</v>
      </c>
      <c r="E848" s="61" t="s">
        <v>644</v>
      </c>
      <c r="G848" s="62">
        <v>8</v>
      </c>
      <c r="M848" s="63"/>
    </row>
    <row r="849" spans="1:76" x14ac:dyDescent="0.25">
      <c r="A849" s="60"/>
      <c r="D849" s="61" t="s">
        <v>142</v>
      </c>
      <c r="E849" s="61" t="s">
        <v>645</v>
      </c>
      <c r="G849" s="62">
        <v>4</v>
      </c>
      <c r="M849" s="63"/>
    </row>
    <row r="850" spans="1:76" x14ac:dyDescent="0.25">
      <c r="A850" s="60"/>
      <c r="D850" s="61" t="s">
        <v>142</v>
      </c>
      <c r="E850" s="61" t="s">
        <v>646</v>
      </c>
      <c r="G850" s="62">
        <v>4</v>
      </c>
      <c r="M850" s="63"/>
    </row>
    <row r="851" spans="1:76" x14ac:dyDescent="0.25">
      <c r="A851" s="60"/>
      <c r="D851" s="61" t="s">
        <v>142</v>
      </c>
      <c r="E851" s="61" t="s">
        <v>687</v>
      </c>
      <c r="G851" s="62">
        <v>4</v>
      </c>
      <c r="M851" s="63"/>
    </row>
    <row r="852" spans="1:76" x14ac:dyDescent="0.25">
      <c r="A852" s="60"/>
      <c r="D852" s="61" t="s">
        <v>154</v>
      </c>
      <c r="E852" s="61" t="s">
        <v>647</v>
      </c>
      <c r="G852" s="62">
        <v>6</v>
      </c>
      <c r="M852" s="63"/>
    </row>
    <row r="853" spans="1:76" x14ac:dyDescent="0.25">
      <c r="A853" s="60"/>
      <c r="D853" s="61" t="s">
        <v>129</v>
      </c>
      <c r="E853" s="61" t="s">
        <v>648</v>
      </c>
      <c r="G853" s="62">
        <v>2</v>
      </c>
      <c r="M853" s="63"/>
    </row>
    <row r="854" spans="1:76" x14ac:dyDescent="0.25">
      <c r="A854" s="60"/>
      <c r="D854" s="61" t="s">
        <v>129</v>
      </c>
      <c r="E854" s="61" t="s">
        <v>649</v>
      </c>
      <c r="G854" s="62">
        <v>2</v>
      </c>
      <c r="M854" s="63"/>
    </row>
    <row r="855" spans="1:76" x14ac:dyDescent="0.25">
      <c r="A855" s="60"/>
      <c r="D855" s="61" t="s">
        <v>142</v>
      </c>
      <c r="E855" s="61" t="s">
        <v>650</v>
      </c>
      <c r="G855" s="62">
        <v>4</v>
      </c>
      <c r="M855" s="63"/>
    </row>
    <row r="856" spans="1:76" x14ac:dyDescent="0.25">
      <c r="A856" s="60"/>
      <c r="D856" s="61" t="s">
        <v>169</v>
      </c>
      <c r="E856" s="61" t="s">
        <v>651</v>
      </c>
      <c r="G856" s="62">
        <v>8</v>
      </c>
      <c r="M856" s="63"/>
    </row>
    <row r="857" spans="1:76" x14ac:dyDescent="0.25">
      <c r="A857" s="60"/>
      <c r="D857" s="61" t="s">
        <v>129</v>
      </c>
      <c r="E857" s="61" t="s">
        <v>973</v>
      </c>
      <c r="G857" s="62">
        <v>2</v>
      </c>
      <c r="M857" s="63"/>
    </row>
    <row r="858" spans="1:76" x14ac:dyDescent="0.25">
      <c r="A858" s="1" t="s">
        <v>974</v>
      </c>
      <c r="B858" s="2" t="s">
        <v>4</v>
      </c>
      <c r="C858" s="2" t="s">
        <v>975</v>
      </c>
      <c r="D858" s="82" t="s">
        <v>976</v>
      </c>
      <c r="E858" s="83"/>
      <c r="F858" s="2" t="s">
        <v>145</v>
      </c>
      <c r="G858" s="55">
        <v>28</v>
      </c>
      <c r="H858" s="56">
        <v>0</v>
      </c>
      <c r="I858" s="55">
        <f>G858*H858</f>
        <v>0</v>
      </c>
      <c r="J858" s="55">
        <v>0</v>
      </c>
      <c r="K858" s="55">
        <v>1.0000000000000001E-5</v>
      </c>
      <c r="L858" s="55">
        <f>G858*K858</f>
        <v>2.8000000000000003E-4</v>
      </c>
      <c r="M858" s="57" t="s">
        <v>122</v>
      </c>
      <c r="Z858" s="55">
        <f>IF(AQ858="5",BJ858,0)</f>
        <v>0</v>
      </c>
      <c r="AB858" s="55">
        <f>IF(AQ858="1",BH858,0)</f>
        <v>0</v>
      </c>
      <c r="AC858" s="55">
        <f>IF(AQ858="1",BI858,0)</f>
        <v>0</v>
      </c>
      <c r="AD858" s="55">
        <f>IF(AQ858="7",BH858,0)</f>
        <v>0</v>
      </c>
      <c r="AE858" s="55">
        <f>IF(AQ858="7",BI858,0)</f>
        <v>0</v>
      </c>
      <c r="AF858" s="55">
        <f>IF(AQ858="2",BH858,0)</f>
        <v>0</v>
      </c>
      <c r="AG858" s="55">
        <f>IF(AQ858="2",BI858,0)</f>
        <v>0</v>
      </c>
      <c r="AH858" s="55">
        <f>IF(AQ858="0",BJ858,0)</f>
        <v>0</v>
      </c>
      <c r="AI858" s="33" t="s">
        <v>4</v>
      </c>
      <c r="AJ858" s="55">
        <f>IF(AN858=0,I858,0)</f>
        <v>0</v>
      </c>
      <c r="AK858" s="55">
        <f>IF(AN858=12,I858,0)</f>
        <v>0</v>
      </c>
      <c r="AL858" s="55">
        <f>IF(AN858=21,I858,0)</f>
        <v>0</v>
      </c>
      <c r="AN858" s="55">
        <v>21</v>
      </c>
      <c r="AO858" s="55">
        <f>H858*0.062462908</f>
        <v>0</v>
      </c>
      <c r="AP858" s="55">
        <f>H858*(1-0.062462908)</f>
        <v>0</v>
      </c>
      <c r="AQ858" s="58" t="s">
        <v>162</v>
      </c>
      <c r="AV858" s="55">
        <f>AW858+AX858</f>
        <v>0</v>
      </c>
      <c r="AW858" s="55">
        <f>G858*AO858</f>
        <v>0</v>
      </c>
      <c r="AX858" s="55">
        <f>G858*AP858</f>
        <v>0</v>
      </c>
      <c r="AY858" s="58" t="s">
        <v>952</v>
      </c>
      <c r="AZ858" s="58" t="s">
        <v>953</v>
      </c>
      <c r="BA858" s="33" t="s">
        <v>125</v>
      </c>
      <c r="BB858" s="59">
        <v>100012</v>
      </c>
      <c r="BC858" s="55">
        <f>AW858+AX858</f>
        <v>0</v>
      </c>
      <c r="BD858" s="55">
        <f>H858/(100-BE858)*100</f>
        <v>0</v>
      </c>
      <c r="BE858" s="55">
        <v>0</v>
      </c>
      <c r="BF858" s="55">
        <f>L858</f>
        <v>2.8000000000000003E-4</v>
      </c>
      <c r="BH858" s="55">
        <f>G858*AO858</f>
        <v>0</v>
      </c>
      <c r="BI858" s="55">
        <f>G858*AP858</f>
        <v>0</v>
      </c>
      <c r="BJ858" s="55">
        <f>G858*H858</f>
        <v>0</v>
      </c>
      <c r="BK858" s="55"/>
      <c r="BL858" s="55">
        <v>781</v>
      </c>
      <c r="BW858" s="55">
        <v>21</v>
      </c>
      <c r="BX858" s="3" t="s">
        <v>976</v>
      </c>
    </row>
    <row r="859" spans="1:76" x14ac:dyDescent="0.25">
      <c r="A859" s="60"/>
      <c r="D859" s="61" t="s">
        <v>129</v>
      </c>
      <c r="E859" s="61" t="s">
        <v>977</v>
      </c>
      <c r="G859" s="62">
        <v>2</v>
      </c>
      <c r="M859" s="63"/>
    </row>
    <row r="860" spans="1:76" x14ac:dyDescent="0.25">
      <c r="A860" s="60"/>
      <c r="D860" s="61" t="s">
        <v>978</v>
      </c>
      <c r="E860" s="61" t="s">
        <v>642</v>
      </c>
      <c r="G860" s="62">
        <v>6</v>
      </c>
      <c r="M860" s="63"/>
    </row>
    <row r="861" spans="1:76" x14ac:dyDescent="0.25">
      <c r="A861" s="60"/>
      <c r="D861" s="61" t="s">
        <v>129</v>
      </c>
      <c r="E861" s="61" t="s">
        <v>643</v>
      </c>
      <c r="G861" s="62">
        <v>2</v>
      </c>
      <c r="M861" s="63"/>
    </row>
    <row r="862" spans="1:76" x14ac:dyDescent="0.25">
      <c r="A862" s="60"/>
      <c r="D862" s="61" t="s">
        <v>129</v>
      </c>
      <c r="E862" s="61" t="s">
        <v>644</v>
      </c>
      <c r="G862" s="62">
        <v>2</v>
      </c>
      <c r="M862" s="63"/>
    </row>
    <row r="863" spans="1:76" x14ac:dyDescent="0.25">
      <c r="A863" s="60"/>
      <c r="D863" s="61" t="s">
        <v>118</v>
      </c>
      <c r="E863" s="61" t="s">
        <v>645</v>
      </c>
      <c r="G863" s="62">
        <v>1</v>
      </c>
      <c r="M863" s="63"/>
    </row>
    <row r="864" spans="1:76" x14ac:dyDescent="0.25">
      <c r="A864" s="60"/>
      <c r="D864" s="61" t="s">
        <v>118</v>
      </c>
      <c r="E864" s="61" t="s">
        <v>646</v>
      </c>
      <c r="G864" s="62">
        <v>1</v>
      </c>
      <c r="M864" s="63"/>
    </row>
    <row r="865" spans="1:76" x14ac:dyDescent="0.25">
      <c r="A865" s="60"/>
      <c r="D865" s="61" t="s">
        <v>118</v>
      </c>
      <c r="E865" s="61" t="s">
        <v>687</v>
      </c>
      <c r="G865" s="62">
        <v>1</v>
      </c>
      <c r="M865" s="63"/>
    </row>
    <row r="866" spans="1:76" x14ac:dyDescent="0.25">
      <c r="A866" s="60"/>
      <c r="D866" s="61" t="s">
        <v>135</v>
      </c>
      <c r="E866" s="61" t="s">
        <v>647</v>
      </c>
      <c r="G866" s="62">
        <v>3</v>
      </c>
      <c r="M866" s="63"/>
    </row>
    <row r="867" spans="1:76" x14ac:dyDescent="0.25">
      <c r="A867" s="60"/>
      <c r="D867" s="61" t="s">
        <v>129</v>
      </c>
      <c r="E867" s="61" t="s">
        <v>648</v>
      </c>
      <c r="G867" s="62">
        <v>2</v>
      </c>
      <c r="M867" s="63"/>
    </row>
    <row r="868" spans="1:76" x14ac:dyDescent="0.25">
      <c r="A868" s="60"/>
      <c r="D868" s="61" t="s">
        <v>118</v>
      </c>
      <c r="E868" s="61" t="s">
        <v>649</v>
      </c>
      <c r="G868" s="62">
        <v>1</v>
      </c>
      <c r="M868" s="63"/>
    </row>
    <row r="869" spans="1:76" x14ac:dyDescent="0.25">
      <c r="A869" s="60"/>
      <c r="D869" s="61" t="s">
        <v>129</v>
      </c>
      <c r="E869" s="61" t="s">
        <v>650</v>
      </c>
      <c r="G869" s="62">
        <v>2</v>
      </c>
      <c r="M869" s="63"/>
    </row>
    <row r="870" spans="1:76" x14ac:dyDescent="0.25">
      <c r="A870" s="60"/>
      <c r="D870" s="61" t="s">
        <v>129</v>
      </c>
      <c r="E870" s="61" t="s">
        <v>651</v>
      </c>
      <c r="G870" s="62">
        <v>2</v>
      </c>
      <c r="M870" s="63"/>
    </row>
    <row r="871" spans="1:76" x14ac:dyDescent="0.25">
      <c r="A871" s="60"/>
      <c r="D871" s="61" t="s">
        <v>135</v>
      </c>
      <c r="E871" s="61" t="s">
        <v>973</v>
      </c>
      <c r="G871" s="62">
        <v>3</v>
      </c>
      <c r="M871" s="63"/>
    </row>
    <row r="872" spans="1:76" x14ac:dyDescent="0.25">
      <c r="A872" s="1" t="s">
        <v>979</v>
      </c>
      <c r="B872" s="2" t="s">
        <v>4</v>
      </c>
      <c r="C872" s="2" t="s">
        <v>980</v>
      </c>
      <c r="D872" s="82" t="s">
        <v>981</v>
      </c>
      <c r="E872" s="83"/>
      <c r="F872" s="2" t="s">
        <v>219</v>
      </c>
      <c r="G872" s="55">
        <v>300.39999999999998</v>
      </c>
      <c r="H872" s="56">
        <v>0</v>
      </c>
      <c r="I872" s="55">
        <f>G872*H872</f>
        <v>0</v>
      </c>
      <c r="J872" s="55">
        <v>0</v>
      </c>
      <c r="K872" s="55">
        <v>0</v>
      </c>
      <c r="L872" s="55">
        <f>G872*K872</f>
        <v>0</v>
      </c>
      <c r="M872" s="57" t="s">
        <v>122</v>
      </c>
      <c r="Z872" s="55">
        <f>IF(AQ872="5",BJ872,0)</f>
        <v>0</v>
      </c>
      <c r="AB872" s="55">
        <f>IF(AQ872="1",BH872,0)</f>
        <v>0</v>
      </c>
      <c r="AC872" s="55">
        <f>IF(AQ872="1",BI872,0)</f>
        <v>0</v>
      </c>
      <c r="AD872" s="55">
        <f>IF(AQ872="7",BH872,0)</f>
        <v>0</v>
      </c>
      <c r="AE872" s="55">
        <f>IF(AQ872="7",BI872,0)</f>
        <v>0</v>
      </c>
      <c r="AF872" s="55">
        <f>IF(AQ872="2",BH872,0)</f>
        <v>0</v>
      </c>
      <c r="AG872" s="55">
        <f>IF(AQ872="2",BI872,0)</f>
        <v>0</v>
      </c>
      <c r="AH872" s="55">
        <f>IF(AQ872="0",BJ872,0)</f>
        <v>0</v>
      </c>
      <c r="AI872" s="33" t="s">
        <v>4</v>
      </c>
      <c r="AJ872" s="55">
        <f>IF(AN872=0,I872,0)</f>
        <v>0</v>
      </c>
      <c r="AK872" s="55">
        <f>IF(AN872=12,I872,0)</f>
        <v>0</v>
      </c>
      <c r="AL872" s="55">
        <f>IF(AN872=21,I872,0)</f>
        <v>0</v>
      </c>
      <c r="AN872" s="55">
        <v>21</v>
      </c>
      <c r="AO872" s="55">
        <f>H872*0.175211313</f>
        <v>0</v>
      </c>
      <c r="AP872" s="55">
        <f>H872*(1-0.175211313)</f>
        <v>0</v>
      </c>
      <c r="AQ872" s="58" t="s">
        <v>162</v>
      </c>
      <c r="AV872" s="55">
        <f>AW872+AX872</f>
        <v>0</v>
      </c>
      <c r="AW872" s="55">
        <f>G872*AO872</f>
        <v>0</v>
      </c>
      <c r="AX872" s="55">
        <f>G872*AP872</f>
        <v>0</v>
      </c>
      <c r="AY872" s="58" t="s">
        <v>952</v>
      </c>
      <c r="AZ872" s="58" t="s">
        <v>953</v>
      </c>
      <c r="BA872" s="33" t="s">
        <v>125</v>
      </c>
      <c r="BB872" s="59">
        <v>100012</v>
      </c>
      <c r="BC872" s="55">
        <f>AW872+AX872</f>
        <v>0</v>
      </c>
      <c r="BD872" s="55">
        <f>H872/(100-BE872)*100</f>
        <v>0</v>
      </c>
      <c r="BE872" s="55">
        <v>0</v>
      </c>
      <c r="BF872" s="55">
        <f>L872</f>
        <v>0</v>
      </c>
      <c r="BH872" s="55">
        <f>G872*AO872</f>
        <v>0</v>
      </c>
      <c r="BI872" s="55">
        <f>G872*AP872</f>
        <v>0</v>
      </c>
      <c r="BJ872" s="55">
        <f>G872*H872</f>
        <v>0</v>
      </c>
      <c r="BK872" s="55"/>
      <c r="BL872" s="55">
        <v>781</v>
      </c>
      <c r="BW872" s="55">
        <v>21</v>
      </c>
      <c r="BX872" s="3" t="s">
        <v>981</v>
      </c>
    </row>
    <row r="873" spans="1:76" x14ac:dyDescent="0.25">
      <c r="A873" s="60"/>
      <c r="D873" s="61" t="s">
        <v>688</v>
      </c>
      <c r="E873" s="61" t="s">
        <v>982</v>
      </c>
      <c r="G873" s="62">
        <v>5.0999999999999996</v>
      </c>
      <c r="M873" s="63"/>
    </row>
    <row r="874" spans="1:76" x14ac:dyDescent="0.25">
      <c r="A874" s="60"/>
      <c r="D874" s="61" t="s">
        <v>680</v>
      </c>
      <c r="E874" s="61" t="s">
        <v>983</v>
      </c>
      <c r="G874" s="62">
        <v>10.199999999999999</v>
      </c>
      <c r="M874" s="63"/>
    </row>
    <row r="875" spans="1:76" x14ac:dyDescent="0.25">
      <c r="A875" s="60"/>
      <c r="D875" s="61" t="s">
        <v>682</v>
      </c>
      <c r="E875" s="61" t="s">
        <v>984</v>
      </c>
      <c r="G875" s="62">
        <v>12.75</v>
      </c>
      <c r="M875" s="63"/>
    </row>
    <row r="876" spans="1:76" x14ac:dyDescent="0.25">
      <c r="A876" s="60"/>
      <c r="D876" s="61" t="s">
        <v>882</v>
      </c>
      <c r="E876" s="61" t="s">
        <v>985</v>
      </c>
      <c r="G876" s="62">
        <v>3.5</v>
      </c>
      <c r="M876" s="63"/>
    </row>
    <row r="877" spans="1:76" x14ac:dyDescent="0.25">
      <c r="A877" s="60"/>
      <c r="D877" s="61" t="s">
        <v>986</v>
      </c>
      <c r="E877" s="61" t="s">
        <v>987</v>
      </c>
      <c r="G877" s="62">
        <v>6.09</v>
      </c>
      <c r="M877" s="63"/>
    </row>
    <row r="878" spans="1:76" x14ac:dyDescent="0.25">
      <c r="A878" s="60"/>
      <c r="D878" s="61" t="s">
        <v>625</v>
      </c>
      <c r="E878" s="61" t="s">
        <v>988</v>
      </c>
      <c r="G878" s="62">
        <v>9.43</v>
      </c>
      <c r="M878" s="63"/>
    </row>
    <row r="879" spans="1:76" x14ac:dyDescent="0.25">
      <c r="A879" s="60"/>
      <c r="D879" s="61" t="s">
        <v>989</v>
      </c>
      <c r="E879" s="61" t="s">
        <v>990</v>
      </c>
      <c r="G879" s="62">
        <v>22.95</v>
      </c>
      <c r="M879" s="63"/>
    </row>
    <row r="880" spans="1:76" x14ac:dyDescent="0.25">
      <c r="A880" s="60"/>
      <c r="D880" s="61" t="s">
        <v>689</v>
      </c>
      <c r="E880" s="61" t="s">
        <v>991</v>
      </c>
      <c r="G880" s="62">
        <v>20.399999999999999</v>
      </c>
      <c r="M880" s="63"/>
    </row>
    <row r="881" spans="1:13" x14ac:dyDescent="0.25">
      <c r="A881" s="60"/>
      <c r="D881" s="61" t="s">
        <v>500</v>
      </c>
      <c r="E881" s="61" t="s">
        <v>992</v>
      </c>
      <c r="G881" s="62">
        <v>15.79</v>
      </c>
      <c r="M881" s="63"/>
    </row>
    <row r="882" spans="1:13" x14ac:dyDescent="0.25">
      <c r="A882" s="60"/>
      <c r="D882" s="61" t="s">
        <v>993</v>
      </c>
      <c r="E882" s="61" t="s">
        <v>994</v>
      </c>
      <c r="G882" s="62">
        <v>16.5</v>
      </c>
      <c r="M882" s="63"/>
    </row>
    <row r="883" spans="1:13" x14ac:dyDescent="0.25">
      <c r="A883" s="60"/>
      <c r="D883" s="61" t="s">
        <v>995</v>
      </c>
      <c r="E883" s="61" t="s">
        <v>996</v>
      </c>
      <c r="G883" s="62">
        <v>6.99</v>
      </c>
      <c r="M883" s="63"/>
    </row>
    <row r="884" spans="1:13" x14ac:dyDescent="0.25">
      <c r="A884" s="60"/>
      <c r="D884" s="61" t="s">
        <v>682</v>
      </c>
      <c r="E884" s="61" t="s">
        <v>997</v>
      </c>
      <c r="G884" s="62">
        <v>12.75</v>
      </c>
      <c r="M884" s="63"/>
    </row>
    <row r="885" spans="1:13" x14ac:dyDescent="0.25">
      <c r="A885" s="60"/>
      <c r="D885" s="61" t="s">
        <v>998</v>
      </c>
      <c r="E885" s="61" t="s">
        <v>999</v>
      </c>
      <c r="G885" s="62">
        <v>21.2</v>
      </c>
      <c r="M885" s="63"/>
    </row>
    <row r="886" spans="1:13" x14ac:dyDescent="0.25">
      <c r="A886" s="60"/>
      <c r="D886" s="61" t="s">
        <v>631</v>
      </c>
      <c r="E886" s="61" t="s">
        <v>1000</v>
      </c>
      <c r="G886" s="62">
        <v>17.920000000000002</v>
      </c>
      <c r="M886" s="63"/>
    </row>
    <row r="887" spans="1:13" x14ac:dyDescent="0.25">
      <c r="A887" s="60"/>
      <c r="D887" s="61" t="s">
        <v>680</v>
      </c>
      <c r="E887" s="61" t="s">
        <v>1001</v>
      </c>
      <c r="G887" s="62">
        <v>10.199999999999999</v>
      </c>
      <c r="M887" s="63"/>
    </row>
    <row r="888" spans="1:13" x14ac:dyDescent="0.25">
      <c r="A888" s="60"/>
      <c r="D888" s="61" t="s">
        <v>1002</v>
      </c>
      <c r="E888" s="61" t="s">
        <v>1003</v>
      </c>
      <c r="G888" s="62">
        <v>9.42</v>
      </c>
      <c r="M888" s="63"/>
    </row>
    <row r="889" spans="1:13" x14ac:dyDescent="0.25">
      <c r="A889" s="60"/>
      <c r="D889" s="61" t="s">
        <v>1004</v>
      </c>
      <c r="E889" s="61" t="s">
        <v>1005</v>
      </c>
      <c r="G889" s="62">
        <v>9.6</v>
      </c>
      <c r="M889" s="63"/>
    </row>
    <row r="890" spans="1:13" x14ac:dyDescent="0.25">
      <c r="A890" s="60"/>
      <c r="D890" s="61" t="s">
        <v>1006</v>
      </c>
      <c r="E890" s="61" t="s">
        <v>958</v>
      </c>
      <c r="G890" s="62">
        <v>5.47</v>
      </c>
      <c r="M890" s="63"/>
    </row>
    <row r="891" spans="1:13" x14ac:dyDescent="0.25">
      <c r="A891" s="60"/>
      <c r="D891" s="61" t="s">
        <v>680</v>
      </c>
      <c r="E891" s="61" t="s">
        <v>1007</v>
      </c>
      <c r="G891" s="62">
        <v>10.199999999999999</v>
      </c>
      <c r="M891" s="63"/>
    </row>
    <row r="892" spans="1:13" x14ac:dyDescent="0.25">
      <c r="A892" s="60"/>
      <c r="D892" s="61" t="s">
        <v>634</v>
      </c>
      <c r="E892" s="61" t="s">
        <v>318</v>
      </c>
      <c r="G892" s="62">
        <v>5.79</v>
      </c>
      <c r="M892" s="63"/>
    </row>
    <row r="893" spans="1:13" x14ac:dyDescent="0.25">
      <c r="A893" s="60"/>
      <c r="D893" s="61" t="s">
        <v>1008</v>
      </c>
      <c r="E893" s="61" t="s">
        <v>1009</v>
      </c>
      <c r="G893" s="62">
        <v>17.850000000000001</v>
      </c>
      <c r="M893" s="63"/>
    </row>
    <row r="894" spans="1:13" x14ac:dyDescent="0.25">
      <c r="A894" s="60"/>
      <c r="D894" s="61" t="s">
        <v>635</v>
      </c>
      <c r="E894" s="61" t="s">
        <v>525</v>
      </c>
      <c r="G894" s="62">
        <v>12.15</v>
      </c>
      <c r="M894" s="63"/>
    </row>
    <row r="895" spans="1:13" x14ac:dyDescent="0.25">
      <c r="A895" s="60"/>
      <c r="D895" s="61" t="s">
        <v>689</v>
      </c>
      <c r="E895" s="61" t="s">
        <v>1010</v>
      </c>
      <c r="G895" s="62">
        <v>20.399999999999999</v>
      </c>
      <c r="M895" s="63"/>
    </row>
    <row r="896" spans="1:13" x14ac:dyDescent="0.25">
      <c r="A896" s="60"/>
      <c r="D896" s="61" t="s">
        <v>636</v>
      </c>
      <c r="E896" s="61" t="s">
        <v>324</v>
      </c>
      <c r="G896" s="62">
        <v>8.9</v>
      </c>
      <c r="M896" s="63"/>
    </row>
    <row r="897" spans="1:76" x14ac:dyDescent="0.25">
      <c r="A897" s="60"/>
      <c r="D897" s="61" t="s">
        <v>637</v>
      </c>
      <c r="E897" s="61" t="s">
        <v>528</v>
      </c>
      <c r="G897" s="62">
        <v>8.85</v>
      </c>
      <c r="M897" s="63"/>
    </row>
    <row r="898" spans="1:76" x14ac:dyDescent="0.25">
      <c r="A898" s="1" t="s">
        <v>1011</v>
      </c>
      <c r="B898" s="2" t="s">
        <v>4</v>
      </c>
      <c r="C898" s="2" t="s">
        <v>1012</v>
      </c>
      <c r="D898" s="82" t="s">
        <v>1013</v>
      </c>
      <c r="E898" s="83"/>
      <c r="F898" s="2" t="s">
        <v>219</v>
      </c>
      <c r="G898" s="55">
        <v>57.83</v>
      </c>
      <c r="H898" s="56">
        <v>0</v>
      </c>
      <c r="I898" s="55">
        <f>G898*H898</f>
        <v>0</v>
      </c>
      <c r="J898" s="55">
        <v>0</v>
      </c>
      <c r="K898" s="55">
        <v>0</v>
      </c>
      <c r="L898" s="55">
        <f>G898*K898</f>
        <v>0</v>
      </c>
      <c r="M898" s="57" t="s">
        <v>122</v>
      </c>
      <c r="Z898" s="55">
        <f>IF(AQ898="5",BJ898,0)</f>
        <v>0</v>
      </c>
      <c r="AB898" s="55">
        <f>IF(AQ898="1",BH898,0)</f>
        <v>0</v>
      </c>
      <c r="AC898" s="55">
        <f>IF(AQ898="1",BI898,0)</f>
        <v>0</v>
      </c>
      <c r="AD898" s="55">
        <f>IF(AQ898="7",BH898,0)</f>
        <v>0</v>
      </c>
      <c r="AE898" s="55">
        <f>IF(AQ898="7",BI898,0)</f>
        <v>0</v>
      </c>
      <c r="AF898" s="55">
        <f>IF(AQ898="2",BH898,0)</f>
        <v>0</v>
      </c>
      <c r="AG898" s="55">
        <f>IF(AQ898="2",BI898,0)</f>
        <v>0</v>
      </c>
      <c r="AH898" s="55">
        <f>IF(AQ898="0",BJ898,0)</f>
        <v>0</v>
      </c>
      <c r="AI898" s="33" t="s">
        <v>4</v>
      </c>
      <c r="AJ898" s="55">
        <f>IF(AN898=0,I898,0)</f>
        <v>0</v>
      </c>
      <c r="AK898" s="55">
        <f>IF(AN898=12,I898,0)</f>
        <v>0</v>
      </c>
      <c r="AL898" s="55">
        <f>IF(AN898=21,I898,0)</f>
        <v>0</v>
      </c>
      <c r="AN898" s="55">
        <v>21</v>
      </c>
      <c r="AO898" s="55">
        <f>H898*0.311688473</f>
        <v>0</v>
      </c>
      <c r="AP898" s="55">
        <f>H898*(1-0.311688473)</f>
        <v>0</v>
      </c>
      <c r="AQ898" s="58" t="s">
        <v>162</v>
      </c>
      <c r="AV898" s="55">
        <f>AW898+AX898</f>
        <v>0</v>
      </c>
      <c r="AW898" s="55">
        <f>G898*AO898</f>
        <v>0</v>
      </c>
      <c r="AX898" s="55">
        <f>G898*AP898</f>
        <v>0</v>
      </c>
      <c r="AY898" s="58" t="s">
        <v>952</v>
      </c>
      <c r="AZ898" s="58" t="s">
        <v>953</v>
      </c>
      <c r="BA898" s="33" t="s">
        <v>125</v>
      </c>
      <c r="BB898" s="59">
        <v>100012</v>
      </c>
      <c r="BC898" s="55">
        <f>AW898+AX898</f>
        <v>0</v>
      </c>
      <c r="BD898" s="55">
        <f>H898/(100-BE898)*100</f>
        <v>0</v>
      </c>
      <c r="BE898" s="55">
        <v>0</v>
      </c>
      <c r="BF898" s="55">
        <f>L898</f>
        <v>0</v>
      </c>
      <c r="BH898" s="55">
        <f>G898*AO898</f>
        <v>0</v>
      </c>
      <c r="BI898" s="55">
        <f>G898*AP898</f>
        <v>0</v>
      </c>
      <c r="BJ898" s="55">
        <f>G898*H898</f>
        <v>0</v>
      </c>
      <c r="BK898" s="55"/>
      <c r="BL898" s="55">
        <v>781</v>
      </c>
      <c r="BW898" s="55">
        <v>21</v>
      </c>
      <c r="BX898" s="3" t="s">
        <v>1013</v>
      </c>
    </row>
    <row r="899" spans="1:76" ht="13.5" customHeight="1" x14ac:dyDescent="0.25">
      <c r="A899" s="60"/>
      <c r="D899" s="155" t="s">
        <v>1014</v>
      </c>
      <c r="E899" s="156"/>
      <c r="F899" s="156"/>
      <c r="G899" s="156"/>
      <c r="H899" s="157"/>
      <c r="I899" s="156"/>
      <c r="J899" s="156"/>
      <c r="K899" s="156"/>
      <c r="L899" s="156"/>
      <c r="M899" s="158"/>
    </row>
    <row r="900" spans="1:76" x14ac:dyDescent="0.25">
      <c r="A900" s="60"/>
      <c r="D900" s="61" t="s">
        <v>688</v>
      </c>
      <c r="E900" s="61" t="s">
        <v>679</v>
      </c>
      <c r="G900" s="62">
        <v>5.0999999999999996</v>
      </c>
      <c r="M900" s="63"/>
    </row>
    <row r="901" spans="1:76" x14ac:dyDescent="0.25">
      <c r="A901" s="60"/>
      <c r="D901" s="61" t="s">
        <v>1015</v>
      </c>
      <c r="E901" s="61" t="s">
        <v>681</v>
      </c>
      <c r="G901" s="62">
        <v>4.5</v>
      </c>
      <c r="M901" s="63"/>
    </row>
    <row r="902" spans="1:76" x14ac:dyDescent="0.25">
      <c r="A902" s="60"/>
      <c r="D902" s="61" t="s">
        <v>1016</v>
      </c>
      <c r="E902" s="61" t="s">
        <v>659</v>
      </c>
      <c r="G902" s="62">
        <v>7.5</v>
      </c>
      <c r="M902" s="63"/>
    </row>
    <row r="903" spans="1:76" x14ac:dyDescent="0.25">
      <c r="A903" s="60"/>
      <c r="D903" s="61" t="s">
        <v>1017</v>
      </c>
      <c r="E903" s="61" t="s">
        <v>955</v>
      </c>
      <c r="G903" s="62">
        <v>1.2</v>
      </c>
      <c r="M903" s="63"/>
    </row>
    <row r="904" spans="1:76" x14ac:dyDescent="0.25">
      <c r="A904" s="60"/>
      <c r="D904" s="61" t="s">
        <v>1018</v>
      </c>
      <c r="E904" s="61" t="s">
        <v>454</v>
      </c>
      <c r="G904" s="62">
        <v>2.5499999999999998</v>
      </c>
      <c r="M904" s="63"/>
    </row>
    <row r="905" spans="1:76" x14ac:dyDescent="0.25">
      <c r="A905" s="60"/>
      <c r="D905" s="61" t="s">
        <v>1019</v>
      </c>
      <c r="E905" s="61" t="s">
        <v>645</v>
      </c>
      <c r="G905" s="62">
        <v>2.5499999999999998</v>
      </c>
      <c r="M905" s="63"/>
    </row>
    <row r="906" spans="1:76" x14ac:dyDescent="0.25">
      <c r="A906" s="60"/>
      <c r="D906" s="61" t="s">
        <v>1020</v>
      </c>
      <c r="E906" s="61" t="s">
        <v>646</v>
      </c>
      <c r="G906" s="62">
        <v>10.6</v>
      </c>
      <c r="M906" s="63"/>
    </row>
    <row r="907" spans="1:76" x14ac:dyDescent="0.25">
      <c r="A907" s="60"/>
      <c r="D907" s="61" t="s">
        <v>1021</v>
      </c>
      <c r="E907" s="61" t="s">
        <v>312</v>
      </c>
      <c r="G907" s="62">
        <v>8.68</v>
      </c>
      <c r="M907" s="63"/>
    </row>
    <row r="908" spans="1:76" x14ac:dyDescent="0.25">
      <c r="A908" s="60"/>
      <c r="D908" s="61" t="s">
        <v>1017</v>
      </c>
      <c r="E908" s="61" t="s">
        <v>648</v>
      </c>
      <c r="G908" s="62">
        <v>1.2</v>
      </c>
      <c r="M908" s="63"/>
    </row>
    <row r="909" spans="1:76" x14ac:dyDescent="0.25">
      <c r="A909" s="60"/>
      <c r="D909" s="61" t="s">
        <v>682</v>
      </c>
      <c r="E909" s="61" t="s">
        <v>650</v>
      </c>
      <c r="G909" s="62">
        <v>12.75</v>
      </c>
      <c r="M909" s="63"/>
    </row>
    <row r="910" spans="1:76" x14ac:dyDescent="0.25">
      <c r="A910" s="60"/>
      <c r="D910" s="61" t="s">
        <v>1017</v>
      </c>
      <c r="E910" s="61" t="s">
        <v>973</v>
      </c>
      <c r="G910" s="62">
        <v>1.2</v>
      </c>
      <c r="M910" s="63"/>
    </row>
    <row r="911" spans="1:76" x14ac:dyDescent="0.25">
      <c r="A911" s="1" t="s">
        <v>1022</v>
      </c>
      <c r="B911" s="2" t="s">
        <v>4</v>
      </c>
      <c r="C911" s="2" t="s">
        <v>1023</v>
      </c>
      <c r="D911" s="82" t="s">
        <v>1024</v>
      </c>
      <c r="E911" s="83"/>
      <c r="F911" s="2" t="s">
        <v>157</v>
      </c>
      <c r="G911" s="55">
        <v>327.65100000000001</v>
      </c>
      <c r="H911" s="56">
        <v>0</v>
      </c>
      <c r="I911" s="55">
        <f>G911*H911</f>
        <v>0</v>
      </c>
      <c r="J911" s="55">
        <v>0</v>
      </c>
      <c r="K911" s="55">
        <v>8.0000000000000007E-5</v>
      </c>
      <c r="L911" s="55">
        <f>G911*K911</f>
        <v>2.6212080000000002E-2</v>
      </c>
      <c r="M911" s="57" t="s">
        <v>122</v>
      </c>
      <c r="Z911" s="55">
        <f>IF(AQ911="5",BJ911,0)</f>
        <v>0</v>
      </c>
      <c r="AB911" s="55">
        <f>IF(AQ911="1",BH911,0)</f>
        <v>0</v>
      </c>
      <c r="AC911" s="55">
        <f>IF(AQ911="1",BI911,0)</f>
        <v>0</v>
      </c>
      <c r="AD911" s="55">
        <f>IF(AQ911="7",BH911,0)</f>
        <v>0</v>
      </c>
      <c r="AE911" s="55">
        <f>IF(AQ911="7",BI911,0)</f>
        <v>0</v>
      </c>
      <c r="AF911" s="55">
        <f>IF(AQ911="2",BH911,0)</f>
        <v>0</v>
      </c>
      <c r="AG911" s="55">
        <f>IF(AQ911="2",BI911,0)</f>
        <v>0</v>
      </c>
      <c r="AH911" s="55">
        <f>IF(AQ911="0",BJ911,0)</f>
        <v>0</v>
      </c>
      <c r="AI911" s="33" t="s">
        <v>4</v>
      </c>
      <c r="AJ911" s="55">
        <f>IF(AN911=0,I911,0)</f>
        <v>0</v>
      </c>
      <c r="AK911" s="55">
        <f>IF(AN911=12,I911,0)</f>
        <v>0</v>
      </c>
      <c r="AL911" s="55">
        <f>IF(AN911=21,I911,0)</f>
        <v>0</v>
      </c>
      <c r="AN911" s="55">
        <v>21</v>
      </c>
      <c r="AO911" s="55">
        <f>H911*0.568421048</f>
        <v>0</v>
      </c>
      <c r="AP911" s="55">
        <f>H911*(1-0.568421048)</f>
        <v>0</v>
      </c>
      <c r="AQ911" s="58" t="s">
        <v>162</v>
      </c>
      <c r="AV911" s="55">
        <f>AW911+AX911</f>
        <v>0</v>
      </c>
      <c r="AW911" s="55">
        <f>G911*AO911</f>
        <v>0</v>
      </c>
      <c r="AX911" s="55">
        <f>G911*AP911</f>
        <v>0</v>
      </c>
      <c r="AY911" s="58" t="s">
        <v>952</v>
      </c>
      <c r="AZ911" s="58" t="s">
        <v>953</v>
      </c>
      <c r="BA911" s="33" t="s">
        <v>125</v>
      </c>
      <c r="BB911" s="59">
        <v>100012</v>
      </c>
      <c r="BC911" s="55">
        <f>AW911+AX911</f>
        <v>0</v>
      </c>
      <c r="BD911" s="55">
        <f>H911/(100-BE911)*100</f>
        <v>0</v>
      </c>
      <c r="BE911" s="55">
        <v>0</v>
      </c>
      <c r="BF911" s="55">
        <f>L911</f>
        <v>2.6212080000000002E-2</v>
      </c>
      <c r="BH911" s="55">
        <f>G911*AO911</f>
        <v>0</v>
      </c>
      <c r="BI911" s="55">
        <f>G911*AP911</f>
        <v>0</v>
      </c>
      <c r="BJ911" s="55">
        <f>G911*H911</f>
        <v>0</v>
      </c>
      <c r="BK911" s="55"/>
      <c r="BL911" s="55">
        <v>781</v>
      </c>
      <c r="BW911" s="55">
        <v>21</v>
      </c>
      <c r="BX911" s="3" t="s">
        <v>1024</v>
      </c>
    </row>
    <row r="912" spans="1:76" x14ac:dyDescent="0.25">
      <c r="A912" s="60"/>
      <c r="D912" s="61" t="s">
        <v>954</v>
      </c>
      <c r="E912" s="61" t="s">
        <v>955</v>
      </c>
      <c r="G912" s="62">
        <v>1.44</v>
      </c>
      <c r="M912" s="63"/>
    </row>
    <row r="913" spans="1:13" x14ac:dyDescent="0.25">
      <c r="A913" s="60"/>
      <c r="D913" s="61" t="s">
        <v>956</v>
      </c>
      <c r="E913" s="61" t="s">
        <v>339</v>
      </c>
      <c r="G913" s="62">
        <v>8.9250000000000007</v>
      </c>
      <c r="M913" s="63"/>
    </row>
    <row r="914" spans="1:13" x14ac:dyDescent="0.25">
      <c r="A914" s="60"/>
      <c r="D914" s="61" t="s">
        <v>340</v>
      </c>
      <c r="E914" s="61" t="s">
        <v>341</v>
      </c>
      <c r="G914" s="62">
        <v>14.125</v>
      </c>
      <c r="M914" s="63"/>
    </row>
    <row r="915" spans="1:13" x14ac:dyDescent="0.25">
      <c r="A915" s="60"/>
      <c r="D915" s="61" t="s">
        <v>342</v>
      </c>
      <c r="E915" s="61" t="s">
        <v>343</v>
      </c>
      <c r="G915" s="62">
        <v>22.076499999999999</v>
      </c>
      <c r="M915" s="63"/>
    </row>
    <row r="916" spans="1:13" x14ac:dyDescent="0.25">
      <c r="A916" s="60"/>
      <c r="D916" s="61" t="s">
        <v>289</v>
      </c>
      <c r="E916" s="61" t="s">
        <v>290</v>
      </c>
      <c r="G916" s="62">
        <v>36.3245</v>
      </c>
      <c r="M916" s="63"/>
    </row>
    <row r="917" spans="1:13" x14ac:dyDescent="0.25">
      <c r="A917" s="60"/>
      <c r="D917" s="61" t="s">
        <v>660</v>
      </c>
      <c r="E917" s="61" t="s">
        <v>513</v>
      </c>
      <c r="G917" s="62">
        <v>21.7195</v>
      </c>
      <c r="M917" s="63"/>
    </row>
    <row r="918" spans="1:13" x14ac:dyDescent="0.25">
      <c r="A918" s="60"/>
      <c r="D918" s="61" t="s">
        <v>661</v>
      </c>
      <c r="E918" s="61" t="s">
        <v>515</v>
      </c>
      <c r="G918" s="62">
        <v>21.439</v>
      </c>
      <c r="M918" s="63"/>
    </row>
    <row r="919" spans="1:13" x14ac:dyDescent="0.25">
      <c r="A919" s="60"/>
      <c r="D919" s="61" t="s">
        <v>662</v>
      </c>
      <c r="E919" s="61" t="s">
        <v>517</v>
      </c>
      <c r="G919" s="62">
        <v>22.765000000000001</v>
      </c>
      <c r="M919" s="63"/>
    </row>
    <row r="920" spans="1:13" x14ac:dyDescent="0.25">
      <c r="A920" s="60"/>
      <c r="D920" s="61" t="s">
        <v>663</v>
      </c>
      <c r="E920" s="61" t="s">
        <v>519</v>
      </c>
      <c r="G920" s="62">
        <v>45.887999999999998</v>
      </c>
      <c r="M920" s="63"/>
    </row>
    <row r="921" spans="1:13" x14ac:dyDescent="0.25">
      <c r="A921" s="60"/>
      <c r="D921" s="61" t="s">
        <v>307</v>
      </c>
      <c r="E921" s="61" t="s">
        <v>308</v>
      </c>
      <c r="G921" s="62">
        <v>23.050999999999998</v>
      </c>
      <c r="M921" s="63"/>
    </row>
    <row r="922" spans="1:13" x14ac:dyDescent="0.25">
      <c r="A922" s="60"/>
      <c r="D922" s="61" t="s">
        <v>664</v>
      </c>
      <c r="E922" s="61" t="s">
        <v>312</v>
      </c>
      <c r="G922" s="62">
        <v>18.861999999999998</v>
      </c>
      <c r="M922" s="63"/>
    </row>
    <row r="923" spans="1:13" x14ac:dyDescent="0.25">
      <c r="A923" s="60"/>
      <c r="D923" s="61" t="s">
        <v>957</v>
      </c>
      <c r="E923" s="61" t="s">
        <v>958</v>
      </c>
      <c r="G923" s="62">
        <v>3.282</v>
      </c>
      <c r="M923" s="63"/>
    </row>
    <row r="924" spans="1:13" x14ac:dyDescent="0.25">
      <c r="A924" s="60"/>
      <c r="D924" s="61" t="s">
        <v>317</v>
      </c>
      <c r="E924" s="61" t="s">
        <v>318</v>
      </c>
      <c r="G924" s="62">
        <v>13.188499999999999</v>
      </c>
      <c r="M924" s="63"/>
    </row>
    <row r="925" spans="1:13" x14ac:dyDescent="0.25">
      <c r="A925" s="60"/>
      <c r="D925" s="61" t="s">
        <v>665</v>
      </c>
      <c r="E925" s="61" t="s">
        <v>525</v>
      </c>
      <c r="G925" s="62">
        <v>29.406500000000001</v>
      </c>
      <c r="M925" s="63"/>
    </row>
    <row r="926" spans="1:13" x14ac:dyDescent="0.25">
      <c r="A926" s="60"/>
      <c r="D926" s="61" t="s">
        <v>323</v>
      </c>
      <c r="E926" s="61" t="s">
        <v>324</v>
      </c>
      <c r="G926" s="62">
        <v>21.119</v>
      </c>
      <c r="M926" s="63"/>
    </row>
    <row r="927" spans="1:13" x14ac:dyDescent="0.25">
      <c r="A927" s="60"/>
      <c r="D927" s="61" t="s">
        <v>325</v>
      </c>
      <c r="E927" s="61" t="s">
        <v>326</v>
      </c>
      <c r="G927" s="62">
        <v>20.991499999999998</v>
      </c>
      <c r="M927" s="63"/>
    </row>
    <row r="928" spans="1:13" x14ac:dyDescent="0.25">
      <c r="A928" s="60"/>
      <c r="D928" s="61" t="s">
        <v>959</v>
      </c>
      <c r="E928" s="61" t="s">
        <v>387</v>
      </c>
      <c r="G928" s="62">
        <v>3.048</v>
      </c>
      <c r="M928" s="63"/>
    </row>
    <row r="929" spans="1:76" ht="38.25" x14ac:dyDescent="0.25">
      <c r="A929" s="60"/>
      <c r="C929" s="64" t="s">
        <v>127</v>
      </c>
      <c r="D929" s="159" t="s">
        <v>1025</v>
      </c>
      <c r="E929" s="160"/>
      <c r="F929" s="160"/>
      <c r="G929" s="160"/>
      <c r="H929" s="161"/>
      <c r="I929" s="160"/>
      <c r="J929" s="160"/>
      <c r="K929" s="160"/>
      <c r="L929" s="160"/>
      <c r="M929" s="162"/>
      <c r="BX929" s="65" t="s">
        <v>1025</v>
      </c>
    </row>
    <row r="930" spans="1:76" x14ac:dyDescent="0.25">
      <c r="A930" s="1" t="s">
        <v>1026</v>
      </c>
      <c r="B930" s="2" t="s">
        <v>4</v>
      </c>
      <c r="C930" s="2" t="s">
        <v>1027</v>
      </c>
      <c r="D930" s="82" t="s">
        <v>1028</v>
      </c>
      <c r="E930" s="83"/>
      <c r="F930" s="2" t="s">
        <v>132</v>
      </c>
      <c r="G930" s="55">
        <v>5.4458700000000002</v>
      </c>
      <c r="H930" s="56">
        <v>0</v>
      </c>
      <c r="I930" s="55">
        <f>G930*H930</f>
        <v>0</v>
      </c>
      <c r="J930" s="55">
        <v>0</v>
      </c>
      <c r="K930" s="55">
        <v>0</v>
      </c>
      <c r="L930" s="55">
        <f>G930*K930</f>
        <v>0</v>
      </c>
      <c r="M930" s="57" t="s">
        <v>122</v>
      </c>
      <c r="Z930" s="55">
        <f>IF(AQ930="5",BJ930,0)</f>
        <v>0</v>
      </c>
      <c r="AB930" s="55">
        <f>IF(AQ930="1",BH930,0)</f>
        <v>0</v>
      </c>
      <c r="AC930" s="55">
        <f>IF(AQ930="1",BI930,0)</f>
        <v>0</v>
      </c>
      <c r="AD930" s="55">
        <f>IF(AQ930="7",BH930,0)</f>
        <v>0</v>
      </c>
      <c r="AE930" s="55">
        <f>IF(AQ930="7",BI930,0)</f>
        <v>0</v>
      </c>
      <c r="AF930" s="55">
        <f>IF(AQ930="2",BH930,0)</f>
        <v>0</v>
      </c>
      <c r="AG930" s="55">
        <f>IF(AQ930="2",BI930,0)</f>
        <v>0</v>
      </c>
      <c r="AH930" s="55">
        <f>IF(AQ930="0",BJ930,0)</f>
        <v>0</v>
      </c>
      <c r="AI930" s="33" t="s">
        <v>4</v>
      </c>
      <c r="AJ930" s="55">
        <f>IF(AN930=0,I930,0)</f>
        <v>0</v>
      </c>
      <c r="AK930" s="55">
        <f>IF(AN930=12,I930,0)</f>
        <v>0</v>
      </c>
      <c r="AL930" s="55">
        <f>IF(AN930=21,I930,0)</f>
        <v>0</v>
      </c>
      <c r="AN930" s="55">
        <v>21</v>
      </c>
      <c r="AO930" s="55">
        <f>H930*0</f>
        <v>0</v>
      </c>
      <c r="AP930" s="55">
        <f>H930*(1-0)</f>
        <v>0</v>
      </c>
      <c r="AQ930" s="58" t="s">
        <v>139</v>
      </c>
      <c r="AV930" s="55">
        <f>AW930+AX930</f>
        <v>0</v>
      </c>
      <c r="AW930" s="55">
        <f>G930*AO930</f>
        <v>0</v>
      </c>
      <c r="AX930" s="55">
        <f>G930*AP930</f>
        <v>0</v>
      </c>
      <c r="AY930" s="58" t="s">
        <v>952</v>
      </c>
      <c r="AZ930" s="58" t="s">
        <v>953</v>
      </c>
      <c r="BA930" s="33" t="s">
        <v>125</v>
      </c>
      <c r="BB930" s="59">
        <v>100053</v>
      </c>
      <c r="BC930" s="55">
        <f>AW930+AX930</f>
        <v>0</v>
      </c>
      <c r="BD930" s="55">
        <f>H930/(100-BE930)*100</f>
        <v>0</v>
      </c>
      <c r="BE930" s="55">
        <v>0</v>
      </c>
      <c r="BF930" s="55">
        <f>L930</f>
        <v>0</v>
      </c>
      <c r="BH930" s="55">
        <f>G930*AO930</f>
        <v>0</v>
      </c>
      <c r="BI930" s="55">
        <f>G930*AP930</f>
        <v>0</v>
      </c>
      <c r="BJ930" s="55">
        <f>G930*H930</f>
        <v>0</v>
      </c>
      <c r="BK930" s="55"/>
      <c r="BL930" s="55">
        <v>781</v>
      </c>
      <c r="BW930" s="55">
        <v>21</v>
      </c>
      <c r="BX930" s="3" t="s">
        <v>1028</v>
      </c>
    </row>
    <row r="931" spans="1:76" x14ac:dyDescent="0.25">
      <c r="A931" s="50" t="s">
        <v>4</v>
      </c>
      <c r="B931" s="51" t="s">
        <v>4</v>
      </c>
      <c r="C931" s="51" t="s">
        <v>1029</v>
      </c>
      <c r="D931" s="153" t="s">
        <v>1030</v>
      </c>
      <c r="E931" s="154"/>
      <c r="F931" s="52" t="s">
        <v>78</v>
      </c>
      <c r="G931" s="52" t="s">
        <v>78</v>
      </c>
      <c r="H931" s="53" t="s">
        <v>78</v>
      </c>
      <c r="I931" s="26">
        <f>SUM(I932:I932)</f>
        <v>0</v>
      </c>
      <c r="J931" s="33" t="s">
        <v>4</v>
      </c>
      <c r="K931" s="33" t="s">
        <v>4</v>
      </c>
      <c r="L931" s="26">
        <f>SUM(L932:L932)</f>
        <v>5.5799999999999999E-3</v>
      </c>
      <c r="M931" s="54" t="s">
        <v>4</v>
      </c>
      <c r="AI931" s="33" t="s">
        <v>4</v>
      </c>
      <c r="AS931" s="26">
        <f>SUM(AJ932:AJ932)</f>
        <v>0</v>
      </c>
      <c r="AT931" s="26">
        <f>SUM(AK932:AK932)</f>
        <v>0</v>
      </c>
      <c r="AU931" s="26">
        <f>SUM(AL932:AL932)</f>
        <v>0</v>
      </c>
    </row>
    <row r="932" spans="1:76" x14ac:dyDescent="0.25">
      <c r="A932" s="1" t="s">
        <v>1031</v>
      </c>
      <c r="B932" s="2" t="s">
        <v>4</v>
      </c>
      <c r="C932" s="2" t="s">
        <v>1032</v>
      </c>
      <c r="D932" s="82" t="s">
        <v>1033</v>
      </c>
      <c r="E932" s="83"/>
      <c r="F932" s="2" t="s">
        <v>805</v>
      </c>
      <c r="G932" s="55">
        <v>18</v>
      </c>
      <c r="H932" s="56">
        <v>0</v>
      </c>
      <c r="I932" s="55">
        <f>G932*H932</f>
        <v>0</v>
      </c>
      <c r="J932" s="55">
        <v>0</v>
      </c>
      <c r="K932" s="55">
        <v>3.1E-4</v>
      </c>
      <c r="L932" s="55">
        <f>G932*K932</f>
        <v>5.5799999999999999E-3</v>
      </c>
      <c r="M932" s="57" t="s">
        <v>122</v>
      </c>
      <c r="Z932" s="55">
        <f>IF(AQ932="5",BJ932,0)</f>
        <v>0</v>
      </c>
      <c r="AB932" s="55">
        <f>IF(AQ932="1",BH932,0)</f>
        <v>0</v>
      </c>
      <c r="AC932" s="55">
        <f>IF(AQ932="1",BI932,0)</f>
        <v>0</v>
      </c>
      <c r="AD932" s="55">
        <f>IF(AQ932="7",BH932,0)</f>
        <v>0</v>
      </c>
      <c r="AE932" s="55">
        <f>IF(AQ932="7",BI932,0)</f>
        <v>0</v>
      </c>
      <c r="AF932" s="55">
        <f>IF(AQ932="2",BH932,0)</f>
        <v>0</v>
      </c>
      <c r="AG932" s="55">
        <f>IF(AQ932="2",BI932,0)</f>
        <v>0</v>
      </c>
      <c r="AH932" s="55">
        <f>IF(AQ932="0",BJ932,0)</f>
        <v>0</v>
      </c>
      <c r="AI932" s="33" t="s">
        <v>4</v>
      </c>
      <c r="AJ932" s="55">
        <f>IF(AN932=0,I932,0)</f>
        <v>0</v>
      </c>
      <c r="AK932" s="55">
        <f>IF(AN932=12,I932,0)</f>
        <v>0</v>
      </c>
      <c r="AL932" s="55">
        <f>IF(AN932=21,I932,0)</f>
        <v>0</v>
      </c>
      <c r="AN932" s="55">
        <v>21</v>
      </c>
      <c r="AO932" s="55">
        <f>H932*0.379305882</f>
        <v>0</v>
      </c>
      <c r="AP932" s="55">
        <f>H932*(1-0.379305882)</f>
        <v>0</v>
      </c>
      <c r="AQ932" s="58" t="s">
        <v>162</v>
      </c>
      <c r="AV932" s="55">
        <f>AW932+AX932</f>
        <v>0</v>
      </c>
      <c r="AW932" s="55">
        <f>G932*AO932</f>
        <v>0</v>
      </c>
      <c r="AX932" s="55">
        <f>G932*AP932</f>
        <v>0</v>
      </c>
      <c r="AY932" s="58" t="s">
        <v>1034</v>
      </c>
      <c r="AZ932" s="58" t="s">
        <v>953</v>
      </c>
      <c r="BA932" s="33" t="s">
        <v>125</v>
      </c>
      <c r="BB932" s="59">
        <v>100031</v>
      </c>
      <c r="BC932" s="55">
        <f>AW932+AX932</f>
        <v>0</v>
      </c>
      <c r="BD932" s="55">
        <f>H932/(100-BE932)*100</f>
        <v>0</v>
      </c>
      <c r="BE932" s="55">
        <v>0</v>
      </c>
      <c r="BF932" s="55">
        <f>L932</f>
        <v>5.5799999999999999E-3</v>
      </c>
      <c r="BH932" s="55">
        <f>G932*AO932</f>
        <v>0</v>
      </c>
      <c r="BI932" s="55">
        <f>G932*AP932</f>
        <v>0</v>
      </c>
      <c r="BJ932" s="55">
        <f>G932*H932</f>
        <v>0</v>
      </c>
      <c r="BK932" s="55"/>
      <c r="BL932" s="55">
        <v>783</v>
      </c>
      <c r="BW932" s="55">
        <v>21</v>
      </c>
      <c r="BX932" s="3" t="s">
        <v>1033</v>
      </c>
    </row>
    <row r="933" spans="1:76" x14ac:dyDescent="0.25">
      <c r="A933" s="60"/>
      <c r="D933" s="61" t="s">
        <v>265</v>
      </c>
      <c r="E933" s="61" t="s">
        <v>4</v>
      </c>
      <c r="G933" s="62">
        <v>18</v>
      </c>
      <c r="M933" s="63"/>
    </row>
    <row r="934" spans="1:76" x14ac:dyDescent="0.25">
      <c r="A934" s="50" t="s">
        <v>4</v>
      </c>
      <c r="B934" s="51" t="s">
        <v>4</v>
      </c>
      <c r="C934" s="51" t="s">
        <v>1035</v>
      </c>
      <c r="D934" s="153" t="s">
        <v>1036</v>
      </c>
      <c r="E934" s="154"/>
      <c r="F934" s="52" t="s">
        <v>78</v>
      </c>
      <c r="G934" s="52" t="s">
        <v>78</v>
      </c>
      <c r="H934" s="53" t="s">
        <v>78</v>
      </c>
      <c r="I934" s="26">
        <f>SUM(I935:I978)</f>
        <v>0</v>
      </c>
      <c r="J934" s="33" t="s">
        <v>4</v>
      </c>
      <c r="K934" s="33" t="s">
        <v>4</v>
      </c>
      <c r="L934" s="26">
        <f>SUM(L935:L978)</f>
        <v>0.41515240200000003</v>
      </c>
      <c r="M934" s="54" t="s">
        <v>4</v>
      </c>
      <c r="AI934" s="33" t="s">
        <v>4</v>
      </c>
      <c r="AS934" s="26">
        <f>SUM(AJ935:AJ978)</f>
        <v>0</v>
      </c>
      <c r="AT934" s="26">
        <f>SUM(AK935:AK978)</f>
        <v>0</v>
      </c>
      <c r="AU934" s="26">
        <f>SUM(AL935:AL978)</f>
        <v>0</v>
      </c>
    </row>
    <row r="935" spans="1:76" x14ac:dyDescent="0.25">
      <c r="A935" s="1" t="s">
        <v>1037</v>
      </c>
      <c r="B935" s="2" t="s">
        <v>4</v>
      </c>
      <c r="C935" s="2" t="s">
        <v>1038</v>
      </c>
      <c r="D935" s="82" t="s">
        <v>1039</v>
      </c>
      <c r="E935" s="83"/>
      <c r="F935" s="2" t="s">
        <v>157</v>
      </c>
      <c r="G935" s="55">
        <v>265.78500000000003</v>
      </c>
      <c r="H935" s="56">
        <v>0</v>
      </c>
      <c r="I935" s="55">
        <f>G935*H935</f>
        <v>0</v>
      </c>
      <c r="J935" s="55">
        <v>0</v>
      </c>
      <c r="K935" s="55">
        <v>0</v>
      </c>
      <c r="L935" s="55">
        <f>G935*K935</f>
        <v>0</v>
      </c>
      <c r="M935" s="57" t="s">
        <v>122</v>
      </c>
      <c r="Z935" s="55">
        <f>IF(AQ935="5",BJ935,0)</f>
        <v>0</v>
      </c>
      <c r="AB935" s="55">
        <f>IF(AQ935="1",BH935,0)</f>
        <v>0</v>
      </c>
      <c r="AC935" s="55">
        <f>IF(AQ935="1",BI935,0)</f>
        <v>0</v>
      </c>
      <c r="AD935" s="55">
        <f>IF(AQ935="7",BH935,0)</f>
        <v>0</v>
      </c>
      <c r="AE935" s="55">
        <f>IF(AQ935="7",BI935,0)</f>
        <v>0</v>
      </c>
      <c r="AF935" s="55">
        <f>IF(AQ935="2",BH935,0)</f>
        <v>0</v>
      </c>
      <c r="AG935" s="55">
        <f>IF(AQ935="2",BI935,0)</f>
        <v>0</v>
      </c>
      <c r="AH935" s="55">
        <f>IF(AQ935="0",BJ935,0)</f>
        <v>0</v>
      </c>
      <c r="AI935" s="33" t="s">
        <v>4</v>
      </c>
      <c r="AJ935" s="55">
        <f>IF(AN935=0,I935,0)</f>
        <v>0</v>
      </c>
      <c r="AK935" s="55">
        <f>IF(AN935=12,I935,0)</f>
        <v>0</v>
      </c>
      <c r="AL935" s="55">
        <f>IF(AN935=21,I935,0)</f>
        <v>0</v>
      </c>
      <c r="AN935" s="55">
        <v>21</v>
      </c>
      <c r="AO935" s="55">
        <f>H935*0</f>
        <v>0</v>
      </c>
      <c r="AP935" s="55">
        <f>H935*(1-0)</f>
        <v>0</v>
      </c>
      <c r="AQ935" s="58" t="s">
        <v>162</v>
      </c>
      <c r="AV935" s="55">
        <f>AW935+AX935</f>
        <v>0</v>
      </c>
      <c r="AW935" s="55">
        <f>G935*AO935</f>
        <v>0</v>
      </c>
      <c r="AX935" s="55">
        <f>G935*AP935</f>
        <v>0</v>
      </c>
      <c r="AY935" s="58" t="s">
        <v>1040</v>
      </c>
      <c r="AZ935" s="58" t="s">
        <v>953</v>
      </c>
      <c r="BA935" s="33" t="s">
        <v>125</v>
      </c>
      <c r="BB935" s="59">
        <v>100029</v>
      </c>
      <c r="BC935" s="55">
        <f>AW935+AX935</f>
        <v>0</v>
      </c>
      <c r="BD935" s="55">
        <f>H935/(100-BE935)*100</f>
        <v>0</v>
      </c>
      <c r="BE935" s="55">
        <v>0</v>
      </c>
      <c r="BF935" s="55">
        <f>L935</f>
        <v>0</v>
      </c>
      <c r="BH935" s="55">
        <f>G935*AO935</f>
        <v>0</v>
      </c>
      <c r="BI935" s="55">
        <f>G935*AP935</f>
        <v>0</v>
      </c>
      <c r="BJ935" s="55">
        <f>G935*H935</f>
        <v>0</v>
      </c>
      <c r="BK935" s="55"/>
      <c r="BL935" s="55">
        <v>784</v>
      </c>
      <c r="BW935" s="55">
        <v>21</v>
      </c>
      <c r="BX935" s="3" t="s">
        <v>1039</v>
      </c>
    </row>
    <row r="936" spans="1:76" x14ac:dyDescent="0.25">
      <c r="A936" s="60"/>
      <c r="D936" s="61" t="s">
        <v>1041</v>
      </c>
      <c r="E936" s="61" t="s">
        <v>1042</v>
      </c>
      <c r="G936" s="62">
        <v>22.392499999999998</v>
      </c>
      <c r="M936" s="63"/>
    </row>
    <row r="937" spans="1:76" x14ac:dyDescent="0.25">
      <c r="A937" s="60"/>
      <c r="D937" s="61" t="s">
        <v>471</v>
      </c>
      <c r="E937" s="61" t="s">
        <v>472</v>
      </c>
      <c r="G937" s="62">
        <v>5.7119999999999997</v>
      </c>
      <c r="M937" s="63"/>
    </row>
    <row r="938" spans="1:76" x14ac:dyDescent="0.25">
      <c r="A938" s="60"/>
      <c r="D938" s="61" t="s">
        <v>360</v>
      </c>
      <c r="E938" s="61" t="s">
        <v>408</v>
      </c>
      <c r="G938" s="62">
        <v>12.932</v>
      </c>
      <c r="M938" s="63"/>
    </row>
    <row r="939" spans="1:76" x14ac:dyDescent="0.25">
      <c r="A939" s="60"/>
      <c r="D939" s="61" t="s">
        <v>409</v>
      </c>
      <c r="E939" s="61" t="s">
        <v>410</v>
      </c>
      <c r="G939" s="62">
        <v>13.170500000000001</v>
      </c>
      <c r="M939" s="63"/>
    </row>
    <row r="940" spans="1:76" x14ac:dyDescent="0.25">
      <c r="A940" s="60"/>
      <c r="D940" s="61" t="s">
        <v>411</v>
      </c>
      <c r="E940" s="61" t="s">
        <v>412</v>
      </c>
      <c r="G940" s="62">
        <v>5.3550000000000004</v>
      </c>
      <c r="M940" s="63"/>
    </row>
    <row r="941" spans="1:76" x14ac:dyDescent="0.25">
      <c r="A941" s="60"/>
      <c r="D941" s="61" t="s">
        <v>413</v>
      </c>
      <c r="E941" s="61" t="s">
        <v>414</v>
      </c>
      <c r="G941" s="62">
        <v>12.031000000000001</v>
      </c>
      <c r="M941" s="63"/>
    </row>
    <row r="942" spans="1:76" x14ac:dyDescent="0.25">
      <c r="A942" s="60"/>
      <c r="D942" s="61" t="s">
        <v>415</v>
      </c>
      <c r="E942" s="61" t="s">
        <v>416</v>
      </c>
      <c r="G942" s="62">
        <v>12.2165</v>
      </c>
      <c r="M942" s="63"/>
    </row>
    <row r="943" spans="1:76" x14ac:dyDescent="0.25">
      <c r="A943" s="60"/>
      <c r="D943" s="61" t="s">
        <v>419</v>
      </c>
      <c r="E943" s="61" t="s">
        <v>420</v>
      </c>
      <c r="G943" s="62">
        <v>11.368499999999999</v>
      </c>
      <c r="M943" s="63"/>
    </row>
    <row r="944" spans="1:76" x14ac:dyDescent="0.25">
      <c r="A944" s="60"/>
      <c r="D944" s="61" t="s">
        <v>421</v>
      </c>
      <c r="E944" s="61" t="s">
        <v>422</v>
      </c>
      <c r="G944" s="62">
        <v>10.811999999999999</v>
      </c>
      <c r="M944" s="63"/>
    </row>
    <row r="945" spans="1:76" x14ac:dyDescent="0.25">
      <c r="A945" s="60"/>
      <c r="D945" s="61" t="s">
        <v>425</v>
      </c>
      <c r="E945" s="61" t="s">
        <v>426</v>
      </c>
      <c r="G945" s="62">
        <v>9.8844999999999992</v>
      </c>
      <c r="M945" s="63"/>
    </row>
    <row r="946" spans="1:76" x14ac:dyDescent="0.25">
      <c r="A946" s="60"/>
      <c r="D946" s="61" t="s">
        <v>428</v>
      </c>
      <c r="E946" s="61" t="s">
        <v>429</v>
      </c>
      <c r="G946" s="62">
        <v>18.895499999999998</v>
      </c>
      <c r="M946" s="63"/>
    </row>
    <row r="947" spans="1:76" x14ac:dyDescent="0.25">
      <c r="A947" s="60"/>
      <c r="D947" s="61" t="s">
        <v>431</v>
      </c>
      <c r="E947" s="61" t="s">
        <v>432</v>
      </c>
      <c r="G947" s="62">
        <v>19.5228</v>
      </c>
      <c r="M947" s="63"/>
    </row>
    <row r="948" spans="1:76" x14ac:dyDescent="0.25">
      <c r="A948" s="60"/>
      <c r="D948" s="61" t="s">
        <v>433</v>
      </c>
      <c r="E948" s="61" t="s">
        <v>434</v>
      </c>
      <c r="G948" s="62">
        <v>10.856999999999999</v>
      </c>
      <c r="M948" s="63"/>
    </row>
    <row r="949" spans="1:76" x14ac:dyDescent="0.25">
      <c r="A949" s="60"/>
      <c r="D949" s="61" t="s">
        <v>435</v>
      </c>
      <c r="E949" s="61" t="s">
        <v>436</v>
      </c>
      <c r="G949" s="62">
        <v>9.1931999999999992</v>
      </c>
      <c r="M949" s="63"/>
    </row>
    <row r="950" spans="1:76" x14ac:dyDescent="0.25">
      <c r="A950" s="60"/>
      <c r="D950" s="61" t="s">
        <v>437</v>
      </c>
      <c r="E950" s="61" t="s">
        <v>438</v>
      </c>
      <c r="G950" s="62">
        <v>11.082599999999999</v>
      </c>
      <c r="M950" s="63"/>
    </row>
    <row r="951" spans="1:76" x14ac:dyDescent="0.25">
      <c r="A951" s="60"/>
      <c r="D951" s="61" t="s">
        <v>439</v>
      </c>
      <c r="E951" s="61" t="s">
        <v>440</v>
      </c>
      <c r="G951" s="62">
        <v>20.236999999999998</v>
      </c>
      <c r="M951" s="63"/>
    </row>
    <row r="952" spans="1:76" x14ac:dyDescent="0.25">
      <c r="A952" s="60"/>
      <c r="D952" s="61" t="s">
        <v>441</v>
      </c>
      <c r="E952" s="61" t="s">
        <v>442</v>
      </c>
      <c r="G952" s="62">
        <v>39.592799999999997</v>
      </c>
      <c r="M952" s="63"/>
    </row>
    <row r="953" spans="1:76" x14ac:dyDescent="0.25">
      <c r="A953" s="60"/>
      <c r="D953" s="61" t="s">
        <v>443</v>
      </c>
      <c r="E953" s="61" t="s">
        <v>444</v>
      </c>
      <c r="G953" s="62">
        <v>11.674799999999999</v>
      </c>
      <c r="M953" s="63"/>
    </row>
    <row r="954" spans="1:76" x14ac:dyDescent="0.25">
      <c r="A954" s="60"/>
      <c r="D954" s="61" t="s">
        <v>445</v>
      </c>
      <c r="E954" s="61" t="s">
        <v>446</v>
      </c>
      <c r="G954" s="62">
        <v>8.8547999999999991</v>
      </c>
      <c r="M954" s="63"/>
    </row>
    <row r="955" spans="1:76" ht="25.5" x14ac:dyDescent="0.25">
      <c r="A955" s="60"/>
      <c r="C955" s="64" t="s">
        <v>127</v>
      </c>
      <c r="D955" s="159" t="s">
        <v>1043</v>
      </c>
      <c r="E955" s="160"/>
      <c r="F955" s="160"/>
      <c r="G955" s="160"/>
      <c r="H955" s="161"/>
      <c r="I955" s="160"/>
      <c r="J955" s="160"/>
      <c r="K955" s="160"/>
      <c r="L955" s="160"/>
      <c r="M955" s="162"/>
      <c r="BX955" s="65" t="s">
        <v>1043</v>
      </c>
    </row>
    <row r="956" spans="1:76" x14ac:dyDescent="0.25">
      <c r="A956" s="1" t="s">
        <v>1044</v>
      </c>
      <c r="B956" s="2" t="s">
        <v>4</v>
      </c>
      <c r="C956" s="2" t="s">
        <v>1045</v>
      </c>
      <c r="D956" s="82" t="s">
        <v>1046</v>
      </c>
      <c r="E956" s="83"/>
      <c r="F956" s="2" t="s">
        <v>157</v>
      </c>
      <c r="G956" s="55">
        <v>847.24980000000005</v>
      </c>
      <c r="H956" s="56">
        <v>0</v>
      </c>
      <c r="I956" s="55">
        <f>G956*H956</f>
        <v>0</v>
      </c>
      <c r="J956" s="55">
        <v>0</v>
      </c>
      <c r="K956" s="55">
        <v>2.0000000000000001E-4</v>
      </c>
      <c r="L956" s="55">
        <f>G956*K956</f>
        <v>0.16944996000000001</v>
      </c>
      <c r="M956" s="57" t="s">
        <v>122</v>
      </c>
      <c r="Z956" s="55">
        <f>IF(AQ956="5",BJ956,0)</f>
        <v>0</v>
      </c>
      <c r="AB956" s="55">
        <f>IF(AQ956="1",BH956,0)</f>
        <v>0</v>
      </c>
      <c r="AC956" s="55">
        <f>IF(AQ956="1",BI956,0)</f>
        <v>0</v>
      </c>
      <c r="AD956" s="55">
        <f>IF(AQ956="7",BH956,0)</f>
        <v>0</v>
      </c>
      <c r="AE956" s="55">
        <f>IF(AQ956="7",BI956,0)</f>
        <v>0</v>
      </c>
      <c r="AF956" s="55">
        <f>IF(AQ956="2",BH956,0)</f>
        <v>0</v>
      </c>
      <c r="AG956" s="55">
        <f>IF(AQ956="2",BI956,0)</f>
        <v>0</v>
      </c>
      <c r="AH956" s="55">
        <f>IF(AQ956="0",BJ956,0)</f>
        <v>0</v>
      </c>
      <c r="AI956" s="33" t="s">
        <v>4</v>
      </c>
      <c r="AJ956" s="55">
        <f>IF(AN956=0,I956,0)</f>
        <v>0</v>
      </c>
      <c r="AK956" s="55">
        <f>IF(AN956=12,I956,0)</f>
        <v>0</v>
      </c>
      <c r="AL956" s="55">
        <f>IF(AN956=21,I956,0)</f>
        <v>0</v>
      </c>
      <c r="AN956" s="55">
        <v>21</v>
      </c>
      <c r="AO956" s="55">
        <f>H956*0.404602052</f>
        <v>0</v>
      </c>
      <c r="AP956" s="55">
        <f>H956*(1-0.404602052)</f>
        <v>0</v>
      </c>
      <c r="AQ956" s="58" t="s">
        <v>162</v>
      </c>
      <c r="AV956" s="55">
        <f>AW956+AX956</f>
        <v>0</v>
      </c>
      <c r="AW956" s="55">
        <f>G956*AO956</f>
        <v>0</v>
      </c>
      <c r="AX956" s="55">
        <f>G956*AP956</f>
        <v>0</v>
      </c>
      <c r="AY956" s="58" t="s">
        <v>1040</v>
      </c>
      <c r="AZ956" s="58" t="s">
        <v>953</v>
      </c>
      <c r="BA956" s="33" t="s">
        <v>125</v>
      </c>
      <c r="BB956" s="59">
        <v>100029</v>
      </c>
      <c r="BC956" s="55">
        <f>AW956+AX956</f>
        <v>0</v>
      </c>
      <c r="BD956" s="55">
        <f>H956/(100-BE956)*100</f>
        <v>0</v>
      </c>
      <c r="BE956" s="55">
        <v>0</v>
      </c>
      <c r="BF956" s="55">
        <f>L956</f>
        <v>0.16944996000000001</v>
      </c>
      <c r="BH956" s="55">
        <f>G956*AO956</f>
        <v>0</v>
      </c>
      <c r="BI956" s="55">
        <f>G956*AP956</f>
        <v>0</v>
      </c>
      <c r="BJ956" s="55">
        <f>G956*H956</f>
        <v>0</v>
      </c>
      <c r="BK956" s="55"/>
      <c r="BL956" s="55">
        <v>784</v>
      </c>
      <c r="BW956" s="55">
        <v>21</v>
      </c>
      <c r="BX956" s="3" t="s">
        <v>1046</v>
      </c>
    </row>
    <row r="957" spans="1:76" x14ac:dyDescent="0.25">
      <c r="A957" s="60"/>
      <c r="D957" s="61" t="s">
        <v>1047</v>
      </c>
      <c r="E957" s="61" t="s">
        <v>336</v>
      </c>
      <c r="G957" s="62">
        <v>-1.94</v>
      </c>
      <c r="M957" s="63"/>
    </row>
    <row r="958" spans="1:76" x14ac:dyDescent="0.25">
      <c r="A958" s="60"/>
      <c r="D958" s="61" t="s">
        <v>405</v>
      </c>
      <c r="E958" s="61" t="s">
        <v>406</v>
      </c>
      <c r="G958" s="62">
        <v>46.692999999999998</v>
      </c>
      <c r="M958" s="63"/>
    </row>
    <row r="959" spans="1:76" x14ac:dyDescent="0.25">
      <c r="A959" s="60"/>
      <c r="D959" s="61" t="s">
        <v>1048</v>
      </c>
      <c r="E959" s="61" t="s">
        <v>383</v>
      </c>
      <c r="G959" s="62">
        <v>6.3525</v>
      </c>
      <c r="M959" s="63"/>
    </row>
    <row r="960" spans="1:76" x14ac:dyDescent="0.25">
      <c r="A960" s="60"/>
      <c r="D960" s="61" t="s">
        <v>1049</v>
      </c>
      <c r="E960" s="61" t="s">
        <v>533</v>
      </c>
      <c r="G960" s="62">
        <v>48.723999999999997</v>
      </c>
      <c r="M960" s="63"/>
    </row>
    <row r="961" spans="1:13" x14ac:dyDescent="0.25">
      <c r="A961" s="60"/>
      <c r="D961" s="61" t="s">
        <v>1050</v>
      </c>
      <c r="E961" s="61" t="s">
        <v>535</v>
      </c>
      <c r="G961" s="62">
        <v>47.451999999999998</v>
      </c>
      <c r="M961" s="63"/>
    </row>
    <row r="962" spans="1:13" x14ac:dyDescent="0.25">
      <c r="A962" s="60"/>
      <c r="D962" s="61" t="s">
        <v>1051</v>
      </c>
      <c r="E962" s="61" t="s">
        <v>537</v>
      </c>
      <c r="G962" s="62">
        <v>47.796500000000002</v>
      </c>
      <c r="M962" s="63"/>
    </row>
    <row r="963" spans="1:13" x14ac:dyDescent="0.25">
      <c r="A963" s="60"/>
      <c r="D963" s="61" t="s">
        <v>1052</v>
      </c>
      <c r="E963" s="61" t="s">
        <v>539</v>
      </c>
      <c r="G963" s="62">
        <v>47.875999999999998</v>
      </c>
      <c r="M963" s="63"/>
    </row>
    <row r="964" spans="1:13" x14ac:dyDescent="0.25">
      <c r="A964" s="60"/>
      <c r="D964" s="61" t="s">
        <v>1053</v>
      </c>
      <c r="E964" s="61" t="s">
        <v>541</v>
      </c>
      <c r="G964" s="62">
        <v>44.775500000000001</v>
      </c>
      <c r="M964" s="63"/>
    </row>
    <row r="965" spans="1:13" x14ac:dyDescent="0.25">
      <c r="A965" s="60"/>
      <c r="D965" s="61" t="s">
        <v>1054</v>
      </c>
      <c r="E965" s="61" t="s">
        <v>543</v>
      </c>
      <c r="G965" s="62">
        <v>45.146500000000003</v>
      </c>
      <c r="M965" s="63"/>
    </row>
    <row r="966" spans="1:13" x14ac:dyDescent="0.25">
      <c r="A966" s="60"/>
      <c r="D966" s="61" t="s">
        <v>1055</v>
      </c>
      <c r="E966" s="61" t="s">
        <v>545</v>
      </c>
      <c r="G966" s="62">
        <v>27.974</v>
      </c>
      <c r="M966" s="63"/>
    </row>
    <row r="967" spans="1:13" x14ac:dyDescent="0.25">
      <c r="A967" s="60"/>
      <c r="D967" s="61" t="s">
        <v>1056</v>
      </c>
      <c r="E967" s="61" t="s">
        <v>547</v>
      </c>
      <c r="G967" s="62">
        <v>71.588499999999996</v>
      </c>
      <c r="M967" s="63"/>
    </row>
    <row r="968" spans="1:13" x14ac:dyDescent="0.25">
      <c r="A968" s="60"/>
      <c r="D968" s="61" t="s">
        <v>309</v>
      </c>
      <c r="E968" s="61" t="s">
        <v>310</v>
      </c>
      <c r="G968" s="62">
        <v>207.44200000000001</v>
      </c>
      <c r="M968" s="63"/>
    </row>
    <row r="969" spans="1:13" x14ac:dyDescent="0.25">
      <c r="A969" s="60"/>
      <c r="D969" s="61" t="s">
        <v>431</v>
      </c>
      <c r="E969" s="61" t="s">
        <v>432</v>
      </c>
      <c r="G969" s="62">
        <v>19.5228</v>
      </c>
      <c r="M969" s="63"/>
    </row>
    <row r="970" spans="1:13" x14ac:dyDescent="0.25">
      <c r="A970" s="60"/>
      <c r="D970" s="61" t="s">
        <v>384</v>
      </c>
      <c r="E970" s="61" t="s">
        <v>312</v>
      </c>
      <c r="G970" s="62">
        <v>1.302</v>
      </c>
      <c r="M970" s="63"/>
    </row>
    <row r="971" spans="1:13" x14ac:dyDescent="0.25">
      <c r="A971" s="60"/>
      <c r="D971" s="61" t="s">
        <v>385</v>
      </c>
      <c r="E971" s="61" t="s">
        <v>314</v>
      </c>
      <c r="G971" s="62">
        <v>22.732500000000002</v>
      </c>
      <c r="M971" s="63"/>
    </row>
    <row r="972" spans="1:13" x14ac:dyDescent="0.25">
      <c r="A972" s="60"/>
      <c r="D972" s="61" t="s">
        <v>1057</v>
      </c>
      <c r="E972" s="61" t="s">
        <v>850</v>
      </c>
      <c r="G972" s="62">
        <v>35.368499999999997</v>
      </c>
      <c r="M972" s="63"/>
    </row>
    <row r="973" spans="1:13" x14ac:dyDescent="0.25">
      <c r="A973" s="60"/>
      <c r="D973" s="61" t="s">
        <v>1058</v>
      </c>
      <c r="E973" s="61" t="s">
        <v>550</v>
      </c>
      <c r="G973" s="62">
        <v>71.775999999999996</v>
      </c>
      <c r="M973" s="63"/>
    </row>
    <row r="974" spans="1:13" x14ac:dyDescent="0.25">
      <c r="A974" s="60"/>
      <c r="D974" s="61" t="s">
        <v>327</v>
      </c>
      <c r="E974" s="61" t="s">
        <v>328</v>
      </c>
      <c r="G974" s="62">
        <v>37.616500000000002</v>
      </c>
      <c r="M974" s="63"/>
    </row>
    <row r="975" spans="1:13" x14ac:dyDescent="0.25">
      <c r="A975" s="60"/>
      <c r="D975" s="61" t="s">
        <v>329</v>
      </c>
      <c r="E975" s="61" t="s">
        <v>330</v>
      </c>
      <c r="G975" s="62">
        <v>22.099</v>
      </c>
      <c r="M975" s="63"/>
    </row>
    <row r="976" spans="1:13" x14ac:dyDescent="0.25">
      <c r="A976" s="60"/>
      <c r="D976" s="61" t="s">
        <v>386</v>
      </c>
      <c r="E976" s="61" t="s">
        <v>387</v>
      </c>
      <c r="G976" s="62">
        <v>-3.048</v>
      </c>
      <c r="M976" s="63"/>
    </row>
    <row r="977" spans="1:76" x14ac:dyDescent="0.25">
      <c r="A977" s="60"/>
      <c r="C977" s="64" t="s">
        <v>127</v>
      </c>
      <c r="D977" s="159" t="s">
        <v>1059</v>
      </c>
      <c r="E977" s="160"/>
      <c r="F977" s="160"/>
      <c r="G977" s="160"/>
      <c r="H977" s="161"/>
      <c r="I977" s="160"/>
      <c r="J977" s="160"/>
      <c r="K977" s="160"/>
      <c r="L977" s="160"/>
      <c r="M977" s="162"/>
      <c r="BX977" s="65" t="s">
        <v>1059</v>
      </c>
    </row>
    <row r="978" spans="1:76" x14ac:dyDescent="0.25">
      <c r="A978" s="1" t="s">
        <v>1060</v>
      </c>
      <c r="B978" s="2" t="s">
        <v>4</v>
      </c>
      <c r="C978" s="2" t="s">
        <v>1061</v>
      </c>
      <c r="D978" s="82" t="s">
        <v>1062</v>
      </c>
      <c r="E978" s="83"/>
      <c r="F978" s="2" t="s">
        <v>157</v>
      </c>
      <c r="G978" s="55">
        <v>847.24980000000005</v>
      </c>
      <c r="H978" s="56">
        <v>0</v>
      </c>
      <c r="I978" s="55">
        <f>G978*H978</f>
        <v>0</v>
      </c>
      <c r="J978" s="55">
        <v>0</v>
      </c>
      <c r="K978" s="55">
        <v>2.9E-4</v>
      </c>
      <c r="L978" s="55">
        <f>G978*K978</f>
        <v>0.24570244200000002</v>
      </c>
      <c r="M978" s="57" t="s">
        <v>122</v>
      </c>
      <c r="Z978" s="55">
        <f>IF(AQ978="5",BJ978,0)</f>
        <v>0</v>
      </c>
      <c r="AB978" s="55">
        <f>IF(AQ978="1",BH978,0)</f>
        <v>0</v>
      </c>
      <c r="AC978" s="55">
        <f>IF(AQ978="1",BI978,0)</f>
        <v>0</v>
      </c>
      <c r="AD978" s="55">
        <f>IF(AQ978="7",BH978,0)</f>
        <v>0</v>
      </c>
      <c r="AE978" s="55">
        <f>IF(AQ978="7",BI978,0)</f>
        <v>0</v>
      </c>
      <c r="AF978" s="55">
        <f>IF(AQ978="2",BH978,0)</f>
        <v>0</v>
      </c>
      <c r="AG978" s="55">
        <f>IF(AQ978="2",BI978,0)</f>
        <v>0</v>
      </c>
      <c r="AH978" s="55">
        <f>IF(AQ978="0",BJ978,0)</f>
        <v>0</v>
      </c>
      <c r="AI978" s="33" t="s">
        <v>4</v>
      </c>
      <c r="AJ978" s="55">
        <f>IF(AN978=0,I978,0)</f>
        <v>0</v>
      </c>
      <c r="AK978" s="55">
        <f>IF(AN978=12,I978,0)</f>
        <v>0</v>
      </c>
      <c r="AL978" s="55">
        <f>IF(AN978=21,I978,0)</f>
        <v>0</v>
      </c>
      <c r="AN978" s="55">
        <v>21</v>
      </c>
      <c r="AO978" s="55">
        <f>H978*0.145910182</f>
        <v>0</v>
      </c>
      <c r="AP978" s="55">
        <f>H978*(1-0.145910182)</f>
        <v>0</v>
      </c>
      <c r="AQ978" s="58" t="s">
        <v>162</v>
      </c>
      <c r="AV978" s="55">
        <f>AW978+AX978</f>
        <v>0</v>
      </c>
      <c r="AW978" s="55">
        <f>G978*AO978</f>
        <v>0</v>
      </c>
      <c r="AX978" s="55">
        <f>G978*AP978</f>
        <v>0</v>
      </c>
      <c r="AY978" s="58" t="s">
        <v>1040</v>
      </c>
      <c r="AZ978" s="58" t="s">
        <v>953</v>
      </c>
      <c r="BA978" s="33" t="s">
        <v>125</v>
      </c>
      <c r="BB978" s="59">
        <v>100029</v>
      </c>
      <c r="BC978" s="55">
        <f>AW978+AX978</f>
        <v>0</v>
      </c>
      <c r="BD978" s="55">
        <f>H978/(100-BE978)*100</f>
        <v>0</v>
      </c>
      <c r="BE978" s="55">
        <v>0</v>
      </c>
      <c r="BF978" s="55">
        <f>L978</f>
        <v>0.24570244200000002</v>
      </c>
      <c r="BH978" s="55">
        <f>G978*AO978</f>
        <v>0</v>
      </c>
      <c r="BI978" s="55">
        <f>G978*AP978</f>
        <v>0</v>
      </c>
      <c r="BJ978" s="55">
        <f>G978*H978</f>
        <v>0</v>
      </c>
      <c r="BK978" s="55"/>
      <c r="BL978" s="55">
        <v>784</v>
      </c>
      <c r="BW978" s="55">
        <v>21</v>
      </c>
      <c r="BX978" s="3" t="s">
        <v>1062</v>
      </c>
    </row>
    <row r="979" spans="1:76" x14ac:dyDescent="0.25">
      <c r="A979" s="60"/>
      <c r="D979" s="61" t="s">
        <v>1047</v>
      </c>
      <c r="E979" s="61" t="s">
        <v>336</v>
      </c>
      <c r="G979" s="62">
        <v>-1.94</v>
      </c>
      <c r="M979" s="63"/>
    </row>
    <row r="980" spans="1:76" x14ac:dyDescent="0.25">
      <c r="A980" s="60"/>
      <c r="D980" s="61" t="s">
        <v>405</v>
      </c>
      <c r="E980" s="61" t="s">
        <v>406</v>
      </c>
      <c r="G980" s="62">
        <v>46.692999999999998</v>
      </c>
      <c r="M980" s="63"/>
    </row>
    <row r="981" spans="1:76" x14ac:dyDescent="0.25">
      <c r="A981" s="60"/>
      <c r="D981" s="61" t="s">
        <v>1048</v>
      </c>
      <c r="E981" s="61" t="s">
        <v>383</v>
      </c>
      <c r="G981" s="62">
        <v>6.3525</v>
      </c>
      <c r="M981" s="63"/>
    </row>
    <row r="982" spans="1:76" x14ac:dyDescent="0.25">
      <c r="A982" s="60"/>
      <c r="D982" s="61" t="s">
        <v>1049</v>
      </c>
      <c r="E982" s="61" t="s">
        <v>533</v>
      </c>
      <c r="G982" s="62">
        <v>48.723999999999997</v>
      </c>
      <c r="M982" s="63"/>
    </row>
    <row r="983" spans="1:76" x14ac:dyDescent="0.25">
      <c r="A983" s="60"/>
      <c r="D983" s="61" t="s">
        <v>1050</v>
      </c>
      <c r="E983" s="61" t="s">
        <v>535</v>
      </c>
      <c r="G983" s="62">
        <v>47.451999999999998</v>
      </c>
      <c r="M983" s="63"/>
    </row>
    <row r="984" spans="1:76" x14ac:dyDescent="0.25">
      <c r="A984" s="60"/>
      <c r="D984" s="61" t="s">
        <v>1051</v>
      </c>
      <c r="E984" s="61" t="s">
        <v>537</v>
      </c>
      <c r="G984" s="62">
        <v>47.796500000000002</v>
      </c>
      <c r="M984" s="63"/>
    </row>
    <row r="985" spans="1:76" x14ac:dyDescent="0.25">
      <c r="A985" s="60"/>
      <c r="D985" s="61" t="s">
        <v>1052</v>
      </c>
      <c r="E985" s="61" t="s">
        <v>539</v>
      </c>
      <c r="G985" s="62">
        <v>47.875999999999998</v>
      </c>
      <c r="M985" s="63"/>
    </row>
    <row r="986" spans="1:76" x14ac:dyDescent="0.25">
      <c r="A986" s="60"/>
      <c r="D986" s="61" t="s">
        <v>1053</v>
      </c>
      <c r="E986" s="61" t="s">
        <v>541</v>
      </c>
      <c r="G986" s="62">
        <v>44.775500000000001</v>
      </c>
      <c r="M986" s="63"/>
    </row>
    <row r="987" spans="1:76" x14ac:dyDescent="0.25">
      <c r="A987" s="60"/>
      <c r="D987" s="61" t="s">
        <v>1054</v>
      </c>
      <c r="E987" s="61" t="s">
        <v>543</v>
      </c>
      <c r="G987" s="62">
        <v>45.146500000000003</v>
      </c>
      <c r="M987" s="63"/>
    </row>
    <row r="988" spans="1:76" x14ac:dyDescent="0.25">
      <c r="A988" s="60"/>
      <c r="D988" s="61" t="s">
        <v>1055</v>
      </c>
      <c r="E988" s="61" t="s">
        <v>545</v>
      </c>
      <c r="G988" s="62">
        <v>27.974</v>
      </c>
      <c r="M988" s="63"/>
    </row>
    <row r="989" spans="1:76" x14ac:dyDescent="0.25">
      <c r="A989" s="60"/>
      <c r="D989" s="61" t="s">
        <v>1056</v>
      </c>
      <c r="E989" s="61" t="s">
        <v>547</v>
      </c>
      <c r="G989" s="62">
        <v>71.588499999999996</v>
      </c>
      <c r="M989" s="63"/>
    </row>
    <row r="990" spans="1:76" x14ac:dyDescent="0.25">
      <c r="A990" s="60"/>
      <c r="D990" s="61" t="s">
        <v>309</v>
      </c>
      <c r="E990" s="61" t="s">
        <v>310</v>
      </c>
      <c r="G990" s="62">
        <v>207.44200000000001</v>
      </c>
      <c r="M990" s="63"/>
    </row>
    <row r="991" spans="1:76" x14ac:dyDescent="0.25">
      <c r="A991" s="60"/>
      <c r="D991" s="61" t="s">
        <v>431</v>
      </c>
      <c r="E991" s="61" t="s">
        <v>432</v>
      </c>
      <c r="G991" s="62">
        <v>19.5228</v>
      </c>
      <c r="M991" s="63"/>
    </row>
    <row r="992" spans="1:76" x14ac:dyDescent="0.25">
      <c r="A992" s="60"/>
      <c r="D992" s="61" t="s">
        <v>384</v>
      </c>
      <c r="E992" s="61" t="s">
        <v>312</v>
      </c>
      <c r="G992" s="62">
        <v>1.302</v>
      </c>
      <c r="M992" s="63"/>
    </row>
    <row r="993" spans="1:76" x14ac:dyDescent="0.25">
      <c r="A993" s="60"/>
      <c r="D993" s="61" t="s">
        <v>385</v>
      </c>
      <c r="E993" s="61" t="s">
        <v>314</v>
      </c>
      <c r="G993" s="62">
        <v>22.732500000000002</v>
      </c>
      <c r="M993" s="63"/>
    </row>
    <row r="994" spans="1:76" x14ac:dyDescent="0.25">
      <c r="A994" s="60"/>
      <c r="D994" s="61" t="s">
        <v>1057</v>
      </c>
      <c r="E994" s="61" t="s">
        <v>850</v>
      </c>
      <c r="G994" s="62">
        <v>35.368499999999997</v>
      </c>
      <c r="M994" s="63"/>
    </row>
    <row r="995" spans="1:76" x14ac:dyDescent="0.25">
      <c r="A995" s="60"/>
      <c r="D995" s="61" t="s">
        <v>1058</v>
      </c>
      <c r="E995" s="61" t="s">
        <v>550</v>
      </c>
      <c r="G995" s="62">
        <v>71.775999999999996</v>
      </c>
      <c r="M995" s="63"/>
    </row>
    <row r="996" spans="1:76" x14ac:dyDescent="0.25">
      <c r="A996" s="60"/>
      <c r="D996" s="61" t="s">
        <v>327</v>
      </c>
      <c r="E996" s="61" t="s">
        <v>328</v>
      </c>
      <c r="G996" s="62">
        <v>37.616500000000002</v>
      </c>
      <c r="M996" s="63"/>
    </row>
    <row r="997" spans="1:76" x14ac:dyDescent="0.25">
      <c r="A997" s="60"/>
      <c r="D997" s="61" t="s">
        <v>329</v>
      </c>
      <c r="E997" s="61" t="s">
        <v>330</v>
      </c>
      <c r="G997" s="62">
        <v>22.099</v>
      </c>
      <c r="M997" s="63"/>
    </row>
    <row r="998" spans="1:76" x14ac:dyDescent="0.25">
      <c r="A998" s="60"/>
      <c r="D998" s="61" t="s">
        <v>386</v>
      </c>
      <c r="E998" s="61" t="s">
        <v>387</v>
      </c>
      <c r="G998" s="62">
        <v>-3.048</v>
      </c>
      <c r="M998" s="63"/>
    </row>
    <row r="999" spans="1:76" ht="63.75" x14ac:dyDescent="0.25">
      <c r="A999" s="60"/>
      <c r="C999" s="64" t="s">
        <v>127</v>
      </c>
      <c r="D999" s="159" t="s">
        <v>1063</v>
      </c>
      <c r="E999" s="160"/>
      <c r="F999" s="160"/>
      <c r="G999" s="160"/>
      <c r="H999" s="161"/>
      <c r="I999" s="160"/>
      <c r="J999" s="160"/>
      <c r="K999" s="160"/>
      <c r="L999" s="160"/>
      <c r="M999" s="162"/>
      <c r="BX999" s="65" t="s">
        <v>1063</v>
      </c>
    </row>
    <row r="1000" spans="1:76" x14ac:dyDescent="0.25">
      <c r="A1000" s="50" t="s">
        <v>4</v>
      </c>
      <c r="B1000" s="51" t="s">
        <v>4</v>
      </c>
      <c r="C1000" s="51" t="s">
        <v>863</v>
      </c>
      <c r="D1000" s="153" t="s">
        <v>1064</v>
      </c>
      <c r="E1000" s="154"/>
      <c r="F1000" s="52" t="s">
        <v>78</v>
      </c>
      <c r="G1000" s="52" t="s">
        <v>78</v>
      </c>
      <c r="H1000" s="53" t="s">
        <v>78</v>
      </c>
      <c r="I1000" s="26">
        <f>SUM(I1001:I1001)</f>
        <v>0</v>
      </c>
      <c r="J1000" s="33" t="s">
        <v>4</v>
      </c>
      <c r="K1000" s="33" t="s">
        <v>4</v>
      </c>
      <c r="L1000" s="26">
        <f>SUM(L1001:L1001)</f>
        <v>0.62607819999999992</v>
      </c>
      <c r="M1000" s="54" t="s">
        <v>4</v>
      </c>
      <c r="AI1000" s="33" t="s">
        <v>4</v>
      </c>
      <c r="AS1000" s="26">
        <f>SUM(AJ1001:AJ1001)</f>
        <v>0</v>
      </c>
      <c r="AT1000" s="26">
        <f>SUM(AK1001:AK1001)</f>
        <v>0</v>
      </c>
      <c r="AU1000" s="26">
        <f>SUM(AL1001:AL1001)</f>
        <v>0</v>
      </c>
    </row>
    <row r="1001" spans="1:76" x14ac:dyDescent="0.25">
      <c r="A1001" s="1" t="s">
        <v>1065</v>
      </c>
      <c r="B1001" s="2" t="s">
        <v>4</v>
      </c>
      <c r="C1001" s="2" t="s">
        <v>1066</v>
      </c>
      <c r="D1001" s="82" t="s">
        <v>1067</v>
      </c>
      <c r="E1001" s="83"/>
      <c r="F1001" s="2" t="s">
        <v>157</v>
      </c>
      <c r="G1001" s="55">
        <v>517.41999999999996</v>
      </c>
      <c r="H1001" s="56">
        <v>0</v>
      </c>
      <c r="I1001" s="55">
        <f>G1001*H1001</f>
        <v>0</v>
      </c>
      <c r="J1001" s="55">
        <v>0</v>
      </c>
      <c r="K1001" s="55">
        <v>1.2099999999999999E-3</v>
      </c>
      <c r="L1001" s="55">
        <f>G1001*K1001</f>
        <v>0.62607819999999992</v>
      </c>
      <c r="M1001" s="57" t="s">
        <v>122</v>
      </c>
      <c r="Z1001" s="55">
        <f>IF(AQ1001="5",BJ1001,0)</f>
        <v>0</v>
      </c>
      <c r="AB1001" s="55">
        <f>IF(AQ1001="1",BH1001,0)</f>
        <v>0</v>
      </c>
      <c r="AC1001" s="55">
        <f>IF(AQ1001="1",BI1001,0)</f>
        <v>0</v>
      </c>
      <c r="AD1001" s="55">
        <f>IF(AQ1001="7",BH1001,0)</f>
        <v>0</v>
      </c>
      <c r="AE1001" s="55">
        <f>IF(AQ1001="7",BI1001,0)</f>
        <v>0</v>
      </c>
      <c r="AF1001" s="55">
        <f>IF(AQ1001="2",BH1001,0)</f>
        <v>0</v>
      </c>
      <c r="AG1001" s="55">
        <f>IF(AQ1001="2",BI1001,0)</f>
        <v>0</v>
      </c>
      <c r="AH1001" s="55">
        <f>IF(AQ1001="0",BJ1001,0)</f>
        <v>0</v>
      </c>
      <c r="AI1001" s="33" t="s">
        <v>4</v>
      </c>
      <c r="AJ1001" s="55">
        <f>IF(AN1001=0,I1001,0)</f>
        <v>0</v>
      </c>
      <c r="AK1001" s="55">
        <f>IF(AN1001=12,I1001,0)</f>
        <v>0</v>
      </c>
      <c r="AL1001" s="55">
        <f>IF(AN1001=21,I1001,0)</f>
        <v>0</v>
      </c>
      <c r="AN1001" s="55">
        <v>21</v>
      </c>
      <c r="AO1001" s="55">
        <f>H1001*0.36869258</f>
        <v>0</v>
      </c>
      <c r="AP1001" s="55">
        <f>H1001*(1-0.36869258)</f>
        <v>0</v>
      </c>
      <c r="AQ1001" s="58" t="s">
        <v>118</v>
      </c>
      <c r="AV1001" s="55">
        <f>AW1001+AX1001</f>
        <v>0</v>
      </c>
      <c r="AW1001" s="55">
        <f>G1001*AO1001</f>
        <v>0</v>
      </c>
      <c r="AX1001" s="55">
        <f>G1001*AP1001</f>
        <v>0</v>
      </c>
      <c r="AY1001" s="58" t="s">
        <v>1068</v>
      </c>
      <c r="AZ1001" s="58" t="s">
        <v>1069</v>
      </c>
      <c r="BA1001" s="33" t="s">
        <v>125</v>
      </c>
      <c r="BB1001" s="59">
        <v>100041</v>
      </c>
      <c r="BC1001" s="55">
        <f>AW1001+AX1001</f>
        <v>0</v>
      </c>
      <c r="BD1001" s="55">
        <f>H1001/(100-BE1001)*100</f>
        <v>0</v>
      </c>
      <c r="BE1001" s="55">
        <v>0</v>
      </c>
      <c r="BF1001" s="55">
        <f>L1001</f>
        <v>0.62607819999999992</v>
      </c>
      <c r="BH1001" s="55">
        <f>G1001*AO1001</f>
        <v>0</v>
      </c>
      <c r="BI1001" s="55">
        <f>G1001*AP1001</f>
        <v>0</v>
      </c>
      <c r="BJ1001" s="55">
        <f>G1001*H1001</f>
        <v>0</v>
      </c>
      <c r="BK1001" s="55"/>
      <c r="BL1001" s="55">
        <v>94</v>
      </c>
      <c r="BW1001" s="55">
        <v>21</v>
      </c>
      <c r="BX1001" s="3" t="s">
        <v>1067</v>
      </c>
    </row>
    <row r="1002" spans="1:76" x14ac:dyDescent="0.25">
      <c r="A1002" s="60"/>
      <c r="D1002" s="61" t="s">
        <v>500</v>
      </c>
      <c r="E1002" s="61" t="s">
        <v>501</v>
      </c>
      <c r="G1002" s="62">
        <v>15.79</v>
      </c>
      <c r="M1002" s="63"/>
    </row>
    <row r="1003" spans="1:76" x14ac:dyDescent="0.25">
      <c r="A1003" s="60"/>
      <c r="D1003" s="61" t="s">
        <v>502</v>
      </c>
      <c r="E1003" s="61" t="s">
        <v>503</v>
      </c>
      <c r="G1003" s="62">
        <v>2.61</v>
      </c>
      <c r="M1003" s="63"/>
    </row>
    <row r="1004" spans="1:76" x14ac:dyDescent="0.25">
      <c r="A1004" s="60"/>
      <c r="D1004" s="61" t="s">
        <v>504</v>
      </c>
      <c r="E1004" s="61" t="s">
        <v>505</v>
      </c>
      <c r="G1004" s="62">
        <v>1.89</v>
      </c>
      <c r="M1004" s="63"/>
    </row>
    <row r="1005" spans="1:76" x14ac:dyDescent="0.25">
      <c r="A1005" s="60"/>
      <c r="D1005" s="61" t="s">
        <v>506</v>
      </c>
      <c r="E1005" s="61" t="s">
        <v>507</v>
      </c>
      <c r="G1005" s="62">
        <v>5.2</v>
      </c>
      <c r="M1005" s="63"/>
    </row>
    <row r="1006" spans="1:76" x14ac:dyDescent="0.25">
      <c r="A1006" s="60"/>
      <c r="D1006" s="61" t="s">
        <v>532</v>
      </c>
      <c r="E1006" s="61" t="s">
        <v>533</v>
      </c>
      <c r="G1006" s="62">
        <v>22.2</v>
      </c>
      <c r="M1006" s="63"/>
    </row>
    <row r="1007" spans="1:76" x14ac:dyDescent="0.25">
      <c r="A1007" s="60"/>
      <c r="D1007" s="61" t="s">
        <v>534</v>
      </c>
      <c r="E1007" s="61" t="s">
        <v>535</v>
      </c>
      <c r="G1007" s="62">
        <v>21.64</v>
      </c>
      <c r="M1007" s="63"/>
    </row>
    <row r="1008" spans="1:76" x14ac:dyDescent="0.25">
      <c r="A1008" s="60"/>
      <c r="D1008" s="61" t="s">
        <v>508</v>
      </c>
      <c r="E1008" s="61" t="s">
        <v>509</v>
      </c>
      <c r="G1008" s="62">
        <v>4.7300000000000004</v>
      </c>
      <c r="M1008" s="63"/>
    </row>
    <row r="1009" spans="1:13" x14ac:dyDescent="0.25">
      <c r="A1009" s="60"/>
      <c r="D1009" s="61" t="s">
        <v>510</v>
      </c>
      <c r="E1009" s="61" t="s">
        <v>511</v>
      </c>
      <c r="G1009" s="62">
        <v>4.42</v>
      </c>
      <c r="M1009" s="63"/>
    </row>
    <row r="1010" spans="1:13" x14ac:dyDescent="0.25">
      <c r="A1010" s="60"/>
      <c r="D1010" s="61" t="s">
        <v>536</v>
      </c>
      <c r="E1010" s="61" t="s">
        <v>537</v>
      </c>
      <c r="G1010" s="62">
        <v>20.81</v>
      </c>
      <c r="M1010" s="63"/>
    </row>
    <row r="1011" spans="1:13" x14ac:dyDescent="0.25">
      <c r="A1011" s="60"/>
      <c r="D1011" s="61" t="s">
        <v>538</v>
      </c>
      <c r="E1011" s="61" t="s">
        <v>539</v>
      </c>
      <c r="G1011" s="62">
        <v>21.75</v>
      </c>
      <c r="M1011" s="63"/>
    </row>
    <row r="1012" spans="1:13" x14ac:dyDescent="0.25">
      <c r="A1012" s="60"/>
      <c r="D1012" s="61" t="s">
        <v>512</v>
      </c>
      <c r="E1012" s="61" t="s">
        <v>513</v>
      </c>
      <c r="G1012" s="62">
        <v>5.34</v>
      </c>
      <c r="M1012" s="63"/>
    </row>
    <row r="1013" spans="1:13" x14ac:dyDescent="0.25">
      <c r="A1013" s="60"/>
      <c r="D1013" s="61" t="s">
        <v>514</v>
      </c>
      <c r="E1013" s="61" t="s">
        <v>515</v>
      </c>
      <c r="G1013" s="62">
        <v>5.21</v>
      </c>
      <c r="M1013" s="63"/>
    </row>
    <row r="1014" spans="1:13" x14ac:dyDescent="0.25">
      <c r="A1014" s="60"/>
      <c r="D1014" s="61" t="s">
        <v>540</v>
      </c>
      <c r="E1014" s="61" t="s">
        <v>541</v>
      </c>
      <c r="G1014" s="62">
        <v>19.22</v>
      </c>
      <c r="M1014" s="63"/>
    </row>
    <row r="1015" spans="1:13" x14ac:dyDescent="0.25">
      <c r="A1015" s="60"/>
      <c r="D1015" s="61" t="s">
        <v>542</v>
      </c>
      <c r="E1015" s="61" t="s">
        <v>543</v>
      </c>
      <c r="G1015" s="62">
        <v>20.36</v>
      </c>
      <c r="M1015" s="63"/>
    </row>
    <row r="1016" spans="1:13" x14ac:dyDescent="0.25">
      <c r="A1016" s="60"/>
      <c r="D1016" s="61" t="s">
        <v>516</v>
      </c>
      <c r="E1016" s="61" t="s">
        <v>517</v>
      </c>
      <c r="G1016" s="62">
        <v>5.63</v>
      </c>
      <c r="M1016" s="63"/>
    </row>
    <row r="1017" spans="1:13" x14ac:dyDescent="0.25">
      <c r="A1017" s="60"/>
      <c r="D1017" s="61" t="s">
        <v>544</v>
      </c>
      <c r="E1017" s="61" t="s">
        <v>545</v>
      </c>
      <c r="G1017" s="62">
        <v>7.3</v>
      </c>
      <c r="M1017" s="63"/>
    </row>
    <row r="1018" spans="1:13" x14ac:dyDescent="0.25">
      <c r="A1018" s="60"/>
      <c r="D1018" s="61" t="s">
        <v>518</v>
      </c>
      <c r="E1018" s="61" t="s">
        <v>519</v>
      </c>
      <c r="G1018" s="62">
        <v>16.84</v>
      </c>
      <c r="M1018" s="63"/>
    </row>
    <row r="1019" spans="1:13" x14ac:dyDescent="0.25">
      <c r="A1019" s="60"/>
      <c r="D1019" s="61" t="s">
        <v>546</v>
      </c>
      <c r="E1019" s="61" t="s">
        <v>547</v>
      </c>
      <c r="G1019" s="62">
        <v>29.33</v>
      </c>
      <c r="M1019" s="63"/>
    </row>
    <row r="1020" spans="1:13" x14ac:dyDescent="0.25">
      <c r="A1020" s="60"/>
      <c r="D1020" s="61" t="s">
        <v>848</v>
      </c>
      <c r="E1020" s="61" t="s">
        <v>308</v>
      </c>
      <c r="G1020" s="62">
        <v>5.51</v>
      </c>
      <c r="M1020" s="63"/>
    </row>
    <row r="1021" spans="1:13" x14ac:dyDescent="0.25">
      <c r="A1021" s="60"/>
      <c r="D1021" s="61" t="s">
        <v>548</v>
      </c>
      <c r="E1021" s="61" t="s">
        <v>310</v>
      </c>
      <c r="G1021" s="62">
        <v>154.38</v>
      </c>
      <c r="M1021" s="63"/>
    </row>
    <row r="1022" spans="1:13" x14ac:dyDescent="0.25">
      <c r="A1022" s="60"/>
      <c r="D1022" s="61" t="s">
        <v>520</v>
      </c>
      <c r="E1022" s="61" t="s">
        <v>521</v>
      </c>
      <c r="G1022" s="62">
        <v>9.5500000000000007</v>
      </c>
      <c r="M1022" s="63"/>
    </row>
    <row r="1023" spans="1:13" x14ac:dyDescent="0.25">
      <c r="A1023" s="60"/>
      <c r="D1023" s="61" t="s">
        <v>522</v>
      </c>
      <c r="E1023" s="61" t="s">
        <v>314</v>
      </c>
      <c r="G1023" s="62">
        <v>8.5</v>
      </c>
      <c r="M1023" s="63"/>
    </row>
    <row r="1024" spans="1:13" x14ac:dyDescent="0.25">
      <c r="A1024" s="60"/>
      <c r="D1024" s="61" t="s">
        <v>849</v>
      </c>
      <c r="E1024" s="61" t="s">
        <v>850</v>
      </c>
      <c r="G1024" s="62">
        <v>10.4</v>
      </c>
      <c r="M1024" s="63"/>
    </row>
    <row r="1025" spans="1:76" x14ac:dyDescent="0.25">
      <c r="A1025" s="60"/>
      <c r="D1025" s="61" t="s">
        <v>523</v>
      </c>
      <c r="E1025" s="61" t="s">
        <v>318</v>
      </c>
      <c r="G1025" s="62">
        <v>1.86</v>
      </c>
      <c r="M1025" s="63"/>
    </row>
    <row r="1026" spans="1:76" x14ac:dyDescent="0.25">
      <c r="A1026" s="60"/>
      <c r="D1026" s="61" t="s">
        <v>524</v>
      </c>
      <c r="E1026" s="61" t="s">
        <v>525</v>
      </c>
      <c r="G1026" s="62">
        <v>6.51</v>
      </c>
      <c r="M1026" s="63"/>
    </row>
    <row r="1027" spans="1:76" x14ac:dyDescent="0.25">
      <c r="A1027" s="60"/>
      <c r="D1027" s="61" t="s">
        <v>549</v>
      </c>
      <c r="E1027" s="61" t="s">
        <v>550</v>
      </c>
      <c r="G1027" s="62">
        <v>36.67</v>
      </c>
      <c r="M1027" s="63"/>
    </row>
    <row r="1028" spans="1:76" x14ac:dyDescent="0.25">
      <c r="A1028" s="60"/>
      <c r="D1028" s="61" t="s">
        <v>526</v>
      </c>
      <c r="E1028" s="61" t="s">
        <v>324</v>
      </c>
      <c r="G1028" s="62">
        <v>4.93</v>
      </c>
      <c r="M1028" s="63"/>
    </row>
    <row r="1029" spans="1:76" x14ac:dyDescent="0.25">
      <c r="A1029" s="60"/>
      <c r="D1029" s="61" t="s">
        <v>527</v>
      </c>
      <c r="E1029" s="61" t="s">
        <v>528</v>
      </c>
      <c r="G1029" s="62">
        <v>4.87</v>
      </c>
      <c r="M1029" s="63"/>
    </row>
    <row r="1030" spans="1:76" x14ac:dyDescent="0.25">
      <c r="A1030" s="60"/>
      <c r="D1030" s="61" t="s">
        <v>551</v>
      </c>
      <c r="E1030" s="61" t="s">
        <v>552</v>
      </c>
      <c r="G1030" s="62">
        <v>25.08</v>
      </c>
      <c r="M1030" s="63"/>
    </row>
    <row r="1031" spans="1:76" x14ac:dyDescent="0.25">
      <c r="A1031" s="60"/>
      <c r="D1031" s="61" t="s">
        <v>553</v>
      </c>
      <c r="E1031" s="61" t="s">
        <v>554</v>
      </c>
      <c r="G1031" s="62">
        <v>18.89</v>
      </c>
      <c r="M1031" s="63"/>
    </row>
    <row r="1032" spans="1:76" x14ac:dyDescent="0.25">
      <c r="A1032" s="50" t="s">
        <v>4</v>
      </c>
      <c r="B1032" s="51" t="s">
        <v>4</v>
      </c>
      <c r="C1032" s="51" t="s">
        <v>869</v>
      </c>
      <c r="D1032" s="153" t="s">
        <v>1070</v>
      </c>
      <c r="E1032" s="154"/>
      <c r="F1032" s="52" t="s">
        <v>78</v>
      </c>
      <c r="G1032" s="52" t="s">
        <v>78</v>
      </c>
      <c r="H1032" s="53" t="s">
        <v>78</v>
      </c>
      <c r="I1032" s="26">
        <f>SUM(I1033:I1033)</f>
        <v>0</v>
      </c>
      <c r="J1032" s="33" t="s">
        <v>4</v>
      </c>
      <c r="K1032" s="33" t="s">
        <v>4</v>
      </c>
      <c r="L1032" s="26">
        <f>SUM(L1033:L1033)</f>
        <v>2.0696800000000001E-2</v>
      </c>
      <c r="M1032" s="54" t="s">
        <v>4</v>
      </c>
      <c r="AI1032" s="33" t="s">
        <v>4</v>
      </c>
      <c r="AS1032" s="26">
        <f>SUM(AJ1033:AJ1033)</f>
        <v>0</v>
      </c>
      <c r="AT1032" s="26">
        <f>SUM(AK1033:AK1033)</f>
        <v>0</v>
      </c>
      <c r="AU1032" s="26">
        <f>SUM(AL1033:AL1033)</f>
        <v>0</v>
      </c>
    </row>
    <row r="1033" spans="1:76" x14ac:dyDescent="0.25">
      <c r="A1033" s="1" t="s">
        <v>1071</v>
      </c>
      <c r="B1033" s="2" t="s">
        <v>4</v>
      </c>
      <c r="C1033" s="2" t="s">
        <v>1072</v>
      </c>
      <c r="D1033" s="82" t="s">
        <v>1073</v>
      </c>
      <c r="E1033" s="83"/>
      <c r="F1033" s="2" t="s">
        <v>157</v>
      </c>
      <c r="G1033" s="55">
        <v>517.41999999999996</v>
      </c>
      <c r="H1033" s="56">
        <v>0</v>
      </c>
      <c r="I1033" s="55">
        <f>G1033*H1033</f>
        <v>0</v>
      </c>
      <c r="J1033" s="55">
        <v>0</v>
      </c>
      <c r="K1033" s="55">
        <v>4.0000000000000003E-5</v>
      </c>
      <c r="L1033" s="55">
        <f>G1033*K1033</f>
        <v>2.0696800000000001E-2</v>
      </c>
      <c r="M1033" s="57" t="s">
        <v>122</v>
      </c>
      <c r="Z1033" s="55">
        <f>IF(AQ1033="5",BJ1033,0)</f>
        <v>0</v>
      </c>
      <c r="AB1033" s="55">
        <f>IF(AQ1033="1",BH1033,0)</f>
        <v>0</v>
      </c>
      <c r="AC1033" s="55">
        <f>IF(AQ1033="1",BI1033,0)</f>
        <v>0</v>
      </c>
      <c r="AD1033" s="55">
        <f>IF(AQ1033="7",BH1033,0)</f>
        <v>0</v>
      </c>
      <c r="AE1033" s="55">
        <f>IF(AQ1033="7",BI1033,0)</f>
        <v>0</v>
      </c>
      <c r="AF1033" s="55">
        <f>IF(AQ1033="2",BH1033,0)</f>
        <v>0</v>
      </c>
      <c r="AG1033" s="55">
        <f>IF(AQ1033="2",BI1033,0)</f>
        <v>0</v>
      </c>
      <c r="AH1033" s="55">
        <f>IF(AQ1033="0",BJ1033,0)</f>
        <v>0</v>
      </c>
      <c r="AI1033" s="33" t="s">
        <v>4</v>
      </c>
      <c r="AJ1033" s="55">
        <f>IF(AN1033=0,I1033,0)</f>
        <v>0</v>
      </c>
      <c r="AK1033" s="55">
        <f>IF(AN1033=12,I1033,0)</f>
        <v>0</v>
      </c>
      <c r="AL1033" s="55">
        <f>IF(AN1033=21,I1033,0)</f>
        <v>0</v>
      </c>
      <c r="AN1033" s="55">
        <v>21</v>
      </c>
      <c r="AO1033" s="55">
        <f>H1033*0.016056338</f>
        <v>0</v>
      </c>
      <c r="AP1033" s="55">
        <f>H1033*(1-0.016056338)</f>
        <v>0</v>
      </c>
      <c r="AQ1033" s="58" t="s">
        <v>118</v>
      </c>
      <c r="AV1033" s="55">
        <f>AW1033+AX1033</f>
        <v>0</v>
      </c>
      <c r="AW1033" s="55">
        <f>G1033*AO1033</f>
        <v>0</v>
      </c>
      <c r="AX1033" s="55">
        <f>G1033*AP1033</f>
        <v>0</v>
      </c>
      <c r="AY1033" s="58" t="s">
        <v>1074</v>
      </c>
      <c r="AZ1033" s="58" t="s">
        <v>1069</v>
      </c>
      <c r="BA1033" s="33" t="s">
        <v>125</v>
      </c>
      <c r="BB1033" s="59">
        <v>100045</v>
      </c>
      <c r="BC1033" s="55">
        <f>AW1033+AX1033</f>
        <v>0</v>
      </c>
      <c r="BD1033" s="55">
        <f>H1033/(100-BE1033)*100</f>
        <v>0</v>
      </c>
      <c r="BE1033" s="55">
        <v>0</v>
      </c>
      <c r="BF1033" s="55">
        <f>L1033</f>
        <v>2.0696800000000001E-2</v>
      </c>
      <c r="BH1033" s="55">
        <f>G1033*AO1033</f>
        <v>0</v>
      </c>
      <c r="BI1033" s="55">
        <f>G1033*AP1033</f>
        <v>0</v>
      </c>
      <c r="BJ1033" s="55">
        <f>G1033*H1033</f>
        <v>0</v>
      </c>
      <c r="BK1033" s="55"/>
      <c r="BL1033" s="55">
        <v>95</v>
      </c>
      <c r="BW1033" s="55">
        <v>21</v>
      </c>
      <c r="BX1033" s="3" t="s">
        <v>1073</v>
      </c>
    </row>
    <row r="1034" spans="1:76" x14ac:dyDescent="0.25">
      <c r="A1034" s="60"/>
      <c r="D1034" s="61" t="s">
        <v>500</v>
      </c>
      <c r="E1034" s="61" t="s">
        <v>501</v>
      </c>
      <c r="G1034" s="62">
        <v>15.79</v>
      </c>
      <c r="M1034" s="63"/>
    </row>
    <row r="1035" spans="1:76" x14ac:dyDescent="0.25">
      <c r="A1035" s="60"/>
      <c r="D1035" s="61" t="s">
        <v>502</v>
      </c>
      <c r="E1035" s="61" t="s">
        <v>503</v>
      </c>
      <c r="G1035" s="62">
        <v>2.61</v>
      </c>
      <c r="M1035" s="63"/>
    </row>
    <row r="1036" spans="1:76" x14ac:dyDescent="0.25">
      <c r="A1036" s="60"/>
      <c r="D1036" s="61" t="s">
        <v>504</v>
      </c>
      <c r="E1036" s="61" t="s">
        <v>505</v>
      </c>
      <c r="G1036" s="62">
        <v>1.89</v>
      </c>
      <c r="M1036" s="63"/>
    </row>
    <row r="1037" spans="1:76" x14ac:dyDescent="0.25">
      <c r="A1037" s="60"/>
      <c r="D1037" s="61" t="s">
        <v>506</v>
      </c>
      <c r="E1037" s="61" t="s">
        <v>507</v>
      </c>
      <c r="G1037" s="62">
        <v>5.2</v>
      </c>
      <c r="M1037" s="63"/>
    </row>
    <row r="1038" spans="1:76" x14ac:dyDescent="0.25">
      <c r="A1038" s="60"/>
      <c r="D1038" s="61" t="s">
        <v>532</v>
      </c>
      <c r="E1038" s="61" t="s">
        <v>533</v>
      </c>
      <c r="G1038" s="62">
        <v>22.2</v>
      </c>
      <c r="M1038" s="63"/>
    </row>
    <row r="1039" spans="1:76" x14ac:dyDescent="0.25">
      <c r="A1039" s="60"/>
      <c r="D1039" s="61" t="s">
        <v>534</v>
      </c>
      <c r="E1039" s="61" t="s">
        <v>535</v>
      </c>
      <c r="G1039" s="62">
        <v>21.64</v>
      </c>
      <c r="M1039" s="63"/>
    </row>
    <row r="1040" spans="1:76" x14ac:dyDescent="0.25">
      <c r="A1040" s="60"/>
      <c r="D1040" s="61" t="s">
        <v>508</v>
      </c>
      <c r="E1040" s="61" t="s">
        <v>509</v>
      </c>
      <c r="G1040" s="62">
        <v>4.7300000000000004</v>
      </c>
      <c r="M1040" s="63"/>
    </row>
    <row r="1041" spans="1:13" x14ac:dyDescent="0.25">
      <c r="A1041" s="60"/>
      <c r="D1041" s="61" t="s">
        <v>510</v>
      </c>
      <c r="E1041" s="61" t="s">
        <v>511</v>
      </c>
      <c r="G1041" s="62">
        <v>4.42</v>
      </c>
      <c r="M1041" s="63"/>
    </row>
    <row r="1042" spans="1:13" x14ac:dyDescent="0.25">
      <c r="A1042" s="60"/>
      <c r="D1042" s="61" t="s">
        <v>536</v>
      </c>
      <c r="E1042" s="61" t="s">
        <v>537</v>
      </c>
      <c r="G1042" s="62">
        <v>20.81</v>
      </c>
      <c r="M1042" s="63"/>
    </row>
    <row r="1043" spans="1:13" x14ac:dyDescent="0.25">
      <c r="A1043" s="60"/>
      <c r="D1043" s="61" t="s">
        <v>538</v>
      </c>
      <c r="E1043" s="61" t="s">
        <v>539</v>
      </c>
      <c r="G1043" s="62">
        <v>21.75</v>
      </c>
      <c r="M1043" s="63"/>
    </row>
    <row r="1044" spans="1:13" x14ac:dyDescent="0.25">
      <c r="A1044" s="60"/>
      <c r="D1044" s="61" t="s">
        <v>512</v>
      </c>
      <c r="E1044" s="61" t="s">
        <v>513</v>
      </c>
      <c r="G1044" s="62">
        <v>5.34</v>
      </c>
      <c r="M1044" s="63"/>
    </row>
    <row r="1045" spans="1:13" x14ac:dyDescent="0.25">
      <c r="A1045" s="60"/>
      <c r="D1045" s="61" t="s">
        <v>514</v>
      </c>
      <c r="E1045" s="61" t="s">
        <v>515</v>
      </c>
      <c r="G1045" s="62">
        <v>5.21</v>
      </c>
      <c r="M1045" s="63"/>
    </row>
    <row r="1046" spans="1:13" x14ac:dyDescent="0.25">
      <c r="A1046" s="60"/>
      <c r="D1046" s="61" t="s">
        <v>540</v>
      </c>
      <c r="E1046" s="61" t="s">
        <v>541</v>
      </c>
      <c r="G1046" s="62">
        <v>19.22</v>
      </c>
      <c r="M1046" s="63"/>
    </row>
    <row r="1047" spans="1:13" x14ac:dyDescent="0.25">
      <c r="A1047" s="60"/>
      <c r="D1047" s="61" t="s">
        <v>542</v>
      </c>
      <c r="E1047" s="61" t="s">
        <v>543</v>
      </c>
      <c r="G1047" s="62">
        <v>20.36</v>
      </c>
      <c r="M1047" s="63"/>
    </row>
    <row r="1048" spans="1:13" x14ac:dyDescent="0.25">
      <c r="A1048" s="60"/>
      <c r="D1048" s="61" t="s">
        <v>516</v>
      </c>
      <c r="E1048" s="61" t="s">
        <v>517</v>
      </c>
      <c r="G1048" s="62">
        <v>5.63</v>
      </c>
      <c r="M1048" s="63"/>
    </row>
    <row r="1049" spans="1:13" x14ac:dyDescent="0.25">
      <c r="A1049" s="60"/>
      <c r="D1049" s="61" t="s">
        <v>544</v>
      </c>
      <c r="E1049" s="61" t="s">
        <v>545</v>
      </c>
      <c r="G1049" s="62">
        <v>7.3</v>
      </c>
      <c r="M1049" s="63"/>
    </row>
    <row r="1050" spans="1:13" x14ac:dyDescent="0.25">
      <c r="A1050" s="60"/>
      <c r="D1050" s="61" t="s">
        <v>518</v>
      </c>
      <c r="E1050" s="61" t="s">
        <v>519</v>
      </c>
      <c r="G1050" s="62">
        <v>16.84</v>
      </c>
      <c r="M1050" s="63"/>
    </row>
    <row r="1051" spans="1:13" x14ac:dyDescent="0.25">
      <c r="A1051" s="60"/>
      <c r="D1051" s="61" t="s">
        <v>546</v>
      </c>
      <c r="E1051" s="61" t="s">
        <v>547</v>
      </c>
      <c r="G1051" s="62">
        <v>29.33</v>
      </c>
      <c r="M1051" s="63"/>
    </row>
    <row r="1052" spans="1:13" x14ac:dyDescent="0.25">
      <c r="A1052" s="60"/>
      <c r="D1052" s="61" t="s">
        <v>848</v>
      </c>
      <c r="E1052" s="61" t="s">
        <v>308</v>
      </c>
      <c r="G1052" s="62">
        <v>5.51</v>
      </c>
      <c r="M1052" s="63"/>
    </row>
    <row r="1053" spans="1:13" x14ac:dyDescent="0.25">
      <c r="A1053" s="60"/>
      <c r="D1053" s="61" t="s">
        <v>548</v>
      </c>
      <c r="E1053" s="61" t="s">
        <v>310</v>
      </c>
      <c r="G1053" s="62">
        <v>154.38</v>
      </c>
      <c r="M1053" s="63"/>
    </row>
    <row r="1054" spans="1:13" x14ac:dyDescent="0.25">
      <c r="A1054" s="60"/>
      <c r="D1054" s="61" t="s">
        <v>520</v>
      </c>
      <c r="E1054" s="61" t="s">
        <v>521</v>
      </c>
      <c r="G1054" s="62">
        <v>9.5500000000000007</v>
      </c>
      <c r="M1054" s="63"/>
    </row>
    <row r="1055" spans="1:13" x14ac:dyDescent="0.25">
      <c r="A1055" s="60"/>
      <c r="D1055" s="61" t="s">
        <v>522</v>
      </c>
      <c r="E1055" s="61" t="s">
        <v>314</v>
      </c>
      <c r="G1055" s="62">
        <v>8.5</v>
      </c>
      <c r="M1055" s="63"/>
    </row>
    <row r="1056" spans="1:13" x14ac:dyDescent="0.25">
      <c r="A1056" s="60"/>
      <c r="D1056" s="61" t="s">
        <v>849</v>
      </c>
      <c r="E1056" s="61" t="s">
        <v>850</v>
      </c>
      <c r="G1056" s="62">
        <v>10.4</v>
      </c>
      <c r="M1056" s="63"/>
    </row>
    <row r="1057" spans="1:76" x14ac:dyDescent="0.25">
      <c r="A1057" s="60"/>
      <c r="D1057" s="61" t="s">
        <v>523</v>
      </c>
      <c r="E1057" s="61" t="s">
        <v>318</v>
      </c>
      <c r="G1057" s="62">
        <v>1.86</v>
      </c>
      <c r="M1057" s="63"/>
    </row>
    <row r="1058" spans="1:76" x14ac:dyDescent="0.25">
      <c r="A1058" s="60"/>
      <c r="D1058" s="61" t="s">
        <v>524</v>
      </c>
      <c r="E1058" s="61" t="s">
        <v>525</v>
      </c>
      <c r="G1058" s="62">
        <v>6.51</v>
      </c>
      <c r="M1058" s="63"/>
    </row>
    <row r="1059" spans="1:76" x14ac:dyDescent="0.25">
      <c r="A1059" s="60"/>
      <c r="D1059" s="61" t="s">
        <v>549</v>
      </c>
      <c r="E1059" s="61" t="s">
        <v>550</v>
      </c>
      <c r="G1059" s="62">
        <v>36.67</v>
      </c>
      <c r="M1059" s="63"/>
    </row>
    <row r="1060" spans="1:76" x14ac:dyDescent="0.25">
      <c r="A1060" s="60"/>
      <c r="D1060" s="61" t="s">
        <v>526</v>
      </c>
      <c r="E1060" s="61" t="s">
        <v>324</v>
      </c>
      <c r="G1060" s="62">
        <v>4.93</v>
      </c>
      <c r="M1060" s="63"/>
    </row>
    <row r="1061" spans="1:76" x14ac:dyDescent="0.25">
      <c r="A1061" s="60"/>
      <c r="D1061" s="61" t="s">
        <v>527</v>
      </c>
      <c r="E1061" s="61" t="s">
        <v>528</v>
      </c>
      <c r="G1061" s="62">
        <v>4.87</v>
      </c>
      <c r="M1061" s="63"/>
    </row>
    <row r="1062" spans="1:76" x14ac:dyDescent="0.25">
      <c r="A1062" s="60"/>
      <c r="D1062" s="61" t="s">
        <v>551</v>
      </c>
      <c r="E1062" s="61" t="s">
        <v>552</v>
      </c>
      <c r="G1062" s="62">
        <v>25.08</v>
      </c>
      <c r="M1062" s="63"/>
    </row>
    <row r="1063" spans="1:76" x14ac:dyDescent="0.25">
      <c r="A1063" s="60"/>
      <c r="D1063" s="61" t="s">
        <v>553</v>
      </c>
      <c r="E1063" s="61" t="s">
        <v>554</v>
      </c>
      <c r="G1063" s="62">
        <v>18.89</v>
      </c>
      <c r="M1063" s="63"/>
    </row>
    <row r="1064" spans="1:76" ht="51" x14ac:dyDescent="0.25">
      <c r="A1064" s="60"/>
      <c r="C1064" s="64" t="s">
        <v>127</v>
      </c>
      <c r="D1064" s="159" t="s">
        <v>1075</v>
      </c>
      <c r="E1064" s="160"/>
      <c r="F1064" s="160"/>
      <c r="G1064" s="160"/>
      <c r="H1064" s="161"/>
      <c r="I1064" s="160"/>
      <c r="J1064" s="160"/>
      <c r="K1064" s="160"/>
      <c r="L1064" s="160"/>
      <c r="M1064" s="162"/>
      <c r="BX1064" s="65" t="s">
        <v>1075</v>
      </c>
    </row>
    <row r="1065" spans="1:76" x14ac:dyDescent="0.25">
      <c r="A1065" s="50" t="s">
        <v>4</v>
      </c>
      <c r="B1065" s="51" t="s">
        <v>4</v>
      </c>
      <c r="C1065" s="51" t="s">
        <v>1076</v>
      </c>
      <c r="D1065" s="153" t="s">
        <v>1077</v>
      </c>
      <c r="E1065" s="154"/>
      <c r="F1065" s="52" t="s">
        <v>78</v>
      </c>
      <c r="G1065" s="52" t="s">
        <v>78</v>
      </c>
      <c r="H1065" s="53" t="s">
        <v>78</v>
      </c>
      <c r="I1065" s="26">
        <f>SUM(I1066:I1066)</f>
        <v>0</v>
      </c>
      <c r="J1065" s="33" t="s">
        <v>4</v>
      </c>
      <c r="K1065" s="33" t="s">
        <v>4</v>
      </c>
      <c r="L1065" s="26">
        <f>SUM(L1066:L1066)</f>
        <v>0</v>
      </c>
      <c r="M1065" s="54" t="s">
        <v>4</v>
      </c>
      <c r="AI1065" s="33" t="s">
        <v>4</v>
      </c>
      <c r="AS1065" s="26">
        <f>SUM(AJ1066:AJ1066)</f>
        <v>0</v>
      </c>
      <c r="AT1065" s="26">
        <f>SUM(AK1066:AK1066)</f>
        <v>0</v>
      </c>
      <c r="AU1065" s="26">
        <f>SUM(AL1066:AL1066)</f>
        <v>0</v>
      </c>
    </row>
    <row r="1066" spans="1:76" x14ac:dyDescent="0.25">
      <c r="A1066" s="1" t="s">
        <v>1078</v>
      </c>
      <c r="B1066" s="2" t="s">
        <v>4</v>
      </c>
      <c r="C1066" s="2" t="s">
        <v>1079</v>
      </c>
      <c r="D1066" s="82" t="s">
        <v>1080</v>
      </c>
      <c r="E1066" s="83"/>
      <c r="F1066" s="2" t="s">
        <v>132</v>
      </c>
      <c r="G1066" s="55">
        <v>169.59369000000001</v>
      </c>
      <c r="H1066" s="56">
        <v>0</v>
      </c>
      <c r="I1066" s="55">
        <f>G1066*H1066</f>
        <v>0</v>
      </c>
      <c r="J1066" s="55">
        <v>0</v>
      </c>
      <c r="K1066" s="55">
        <v>0</v>
      </c>
      <c r="L1066" s="55">
        <f>G1066*K1066</f>
        <v>0</v>
      </c>
      <c r="M1066" s="57" t="s">
        <v>122</v>
      </c>
      <c r="Z1066" s="55">
        <f>IF(AQ1066="5",BJ1066,0)</f>
        <v>0</v>
      </c>
      <c r="AB1066" s="55">
        <f>IF(AQ1066="1",BH1066,0)</f>
        <v>0</v>
      </c>
      <c r="AC1066" s="55">
        <f>IF(AQ1066="1",BI1066,0)</f>
        <v>0</v>
      </c>
      <c r="AD1066" s="55">
        <f>IF(AQ1066="7",BH1066,0)</f>
        <v>0</v>
      </c>
      <c r="AE1066" s="55">
        <f>IF(AQ1066="7",BI1066,0)</f>
        <v>0</v>
      </c>
      <c r="AF1066" s="55">
        <f>IF(AQ1066="2",BH1066,0)</f>
        <v>0</v>
      </c>
      <c r="AG1066" s="55">
        <f>IF(AQ1066="2",BI1066,0)</f>
        <v>0</v>
      </c>
      <c r="AH1066" s="55">
        <f>IF(AQ1066="0",BJ1066,0)</f>
        <v>0</v>
      </c>
      <c r="AI1066" s="33" t="s">
        <v>4</v>
      </c>
      <c r="AJ1066" s="55">
        <f>IF(AN1066=0,I1066,0)</f>
        <v>0</v>
      </c>
      <c r="AK1066" s="55">
        <f>IF(AN1066=12,I1066,0)</f>
        <v>0</v>
      </c>
      <c r="AL1066" s="55">
        <f>IF(AN1066=21,I1066,0)</f>
        <v>0</v>
      </c>
      <c r="AN1066" s="55">
        <v>21</v>
      </c>
      <c r="AO1066" s="55">
        <f>H1066*0</f>
        <v>0</v>
      </c>
      <c r="AP1066" s="55">
        <f>H1066*(1-0)</f>
        <v>0</v>
      </c>
      <c r="AQ1066" s="58" t="s">
        <v>139</v>
      </c>
      <c r="AV1066" s="55">
        <f>AW1066+AX1066</f>
        <v>0</v>
      </c>
      <c r="AW1066" s="55">
        <f>G1066*AO1066</f>
        <v>0</v>
      </c>
      <c r="AX1066" s="55">
        <f>G1066*AP1066</f>
        <v>0</v>
      </c>
      <c r="AY1066" s="58" t="s">
        <v>1081</v>
      </c>
      <c r="AZ1066" s="58" t="s">
        <v>1069</v>
      </c>
      <c r="BA1066" s="33" t="s">
        <v>125</v>
      </c>
      <c r="BB1066" s="59">
        <v>100044</v>
      </c>
      <c r="BC1066" s="55">
        <f>AW1066+AX1066</f>
        <v>0</v>
      </c>
      <c r="BD1066" s="55">
        <f>H1066/(100-BE1066)*100</f>
        <v>0</v>
      </c>
      <c r="BE1066" s="55">
        <v>0</v>
      </c>
      <c r="BF1066" s="55">
        <f>L1066</f>
        <v>0</v>
      </c>
      <c r="BH1066" s="55">
        <f>G1066*AO1066</f>
        <v>0</v>
      </c>
      <c r="BI1066" s="55">
        <f>G1066*AP1066</f>
        <v>0</v>
      </c>
      <c r="BJ1066" s="55">
        <f>G1066*H1066</f>
        <v>0</v>
      </c>
      <c r="BK1066" s="55"/>
      <c r="BL1066" s="55"/>
      <c r="BW1066" s="55">
        <v>21</v>
      </c>
      <c r="BX1066" s="3" t="s">
        <v>1080</v>
      </c>
    </row>
    <row r="1067" spans="1:76" x14ac:dyDescent="0.25">
      <c r="A1067" s="50" t="s">
        <v>4</v>
      </c>
      <c r="B1067" s="51" t="s">
        <v>4</v>
      </c>
      <c r="C1067" s="51" t="s">
        <v>1082</v>
      </c>
      <c r="D1067" s="153" t="s">
        <v>1083</v>
      </c>
      <c r="E1067" s="154"/>
      <c r="F1067" s="52" t="s">
        <v>78</v>
      </c>
      <c r="G1067" s="52" t="s">
        <v>78</v>
      </c>
      <c r="H1067" s="53" t="s">
        <v>78</v>
      </c>
      <c r="I1067" s="26">
        <f>SUM(I1068:I1076)</f>
        <v>0</v>
      </c>
      <c r="J1067" s="33" t="s">
        <v>4</v>
      </c>
      <c r="K1067" s="33" t="s">
        <v>4</v>
      </c>
      <c r="L1067" s="26">
        <f>SUM(L1068:L1076)</f>
        <v>0</v>
      </c>
      <c r="M1067" s="54" t="s">
        <v>4</v>
      </c>
      <c r="AI1067" s="33" t="s">
        <v>4</v>
      </c>
      <c r="AS1067" s="26">
        <f>SUM(AJ1068:AJ1076)</f>
        <v>0</v>
      </c>
      <c r="AT1067" s="26">
        <f>SUM(AK1068:AK1076)</f>
        <v>0</v>
      </c>
      <c r="AU1067" s="26">
        <f>SUM(AL1068:AL1076)</f>
        <v>0</v>
      </c>
    </row>
    <row r="1068" spans="1:76" x14ac:dyDescent="0.25">
      <c r="A1068" s="1" t="s">
        <v>1084</v>
      </c>
      <c r="B1068" s="2" t="s">
        <v>4</v>
      </c>
      <c r="C1068" s="2" t="s">
        <v>1085</v>
      </c>
      <c r="D1068" s="82" t="s">
        <v>1086</v>
      </c>
      <c r="E1068" s="83"/>
      <c r="F1068" s="2" t="s">
        <v>728</v>
      </c>
      <c r="G1068" s="55">
        <v>1</v>
      </c>
      <c r="H1068" s="56">
        <v>0</v>
      </c>
      <c r="I1068" s="55">
        <f>G1068*H1068</f>
        <v>0</v>
      </c>
      <c r="J1068" s="55">
        <v>0</v>
      </c>
      <c r="K1068" s="55">
        <v>0</v>
      </c>
      <c r="L1068" s="55">
        <f>G1068*K1068</f>
        <v>0</v>
      </c>
      <c r="M1068" s="57" t="s">
        <v>1087</v>
      </c>
      <c r="Z1068" s="55">
        <f>IF(AQ1068="5",BJ1068,0)</f>
        <v>0</v>
      </c>
      <c r="AB1068" s="55">
        <f>IF(AQ1068="1",BH1068,0)</f>
        <v>0</v>
      </c>
      <c r="AC1068" s="55">
        <f>IF(AQ1068="1",BI1068,0)</f>
        <v>0</v>
      </c>
      <c r="AD1068" s="55">
        <f>IF(AQ1068="7",BH1068,0)</f>
        <v>0</v>
      </c>
      <c r="AE1068" s="55">
        <f>IF(AQ1068="7",BI1068,0)</f>
        <v>0</v>
      </c>
      <c r="AF1068" s="55">
        <f>IF(AQ1068="2",BH1068,0)</f>
        <v>0</v>
      </c>
      <c r="AG1068" s="55">
        <f>IF(AQ1068="2",BI1068,0)</f>
        <v>0</v>
      </c>
      <c r="AH1068" s="55">
        <f>IF(AQ1068="0",BJ1068,0)</f>
        <v>0</v>
      </c>
      <c r="AI1068" s="33" t="s">
        <v>4</v>
      </c>
      <c r="AJ1068" s="55">
        <f>IF(AN1068=0,I1068,0)</f>
        <v>0</v>
      </c>
      <c r="AK1068" s="55">
        <f>IF(AN1068=12,I1068,0)</f>
        <v>0</v>
      </c>
      <c r="AL1068" s="55">
        <f>IF(AN1068=21,I1068,0)</f>
        <v>0</v>
      </c>
      <c r="AN1068" s="55">
        <v>21</v>
      </c>
      <c r="AO1068" s="55">
        <f>H1068*0</f>
        <v>0</v>
      </c>
      <c r="AP1068" s="55">
        <f>H1068*(1-0)</f>
        <v>0</v>
      </c>
      <c r="AQ1068" s="58" t="s">
        <v>129</v>
      </c>
      <c r="AV1068" s="55">
        <f>AW1068+AX1068</f>
        <v>0</v>
      </c>
      <c r="AW1068" s="55">
        <f>G1068*AO1068</f>
        <v>0</v>
      </c>
      <c r="AX1068" s="55">
        <f>G1068*AP1068</f>
        <v>0</v>
      </c>
      <c r="AY1068" s="58" t="s">
        <v>1088</v>
      </c>
      <c r="AZ1068" s="58" t="s">
        <v>1069</v>
      </c>
      <c r="BA1068" s="33" t="s">
        <v>125</v>
      </c>
      <c r="BB1068" s="59">
        <v>100056</v>
      </c>
      <c r="BC1068" s="55">
        <f>AW1068+AX1068</f>
        <v>0</v>
      </c>
      <c r="BD1068" s="55">
        <f>H1068/(100-BE1068)*100</f>
        <v>0</v>
      </c>
      <c r="BE1068" s="55">
        <v>0</v>
      </c>
      <c r="BF1068" s="55">
        <f>L1068</f>
        <v>0</v>
      </c>
      <c r="BH1068" s="55">
        <f>G1068*AO1068</f>
        <v>0</v>
      </c>
      <c r="BI1068" s="55">
        <f>G1068*AP1068</f>
        <v>0</v>
      </c>
      <c r="BJ1068" s="55">
        <f>G1068*H1068</f>
        <v>0</v>
      </c>
      <c r="BK1068" s="55"/>
      <c r="BL1068" s="55"/>
      <c r="BW1068" s="55">
        <v>21</v>
      </c>
      <c r="BX1068" s="3" t="s">
        <v>1086</v>
      </c>
    </row>
    <row r="1069" spans="1:76" x14ac:dyDescent="0.25">
      <c r="A1069" s="60"/>
      <c r="D1069" s="61" t="s">
        <v>118</v>
      </c>
      <c r="E1069" s="61" t="s">
        <v>4</v>
      </c>
      <c r="G1069" s="62">
        <v>1</v>
      </c>
      <c r="M1069" s="63"/>
    </row>
    <row r="1070" spans="1:76" x14ac:dyDescent="0.25">
      <c r="A1070" s="1" t="s">
        <v>1089</v>
      </c>
      <c r="B1070" s="2" t="s">
        <v>4</v>
      </c>
      <c r="C1070" s="2" t="s">
        <v>1090</v>
      </c>
      <c r="D1070" s="82" t="s">
        <v>1091</v>
      </c>
      <c r="E1070" s="83"/>
      <c r="F1070" s="2" t="s">
        <v>728</v>
      </c>
      <c r="G1070" s="55">
        <v>1</v>
      </c>
      <c r="H1070" s="56">
        <v>0</v>
      </c>
      <c r="I1070" s="55">
        <f>G1070*H1070</f>
        <v>0</v>
      </c>
      <c r="J1070" s="55">
        <v>0</v>
      </c>
      <c r="K1070" s="55">
        <v>0</v>
      </c>
      <c r="L1070" s="55">
        <f>G1070*K1070</f>
        <v>0</v>
      </c>
      <c r="M1070" s="57" t="s">
        <v>1092</v>
      </c>
      <c r="Z1070" s="55">
        <f>IF(AQ1070="5",BJ1070,0)</f>
        <v>0</v>
      </c>
      <c r="AB1070" s="55">
        <f>IF(AQ1070="1",BH1070,0)</f>
        <v>0</v>
      </c>
      <c r="AC1070" s="55">
        <f>IF(AQ1070="1",BI1070,0)</f>
        <v>0</v>
      </c>
      <c r="AD1070" s="55">
        <f>IF(AQ1070="7",BH1070,0)</f>
        <v>0</v>
      </c>
      <c r="AE1070" s="55">
        <f>IF(AQ1070="7",BI1070,0)</f>
        <v>0</v>
      </c>
      <c r="AF1070" s="55">
        <f>IF(AQ1070="2",BH1070,0)</f>
        <v>0</v>
      </c>
      <c r="AG1070" s="55">
        <f>IF(AQ1070="2",BI1070,0)</f>
        <v>0</v>
      </c>
      <c r="AH1070" s="55">
        <f>IF(AQ1070="0",BJ1070,0)</f>
        <v>0</v>
      </c>
      <c r="AI1070" s="33" t="s">
        <v>4</v>
      </c>
      <c r="AJ1070" s="55">
        <f>IF(AN1070=0,I1070,0)</f>
        <v>0</v>
      </c>
      <c r="AK1070" s="55">
        <f>IF(AN1070=12,I1070,0)</f>
        <v>0</v>
      </c>
      <c r="AL1070" s="55">
        <f>IF(AN1070=21,I1070,0)</f>
        <v>0</v>
      </c>
      <c r="AN1070" s="55">
        <v>21</v>
      </c>
      <c r="AO1070" s="55">
        <f>H1070*0</f>
        <v>0</v>
      </c>
      <c r="AP1070" s="55">
        <f>H1070*(1-0)</f>
        <v>0</v>
      </c>
      <c r="AQ1070" s="58" t="s">
        <v>129</v>
      </c>
      <c r="AV1070" s="55">
        <f>AW1070+AX1070</f>
        <v>0</v>
      </c>
      <c r="AW1070" s="55">
        <f>G1070*AO1070</f>
        <v>0</v>
      </c>
      <c r="AX1070" s="55">
        <f>G1070*AP1070</f>
        <v>0</v>
      </c>
      <c r="AY1070" s="58" t="s">
        <v>1088</v>
      </c>
      <c r="AZ1070" s="58" t="s">
        <v>1069</v>
      </c>
      <c r="BA1070" s="33" t="s">
        <v>125</v>
      </c>
      <c r="BB1070" s="59">
        <v>100056</v>
      </c>
      <c r="BC1070" s="55">
        <f>AW1070+AX1070</f>
        <v>0</v>
      </c>
      <c r="BD1070" s="55">
        <f>H1070/(100-BE1070)*100</f>
        <v>0</v>
      </c>
      <c r="BE1070" s="55">
        <v>0</v>
      </c>
      <c r="BF1070" s="55">
        <f>L1070</f>
        <v>0</v>
      </c>
      <c r="BH1070" s="55">
        <f>G1070*AO1070</f>
        <v>0</v>
      </c>
      <c r="BI1070" s="55">
        <f>G1070*AP1070</f>
        <v>0</v>
      </c>
      <c r="BJ1070" s="55">
        <f>G1070*H1070</f>
        <v>0</v>
      </c>
      <c r="BK1070" s="55"/>
      <c r="BL1070" s="55"/>
      <c r="BW1070" s="55">
        <v>21</v>
      </c>
      <c r="BX1070" s="3" t="s">
        <v>1091</v>
      </c>
    </row>
    <row r="1071" spans="1:76" x14ac:dyDescent="0.25">
      <c r="A1071" s="60"/>
      <c r="D1071" s="61" t="s">
        <v>118</v>
      </c>
      <c r="E1071" s="61" t="s">
        <v>4</v>
      </c>
      <c r="G1071" s="62">
        <v>1</v>
      </c>
      <c r="M1071" s="63"/>
    </row>
    <row r="1072" spans="1:76" x14ac:dyDescent="0.25">
      <c r="A1072" s="1" t="s">
        <v>1093</v>
      </c>
      <c r="B1072" s="2" t="s">
        <v>4</v>
      </c>
      <c r="C1072" s="2" t="s">
        <v>1094</v>
      </c>
      <c r="D1072" s="82" t="s">
        <v>1095</v>
      </c>
      <c r="E1072" s="83"/>
      <c r="F1072" s="2" t="s">
        <v>728</v>
      </c>
      <c r="G1072" s="55">
        <v>1</v>
      </c>
      <c r="H1072" s="56">
        <v>0</v>
      </c>
      <c r="I1072" s="55">
        <f>G1072*H1072</f>
        <v>0</v>
      </c>
      <c r="J1072" s="55">
        <v>0</v>
      </c>
      <c r="K1072" s="55">
        <v>0</v>
      </c>
      <c r="L1072" s="55">
        <f>G1072*K1072</f>
        <v>0</v>
      </c>
      <c r="M1072" s="57" t="s">
        <v>1092</v>
      </c>
      <c r="Z1072" s="55">
        <f>IF(AQ1072="5",BJ1072,0)</f>
        <v>0</v>
      </c>
      <c r="AB1072" s="55">
        <f>IF(AQ1072="1",BH1072,0)</f>
        <v>0</v>
      </c>
      <c r="AC1072" s="55">
        <f>IF(AQ1072="1",BI1072,0)</f>
        <v>0</v>
      </c>
      <c r="AD1072" s="55">
        <f>IF(AQ1072="7",BH1072,0)</f>
        <v>0</v>
      </c>
      <c r="AE1072" s="55">
        <f>IF(AQ1072="7",BI1072,0)</f>
        <v>0</v>
      </c>
      <c r="AF1072" s="55">
        <f>IF(AQ1072="2",BH1072,0)</f>
        <v>0</v>
      </c>
      <c r="AG1072" s="55">
        <f>IF(AQ1072="2",BI1072,0)</f>
        <v>0</v>
      </c>
      <c r="AH1072" s="55">
        <f>IF(AQ1072="0",BJ1072,0)</f>
        <v>0</v>
      </c>
      <c r="AI1072" s="33" t="s">
        <v>4</v>
      </c>
      <c r="AJ1072" s="55">
        <f>IF(AN1072=0,I1072,0)</f>
        <v>0</v>
      </c>
      <c r="AK1072" s="55">
        <f>IF(AN1072=12,I1072,0)</f>
        <v>0</v>
      </c>
      <c r="AL1072" s="55">
        <f>IF(AN1072=21,I1072,0)</f>
        <v>0</v>
      </c>
      <c r="AN1072" s="55">
        <v>21</v>
      </c>
      <c r="AO1072" s="55">
        <f>H1072*0</f>
        <v>0</v>
      </c>
      <c r="AP1072" s="55">
        <f>H1072*(1-0)</f>
        <v>0</v>
      </c>
      <c r="AQ1072" s="58" t="s">
        <v>129</v>
      </c>
      <c r="AV1072" s="55">
        <f>AW1072+AX1072</f>
        <v>0</v>
      </c>
      <c r="AW1072" s="55">
        <f>G1072*AO1072</f>
        <v>0</v>
      </c>
      <c r="AX1072" s="55">
        <f>G1072*AP1072</f>
        <v>0</v>
      </c>
      <c r="AY1072" s="58" t="s">
        <v>1088</v>
      </c>
      <c r="AZ1072" s="58" t="s">
        <v>1069</v>
      </c>
      <c r="BA1072" s="33" t="s">
        <v>125</v>
      </c>
      <c r="BB1072" s="59">
        <v>100056</v>
      </c>
      <c r="BC1072" s="55">
        <f>AW1072+AX1072</f>
        <v>0</v>
      </c>
      <c r="BD1072" s="55">
        <f>H1072/(100-BE1072)*100</f>
        <v>0</v>
      </c>
      <c r="BE1072" s="55">
        <v>0</v>
      </c>
      <c r="BF1072" s="55">
        <f>L1072</f>
        <v>0</v>
      </c>
      <c r="BH1072" s="55">
        <f>G1072*AO1072</f>
        <v>0</v>
      </c>
      <c r="BI1072" s="55">
        <f>G1072*AP1072</f>
        <v>0</v>
      </c>
      <c r="BJ1072" s="55">
        <f>G1072*H1072</f>
        <v>0</v>
      </c>
      <c r="BK1072" s="55"/>
      <c r="BL1072" s="55"/>
      <c r="BW1072" s="55">
        <v>21</v>
      </c>
      <c r="BX1072" s="3" t="s">
        <v>1095</v>
      </c>
    </row>
    <row r="1073" spans="1:76" x14ac:dyDescent="0.25">
      <c r="A1073" s="60"/>
      <c r="D1073" s="61" t="s">
        <v>118</v>
      </c>
      <c r="E1073" s="61" t="s">
        <v>4</v>
      </c>
      <c r="G1073" s="62">
        <v>1</v>
      </c>
      <c r="M1073" s="63"/>
    </row>
    <row r="1074" spans="1:76" x14ac:dyDescent="0.25">
      <c r="A1074" s="1" t="s">
        <v>1096</v>
      </c>
      <c r="B1074" s="2" t="s">
        <v>4</v>
      </c>
      <c r="C1074" s="2" t="s">
        <v>1097</v>
      </c>
      <c r="D1074" s="82" t="s">
        <v>1098</v>
      </c>
      <c r="E1074" s="83"/>
      <c r="F1074" s="2" t="s">
        <v>728</v>
      </c>
      <c r="G1074" s="55">
        <v>1</v>
      </c>
      <c r="H1074" s="56">
        <v>0</v>
      </c>
      <c r="I1074" s="55">
        <f>G1074*H1074</f>
        <v>0</v>
      </c>
      <c r="J1074" s="55">
        <v>0</v>
      </c>
      <c r="K1074" s="55">
        <v>0</v>
      </c>
      <c r="L1074" s="55">
        <f>G1074*K1074</f>
        <v>0</v>
      </c>
      <c r="M1074" s="57" t="s">
        <v>1092</v>
      </c>
      <c r="Z1074" s="55">
        <f>IF(AQ1074="5",BJ1074,0)</f>
        <v>0</v>
      </c>
      <c r="AB1074" s="55">
        <f>IF(AQ1074="1",BH1074,0)</f>
        <v>0</v>
      </c>
      <c r="AC1074" s="55">
        <f>IF(AQ1074="1",BI1074,0)</f>
        <v>0</v>
      </c>
      <c r="AD1074" s="55">
        <f>IF(AQ1074="7",BH1074,0)</f>
        <v>0</v>
      </c>
      <c r="AE1074" s="55">
        <f>IF(AQ1074="7",BI1074,0)</f>
        <v>0</v>
      </c>
      <c r="AF1074" s="55">
        <f>IF(AQ1074="2",BH1074,0)</f>
        <v>0</v>
      </c>
      <c r="AG1074" s="55">
        <f>IF(AQ1074="2",BI1074,0)</f>
        <v>0</v>
      </c>
      <c r="AH1074" s="55">
        <f>IF(AQ1074="0",BJ1074,0)</f>
        <v>0</v>
      </c>
      <c r="AI1074" s="33" t="s">
        <v>4</v>
      </c>
      <c r="AJ1074" s="55">
        <f>IF(AN1074=0,I1074,0)</f>
        <v>0</v>
      </c>
      <c r="AK1074" s="55">
        <f>IF(AN1074=12,I1074,0)</f>
        <v>0</v>
      </c>
      <c r="AL1074" s="55">
        <f>IF(AN1074=21,I1074,0)</f>
        <v>0</v>
      </c>
      <c r="AN1074" s="55">
        <v>21</v>
      </c>
      <c r="AO1074" s="55">
        <f>H1074*0</f>
        <v>0</v>
      </c>
      <c r="AP1074" s="55">
        <f>H1074*(1-0)</f>
        <v>0</v>
      </c>
      <c r="AQ1074" s="58" t="s">
        <v>129</v>
      </c>
      <c r="AV1074" s="55">
        <f>AW1074+AX1074</f>
        <v>0</v>
      </c>
      <c r="AW1074" s="55">
        <f>G1074*AO1074</f>
        <v>0</v>
      </c>
      <c r="AX1074" s="55">
        <f>G1074*AP1074</f>
        <v>0</v>
      </c>
      <c r="AY1074" s="58" t="s">
        <v>1088</v>
      </c>
      <c r="AZ1074" s="58" t="s">
        <v>1069</v>
      </c>
      <c r="BA1074" s="33" t="s">
        <v>125</v>
      </c>
      <c r="BB1074" s="59">
        <v>100056</v>
      </c>
      <c r="BC1074" s="55">
        <f>AW1074+AX1074</f>
        <v>0</v>
      </c>
      <c r="BD1074" s="55">
        <f>H1074/(100-BE1074)*100</f>
        <v>0</v>
      </c>
      <c r="BE1074" s="55">
        <v>0</v>
      </c>
      <c r="BF1074" s="55">
        <f>L1074</f>
        <v>0</v>
      </c>
      <c r="BH1074" s="55">
        <f>G1074*AO1074</f>
        <v>0</v>
      </c>
      <c r="BI1074" s="55">
        <f>G1074*AP1074</f>
        <v>0</v>
      </c>
      <c r="BJ1074" s="55">
        <f>G1074*H1074</f>
        <v>0</v>
      </c>
      <c r="BK1074" s="55"/>
      <c r="BL1074" s="55"/>
      <c r="BW1074" s="55">
        <v>21</v>
      </c>
      <c r="BX1074" s="3" t="s">
        <v>1098</v>
      </c>
    </row>
    <row r="1075" spans="1:76" x14ac:dyDescent="0.25">
      <c r="A1075" s="60"/>
      <c r="D1075" s="61" t="s">
        <v>118</v>
      </c>
      <c r="E1075" s="61" t="s">
        <v>4</v>
      </c>
      <c r="G1075" s="62">
        <v>1</v>
      </c>
      <c r="M1075" s="63"/>
    </row>
    <row r="1076" spans="1:76" x14ac:dyDescent="0.25">
      <c r="A1076" s="1" t="s">
        <v>1099</v>
      </c>
      <c r="B1076" s="2" t="s">
        <v>4</v>
      </c>
      <c r="C1076" s="2" t="s">
        <v>1100</v>
      </c>
      <c r="D1076" s="82" t="s">
        <v>1101</v>
      </c>
      <c r="E1076" s="83"/>
      <c r="F1076" s="2" t="s">
        <v>728</v>
      </c>
      <c r="G1076" s="55">
        <v>1</v>
      </c>
      <c r="H1076" s="56">
        <v>0</v>
      </c>
      <c r="I1076" s="55">
        <f>G1076*H1076</f>
        <v>0</v>
      </c>
      <c r="J1076" s="55">
        <v>0</v>
      </c>
      <c r="K1076" s="55">
        <v>0</v>
      </c>
      <c r="L1076" s="55">
        <f>G1076*K1076</f>
        <v>0</v>
      </c>
      <c r="M1076" s="57" t="s">
        <v>1092</v>
      </c>
      <c r="Z1076" s="55">
        <f>IF(AQ1076="5",BJ1076,0)</f>
        <v>0</v>
      </c>
      <c r="AB1076" s="55">
        <f>IF(AQ1076="1",BH1076,0)</f>
        <v>0</v>
      </c>
      <c r="AC1076" s="55">
        <f>IF(AQ1076="1",BI1076,0)</f>
        <v>0</v>
      </c>
      <c r="AD1076" s="55">
        <f>IF(AQ1076="7",BH1076,0)</f>
        <v>0</v>
      </c>
      <c r="AE1076" s="55">
        <f>IF(AQ1076="7",BI1076,0)</f>
        <v>0</v>
      </c>
      <c r="AF1076" s="55">
        <f>IF(AQ1076="2",BH1076,0)</f>
        <v>0</v>
      </c>
      <c r="AG1076" s="55">
        <f>IF(AQ1076="2",BI1076,0)</f>
        <v>0</v>
      </c>
      <c r="AH1076" s="55">
        <f>IF(AQ1076="0",BJ1076,0)</f>
        <v>0</v>
      </c>
      <c r="AI1076" s="33" t="s">
        <v>4</v>
      </c>
      <c r="AJ1076" s="55">
        <f>IF(AN1076=0,I1076,0)</f>
        <v>0</v>
      </c>
      <c r="AK1076" s="55">
        <f>IF(AN1076=12,I1076,0)</f>
        <v>0</v>
      </c>
      <c r="AL1076" s="55">
        <f>IF(AN1076=21,I1076,0)</f>
        <v>0</v>
      </c>
      <c r="AN1076" s="55">
        <v>21</v>
      </c>
      <c r="AO1076" s="55">
        <f>H1076*0</f>
        <v>0</v>
      </c>
      <c r="AP1076" s="55">
        <f>H1076*(1-0)</f>
        <v>0</v>
      </c>
      <c r="AQ1076" s="58" t="s">
        <v>129</v>
      </c>
      <c r="AV1076" s="55">
        <f>AW1076+AX1076</f>
        <v>0</v>
      </c>
      <c r="AW1076" s="55">
        <f>G1076*AO1076</f>
        <v>0</v>
      </c>
      <c r="AX1076" s="55">
        <f>G1076*AP1076</f>
        <v>0</v>
      </c>
      <c r="AY1076" s="58" t="s">
        <v>1088</v>
      </c>
      <c r="AZ1076" s="58" t="s">
        <v>1069</v>
      </c>
      <c r="BA1076" s="33" t="s">
        <v>125</v>
      </c>
      <c r="BB1076" s="59">
        <v>100056</v>
      </c>
      <c r="BC1076" s="55">
        <f>AW1076+AX1076</f>
        <v>0</v>
      </c>
      <c r="BD1076" s="55">
        <f>H1076/(100-BE1076)*100</f>
        <v>0</v>
      </c>
      <c r="BE1076" s="55">
        <v>0</v>
      </c>
      <c r="BF1076" s="55">
        <f>L1076</f>
        <v>0</v>
      </c>
      <c r="BH1076" s="55">
        <f>G1076*AO1076</f>
        <v>0</v>
      </c>
      <c r="BI1076" s="55">
        <f>G1076*AP1076</f>
        <v>0</v>
      </c>
      <c r="BJ1076" s="55">
        <f>G1076*H1076</f>
        <v>0</v>
      </c>
      <c r="BK1076" s="55"/>
      <c r="BL1076" s="55"/>
      <c r="BW1076" s="55">
        <v>21</v>
      </c>
      <c r="BX1076" s="3" t="s">
        <v>1101</v>
      </c>
    </row>
    <row r="1077" spans="1:76" x14ac:dyDescent="0.25">
      <c r="A1077" s="60"/>
      <c r="D1077" s="61" t="s">
        <v>118</v>
      </c>
      <c r="E1077" s="61" t="s">
        <v>4</v>
      </c>
      <c r="G1077" s="62">
        <v>1</v>
      </c>
      <c r="M1077" s="63"/>
    </row>
    <row r="1078" spans="1:76" x14ac:dyDescent="0.25">
      <c r="A1078" s="50" t="s">
        <v>4</v>
      </c>
      <c r="B1078" s="51" t="s">
        <v>4</v>
      </c>
      <c r="C1078" s="51" t="s">
        <v>1102</v>
      </c>
      <c r="D1078" s="153" t="s">
        <v>57</v>
      </c>
      <c r="E1078" s="154"/>
      <c r="F1078" s="52" t="s">
        <v>78</v>
      </c>
      <c r="G1078" s="52" t="s">
        <v>78</v>
      </c>
      <c r="H1078" s="53" t="s">
        <v>78</v>
      </c>
      <c r="I1078" s="26">
        <f>I1079+I1082+I1085+I1088+I1091</f>
        <v>0</v>
      </c>
      <c r="J1078" s="33" t="s">
        <v>4</v>
      </c>
      <c r="K1078" s="33" t="s">
        <v>4</v>
      </c>
      <c r="L1078" s="26">
        <f>L1079+L1082+L1085+L1088+L1091</f>
        <v>0</v>
      </c>
      <c r="M1078" s="54" t="s">
        <v>4</v>
      </c>
      <c r="AI1078" s="33" t="s">
        <v>4</v>
      </c>
    </row>
    <row r="1079" spans="1:76" x14ac:dyDescent="0.25">
      <c r="A1079" s="50" t="s">
        <v>4</v>
      </c>
      <c r="B1079" s="51" t="s">
        <v>4</v>
      </c>
      <c r="C1079" s="51" t="s">
        <v>1103</v>
      </c>
      <c r="D1079" s="153" t="s">
        <v>1104</v>
      </c>
      <c r="E1079" s="154"/>
      <c r="F1079" s="52" t="s">
        <v>78</v>
      </c>
      <c r="G1079" s="52" t="s">
        <v>78</v>
      </c>
      <c r="H1079" s="53" t="s">
        <v>78</v>
      </c>
      <c r="I1079" s="26">
        <f>SUM(I1080:I1080)</f>
        <v>0</v>
      </c>
      <c r="J1079" s="33" t="s">
        <v>4</v>
      </c>
      <c r="K1079" s="33" t="s">
        <v>4</v>
      </c>
      <c r="L1079" s="26">
        <f>SUM(L1080:L1080)</f>
        <v>0</v>
      </c>
      <c r="M1079" s="54" t="s">
        <v>4</v>
      </c>
      <c r="AI1079" s="33" t="s">
        <v>4</v>
      </c>
      <c r="AS1079" s="26">
        <f>SUM(AJ1080:AJ1080)</f>
        <v>0</v>
      </c>
      <c r="AT1079" s="26">
        <f>SUM(AK1080:AK1080)</f>
        <v>0</v>
      </c>
      <c r="AU1079" s="26">
        <f>SUM(AL1080:AL1080)</f>
        <v>0</v>
      </c>
    </row>
    <row r="1080" spans="1:76" x14ac:dyDescent="0.25">
      <c r="A1080" s="1" t="s">
        <v>1105</v>
      </c>
      <c r="B1080" s="2" t="s">
        <v>4</v>
      </c>
      <c r="C1080" s="2" t="s">
        <v>1106</v>
      </c>
      <c r="D1080" s="82" t="s">
        <v>1107</v>
      </c>
      <c r="E1080" s="83"/>
      <c r="F1080" s="2" t="s">
        <v>1108</v>
      </c>
      <c r="G1080" s="55">
        <v>1</v>
      </c>
      <c r="H1080" s="56">
        <v>0</v>
      </c>
      <c r="I1080" s="55">
        <f>G1080*H1080</f>
        <v>0</v>
      </c>
      <c r="J1080" s="55">
        <v>0</v>
      </c>
      <c r="K1080" s="55">
        <v>0</v>
      </c>
      <c r="L1080" s="55">
        <f>G1080*K1080</f>
        <v>0</v>
      </c>
      <c r="M1080" s="57" t="s">
        <v>4</v>
      </c>
      <c r="Z1080" s="55">
        <f>IF(AQ1080="5",BJ1080,0)</f>
        <v>0</v>
      </c>
      <c r="AB1080" s="55">
        <f>IF(AQ1080="1",BH1080,0)</f>
        <v>0</v>
      </c>
      <c r="AC1080" s="55">
        <f>IF(AQ1080="1",BI1080,0)</f>
        <v>0</v>
      </c>
      <c r="AD1080" s="55">
        <f>IF(AQ1080="7",BH1080,0)</f>
        <v>0</v>
      </c>
      <c r="AE1080" s="55">
        <f>IF(AQ1080="7",BI1080,0)</f>
        <v>0</v>
      </c>
      <c r="AF1080" s="55">
        <f>IF(AQ1080="2",BH1080,0)</f>
        <v>0</v>
      </c>
      <c r="AG1080" s="55">
        <f>IF(AQ1080="2",BI1080,0)</f>
        <v>0</v>
      </c>
      <c r="AH1080" s="55">
        <f>IF(AQ1080="0",BJ1080,0)</f>
        <v>0</v>
      </c>
      <c r="AI1080" s="33" t="s">
        <v>4</v>
      </c>
      <c r="AJ1080" s="55">
        <f>IF(AN1080=0,I1080,0)</f>
        <v>0</v>
      </c>
      <c r="AK1080" s="55">
        <f>IF(AN1080=12,I1080,0)</f>
        <v>0</v>
      </c>
      <c r="AL1080" s="55">
        <f>IF(AN1080=21,I1080,0)</f>
        <v>0</v>
      </c>
      <c r="AN1080" s="55">
        <v>21</v>
      </c>
      <c r="AO1080" s="55">
        <f>H1080*0</f>
        <v>0</v>
      </c>
      <c r="AP1080" s="55">
        <f>H1080*(1-0)</f>
        <v>0</v>
      </c>
      <c r="AQ1080" s="58" t="s">
        <v>904</v>
      </c>
      <c r="AV1080" s="55">
        <f>AW1080+AX1080</f>
        <v>0</v>
      </c>
      <c r="AW1080" s="55">
        <f>G1080*AO1080</f>
        <v>0</v>
      </c>
      <c r="AX1080" s="55">
        <f>G1080*AP1080</f>
        <v>0</v>
      </c>
      <c r="AY1080" s="58" t="s">
        <v>1109</v>
      </c>
      <c r="AZ1080" s="58" t="s">
        <v>1110</v>
      </c>
      <c r="BA1080" s="33" t="s">
        <v>125</v>
      </c>
      <c r="BB1080" s="59">
        <v>100057</v>
      </c>
      <c r="BC1080" s="55">
        <f>AW1080+AX1080</f>
        <v>0</v>
      </c>
      <c r="BD1080" s="55">
        <f>H1080/(100-BE1080)*100</f>
        <v>0</v>
      </c>
      <c r="BE1080" s="55">
        <v>0</v>
      </c>
      <c r="BF1080" s="55">
        <f>L1080</f>
        <v>0</v>
      </c>
      <c r="BH1080" s="55">
        <f>G1080*AO1080</f>
        <v>0</v>
      </c>
      <c r="BI1080" s="55">
        <f>G1080*AP1080</f>
        <v>0</v>
      </c>
      <c r="BJ1080" s="55">
        <f>G1080*H1080</f>
        <v>0</v>
      </c>
      <c r="BK1080" s="55"/>
      <c r="BL1080" s="55"/>
      <c r="BM1080" s="55">
        <f>G1080*H1080</f>
        <v>0</v>
      </c>
      <c r="BW1080" s="55">
        <v>21</v>
      </c>
      <c r="BX1080" s="3" t="s">
        <v>1107</v>
      </c>
    </row>
    <row r="1081" spans="1:76" x14ac:dyDescent="0.25">
      <c r="A1081" s="60"/>
      <c r="D1081" s="61" t="s">
        <v>118</v>
      </c>
      <c r="E1081" s="61" t="s">
        <v>4</v>
      </c>
      <c r="G1081" s="62">
        <v>1</v>
      </c>
      <c r="M1081" s="63"/>
    </row>
    <row r="1082" spans="1:76" x14ac:dyDescent="0.25">
      <c r="A1082" s="50" t="s">
        <v>4</v>
      </c>
      <c r="B1082" s="51" t="s">
        <v>4</v>
      </c>
      <c r="C1082" s="51" t="s">
        <v>1111</v>
      </c>
      <c r="D1082" s="153" t="s">
        <v>25</v>
      </c>
      <c r="E1082" s="154"/>
      <c r="F1082" s="52" t="s">
        <v>78</v>
      </c>
      <c r="G1082" s="52" t="s">
        <v>78</v>
      </c>
      <c r="H1082" s="53" t="s">
        <v>78</v>
      </c>
      <c r="I1082" s="26">
        <f>SUM(I1083:I1083)</f>
        <v>0</v>
      </c>
      <c r="J1082" s="33" t="s">
        <v>4</v>
      </c>
      <c r="K1082" s="33" t="s">
        <v>4</v>
      </c>
      <c r="L1082" s="26">
        <f>SUM(L1083:L1083)</f>
        <v>0</v>
      </c>
      <c r="M1082" s="54" t="s">
        <v>4</v>
      </c>
      <c r="AI1082" s="33" t="s">
        <v>4</v>
      </c>
      <c r="AS1082" s="26">
        <f>SUM(AJ1083:AJ1083)</f>
        <v>0</v>
      </c>
      <c r="AT1082" s="26">
        <f>SUM(AK1083:AK1083)</f>
        <v>0</v>
      </c>
      <c r="AU1082" s="26">
        <f>SUM(AL1083:AL1083)</f>
        <v>0</v>
      </c>
    </row>
    <row r="1083" spans="1:76" x14ac:dyDescent="0.25">
      <c r="A1083" s="1" t="s">
        <v>1112</v>
      </c>
      <c r="B1083" s="2" t="s">
        <v>4</v>
      </c>
      <c r="C1083" s="2" t="s">
        <v>1113</v>
      </c>
      <c r="D1083" s="82" t="s">
        <v>25</v>
      </c>
      <c r="E1083" s="83"/>
      <c r="F1083" s="2" t="s">
        <v>1108</v>
      </c>
      <c r="G1083" s="55">
        <v>1</v>
      </c>
      <c r="H1083" s="56">
        <v>0</v>
      </c>
      <c r="I1083" s="55">
        <f>G1083*H1083</f>
        <v>0</v>
      </c>
      <c r="J1083" s="55">
        <v>0</v>
      </c>
      <c r="K1083" s="55">
        <v>0</v>
      </c>
      <c r="L1083" s="55">
        <f>G1083*K1083</f>
        <v>0</v>
      </c>
      <c r="M1083" s="57" t="s">
        <v>4</v>
      </c>
      <c r="Z1083" s="55">
        <f>IF(AQ1083="5",BJ1083,0)</f>
        <v>0</v>
      </c>
      <c r="AB1083" s="55">
        <f>IF(AQ1083="1",BH1083,0)</f>
        <v>0</v>
      </c>
      <c r="AC1083" s="55">
        <f>IF(AQ1083="1",BI1083,0)</f>
        <v>0</v>
      </c>
      <c r="AD1083" s="55">
        <f>IF(AQ1083="7",BH1083,0)</f>
        <v>0</v>
      </c>
      <c r="AE1083" s="55">
        <f>IF(AQ1083="7",BI1083,0)</f>
        <v>0</v>
      </c>
      <c r="AF1083" s="55">
        <f>IF(AQ1083="2",BH1083,0)</f>
        <v>0</v>
      </c>
      <c r="AG1083" s="55">
        <f>IF(AQ1083="2",BI1083,0)</f>
        <v>0</v>
      </c>
      <c r="AH1083" s="55">
        <f>IF(AQ1083="0",BJ1083,0)</f>
        <v>0</v>
      </c>
      <c r="AI1083" s="33" t="s">
        <v>4</v>
      </c>
      <c r="AJ1083" s="55">
        <f>IF(AN1083=0,I1083,0)</f>
        <v>0</v>
      </c>
      <c r="AK1083" s="55">
        <f>IF(AN1083=12,I1083,0)</f>
        <v>0</v>
      </c>
      <c r="AL1083" s="55">
        <f>IF(AN1083=21,I1083,0)</f>
        <v>0</v>
      </c>
      <c r="AN1083" s="55">
        <v>21</v>
      </c>
      <c r="AO1083" s="55">
        <f>H1083*0</f>
        <v>0</v>
      </c>
      <c r="AP1083" s="55">
        <f>H1083*(1-0)</f>
        <v>0</v>
      </c>
      <c r="AQ1083" s="58" t="s">
        <v>904</v>
      </c>
      <c r="AV1083" s="55">
        <f>AW1083+AX1083</f>
        <v>0</v>
      </c>
      <c r="AW1083" s="55">
        <f>G1083*AO1083</f>
        <v>0</v>
      </c>
      <c r="AX1083" s="55">
        <f>G1083*AP1083</f>
        <v>0</v>
      </c>
      <c r="AY1083" s="58" t="s">
        <v>1114</v>
      </c>
      <c r="AZ1083" s="58" t="s">
        <v>1110</v>
      </c>
      <c r="BA1083" s="33" t="s">
        <v>125</v>
      </c>
      <c r="BB1083" s="59">
        <v>100023</v>
      </c>
      <c r="BC1083" s="55">
        <f>AW1083+AX1083</f>
        <v>0</v>
      </c>
      <c r="BD1083" s="55">
        <f>H1083/(100-BE1083)*100</f>
        <v>0</v>
      </c>
      <c r="BE1083" s="55">
        <v>0</v>
      </c>
      <c r="BF1083" s="55">
        <f>L1083</f>
        <v>0</v>
      </c>
      <c r="BH1083" s="55">
        <f>G1083*AO1083</f>
        <v>0</v>
      </c>
      <c r="BI1083" s="55">
        <f>G1083*AP1083</f>
        <v>0</v>
      </c>
      <c r="BJ1083" s="55">
        <f>G1083*H1083</f>
        <v>0</v>
      </c>
      <c r="BK1083" s="55"/>
      <c r="BL1083" s="55"/>
      <c r="BO1083" s="55">
        <f>G1083*H1083</f>
        <v>0</v>
      </c>
      <c r="BW1083" s="55">
        <v>21</v>
      </c>
      <c r="BX1083" s="3" t="s">
        <v>25</v>
      </c>
    </row>
    <row r="1084" spans="1:76" x14ac:dyDescent="0.25">
      <c r="A1084" s="60"/>
      <c r="D1084" s="61" t="s">
        <v>118</v>
      </c>
      <c r="E1084" s="61" t="s">
        <v>4</v>
      </c>
      <c r="G1084" s="62">
        <v>1</v>
      </c>
      <c r="M1084" s="63"/>
    </row>
    <row r="1085" spans="1:76" x14ac:dyDescent="0.25">
      <c r="A1085" s="50" t="s">
        <v>4</v>
      </c>
      <c r="B1085" s="51" t="s">
        <v>4</v>
      </c>
      <c r="C1085" s="51" t="s">
        <v>1115</v>
      </c>
      <c r="D1085" s="153" t="s">
        <v>31</v>
      </c>
      <c r="E1085" s="154"/>
      <c r="F1085" s="52" t="s">
        <v>78</v>
      </c>
      <c r="G1085" s="52" t="s">
        <v>78</v>
      </c>
      <c r="H1085" s="53" t="s">
        <v>78</v>
      </c>
      <c r="I1085" s="26">
        <f>SUM(I1086:I1086)</f>
        <v>0</v>
      </c>
      <c r="J1085" s="33" t="s">
        <v>4</v>
      </c>
      <c r="K1085" s="33" t="s">
        <v>4</v>
      </c>
      <c r="L1085" s="26">
        <f>SUM(L1086:L1086)</f>
        <v>0</v>
      </c>
      <c r="M1085" s="54" t="s">
        <v>4</v>
      </c>
      <c r="AI1085" s="33" t="s">
        <v>4</v>
      </c>
      <c r="AS1085" s="26">
        <f>SUM(AJ1086:AJ1086)</f>
        <v>0</v>
      </c>
      <c r="AT1085" s="26">
        <f>SUM(AK1086:AK1086)</f>
        <v>0</v>
      </c>
      <c r="AU1085" s="26">
        <f>SUM(AL1086:AL1086)</f>
        <v>0</v>
      </c>
    </row>
    <row r="1086" spans="1:76" x14ac:dyDescent="0.25">
      <c r="A1086" s="1" t="s">
        <v>1116</v>
      </c>
      <c r="B1086" s="2" t="s">
        <v>4</v>
      </c>
      <c r="C1086" s="2" t="s">
        <v>1117</v>
      </c>
      <c r="D1086" s="82" t="s">
        <v>1118</v>
      </c>
      <c r="E1086" s="83"/>
      <c r="F1086" s="2" t="s">
        <v>1108</v>
      </c>
      <c r="G1086" s="55">
        <v>1</v>
      </c>
      <c r="H1086" s="56">
        <v>0</v>
      </c>
      <c r="I1086" s="55">
        <f>G1086*H1086</f>
        <v>0</v>
      </c>
      <c r="J1086" s="55">
        <v>0</v>
      </c>
      <c r="K1086" s="55">
        <v>0</v>
      </c>
      <c r="L1086" s="55">
        <f>G1086*K1086</f>
        <v>0</v>
      </c>
      <c r="M1086" s="57" t="s">
        <v>4</v>
      </c>
      <c r="Z1086" s="55">
        <f>IF(AQ1086="5",BJ1086,0)</f>
        <v>0</v>
      </c>
      <c r="AB1086" s="55">
        <f>IF(AQ1086="1",BH1086,0)</f>
        <v>0</v>
      </c>
      <c r="AC1086" s="55">
        <f>IF(AQ1086="1",BI1086,0)</f>
        <v>0</v>
      </c>
      <c r="AD1086" s="55">
        <f>IF(AQ1086="7",BH1086,0)</f>
        <v>0</v>
      </c>
      <c r="AE1086" s="55">
        <f>IF(AQ1086="7",BI1086,0)</f>
        <v>0</v>
      </c>
      <c r="AF1086" s="55">
        <f>IF(AQ1086="2",BH1086,0)</f>
        <v>0</v>
      </c>
      <c r="AG1086" s="55">
        <f>IF(AQ1086="2",BI1086,0)</f>
        <v>0</v>
      </c>
      <c r="AH1086" s="55">
        <f>IF(AQ1086="0",BJ1086,0)</f>
        <v>0</v>
      </c>
      <c r="AI1086" s="33" t="s">
        <v>4</v>
      </c>
      <c r="AJ1086" s="55">
        <f>IF(AN1086=0,I1086,0)</f>
        <v>0</v>
      </c>
      <c r="AK1086" s="55">
        <f>IF(AN1086=12,I1086,0)</f>
        <v>0</v>
      </c>
      <c r="AL1086" s="55">
        <f>IF(AN1086=21,I1086,0)</f>
        <v>0</v>
      </c>
      <c r="AN1086" s="55">
        <v>21</v>
      </c>
      <c r="AO1086" s="55">
        <f>H1086*0</f>
        <v>0</v>
      </c>
      <c r="AP1086" s="55">
        <f>H1086*(1-0)</f>
        <v>0</v>
      </c>
      <c r="AQ1086" s="58" t="s">
        <v>904</v>
      </c>
      <c r="AV1086" s="55">
        <f>AW1086+AX1086</f>
        <v>0</v>
      </c>
      <c r="AW1086" s="55">
        <f>G1086*AO1086</f>
        <v>0</v>
      </c>
      <c r="AX1086" s="55">
        <f>G1086*AP1086</f>
        <v>0</v>
      </c>
      <c r="AY1086" s="58" t="s">
        <v>1119</v>
      </c>
      <c r="AZ1086" s="58" t="s">
        <v>1110</v>
      </c>
      <c r="BA1086" s="33" t="s">
        <v>125</v>
      </c>
      <c r="BB1086" s="59">
        <v>100026</v>
      </c>
      <c r="BC1086" s="55">
        <f>AW1086+AX1086</f>
        <v>0</v>
      </c>
      <c r="BD1086" s="55">
        <f>H1086/(100-BE1086)*100</f>
        <v>0</v>
      </c>
      <c r="BE1086" s="55">
        <v>0</v>
      </c>
      <c r="BF1086" s="55">
        <f>L1086</f>
        <v>0</v>
      </c>
      <c r="BH1086" s="55">
        <f>G1086*AO1086</f>
        <v>0</v>
      </c>
      <c r="BI1086" s="55">
        <f>G1086*AP1086</f>
        <v>0</v>
      </c>
      <c r="BJ1086" s="55">
        <f>G1086*H1086</f>
        <v>0</v>
      </c>
      <c r="BK1086" s="55"/>
      <c r="BL1086" s="55"/>
      <c r="BR1086" s="55">
        <f>G1086*H1086</f>
        <v>0</v>
      </c>
      <c r="BW1086" s="55">
        <v>21</v>
      </c>
      <c r="BX1086" s="3" t="s">
        <v>1118</v>
      </c>
    </row>
    <row r="1087" spans="1:76" x14ac:dyDescent="0.25">
      <c r="A1087" s="60"/>
      <c r="D1087" s="61" t="s">
        <v>118</v>
      </c>
      <c r="E1087" s="61" t="s">
        <v>4</v>
      </c>
      <c r="G1087" s="62">
        <v>1</v>
      </c>
      <c r="M1087" s="63"/>
    </row>
    <row r="1088" spans="1:76" x14ac:dyDescent="0.25">
      <c r="A1088" s="50" t="s">
        <v>4</v>
      </c>
      <c r="B1088" s="51" t="s">
        <v>4</v>
      </c>
      <c r="C1088" s="51" t="s">
        <v>1120</v>
      </c>
      <c r="D1088" s="153" t="s">
        <v>72</v>
      </c>
      <c r="E1088" s="154"/>
      <c r="F1088" s="52" t="s">
        <v>78</v>
      </c>
      <c r="G1088" s="52" t="s">
        <v>78</v>
      </c>
      <c r="H1088" s="53" t="s">
        <v>78</v>
      </c>
      <c r="I1088" s="26">
        <f>SUM(I1089:I1089)</f>
        <v>0</v>
      </c>
      <c r="J1088" s="33" t="s">
        <v>4</v>
      </c>
      <c r="K1088" s="33" t="s">
        <v>4</v>
      </c>
      <c r="L1088" s="26">
        <f>SUM(L1089:L1089)</f>
        <v>0</v>
      </c>
      <c r="M1088" s="54" t="s">
        <v>4</v>
      </c>
      <c r="AI1088" s="33" t="s">
        <v>4</v>
      </c>
      <c r="AS1088" s="26">
        <f>SUM(AJ1089:AJ1089)</f>
        <v>0</v>
      </c>
      <c r="AT1088" s="26">
        <f>SUM(AK1089:AK1089)</f>
        <v>0</v>
      </c>
      <c r="AU1088" s="26">
        <f>SUM(AL1089:AL1089)</f>
        <v>0</v>
      </c>
    </row>
    <row r="1089" spans="1:76" x14ac:dyDescent="0.25">
      <c r="A1089" s="1" t="s">
        <v>1121</v>
      </c>
      <c r="B1089" s="2" t="s">
        <v>4</v>
      </c>
      <c r="C1089" s="2" t="s">
        <v>1122</v>
      </c>
      <c r="D1089" s="82" t="s">
        <v>1123</v>
      </c>
      <c r="E1089" s="83"/>
      <c r="F1089" s="2" t="s">
        <v>1108</v>
      </c>
      <c r="G1089" s="55">
        <v>1</v>
      </c>
      <c r="H1089" s="56">
        <v>0</v>
      </c>
      <c r="I1089" s="55">
        <f>G1089*H1089</f>
        <v>0</v>
      </c>
      <c r="J1089" s="55">
        <v>0</v>
      </c>
      <c r="K1089" s="55">
        <v>0</v>
      </c>
      <c r="L1089" s="55">
        <f>G1089*K1089</f>
        <v>0</v>
      </c>
      <c r="M1089" s="57" t="s">
        <v>4</v>
      </c>
      <c r="Z1089" s="55">
        <f>IF(AQ1089="5",BJ1089,0)</f>
        <v>0</v>
      </c>
      <c r="AB1089" s="55">
        <f>IF(AQ1089="1",BH1089,0)</f>
        <v>0</v>
      </c>
      <c r="AC1089" s="55">
        <f>IF(AQ1089="1",BI1089,0)</f>
        <v>0</v>
      </c>
      <c r="AD1089" s="55">
        <f>IF(AQ1089="7",BH1089,0)</f>
        <v>0</v>
      </c>
      <c r="AE1089" s="55">
        <f>IF(AQ1089="7",BI1089,0)</f>
        <v>0</v>
      </c>
      <c r="AF1089" s="55">
        <f>IF(AQ1089="2",BH1089,0)</f>
        <v>0</v>
      </c>
      <c r="AG1089" s="55">
        <f>IF(AQ1089="2",BI1089,0)</f>
        <v>0</v>
      </c>
      <c r="AH1089" s="55">
        <f>IF(AQ1089="0",BJ1089,0)</f>
        <v>0</v>
      </c>
      <c r="AI1089" s="33" t="s">
        <v>4</v>
      </c>
      <c r="AJ1089" s="55">
        <f>IF(AN1089=0,I1089,0)</f>
        <v>0</v>
      </c>
      <c r="AK1089" s="55">
        <f>IF(AN1089=12,I1089,0)</f>
        <v>0</v>
      </c>
      <c r="AL1089" s="55">
        <f>IF(AN1089=21,I1089,0)</f>
        <v>0</v>
      </c>
      <c r="AN1089" s="55">
        <v>21</v>
      </c>
      <c r="AO1089" s="55">
        <f>H1089*0</f>
        <v>0</v>
      </c>
      <c r="AP1089" s="55">
        <f>H1089*(1-0)</f>
        <v>0</v>
      </c>
      <c r="AQ1089" s="58" t="s">
        <v>904</v>
      </c>
      <c r="AV1089" s="55">
        <f>AW1089+AX1089</f>
        <v>0</v>
      </c>
      <c r="AW1089" s="55">
        <f>G1089*AO1089</f>
        <v>0</v>
      </c>
      <c r="AX1089" s="55">
        <f>G1089*AP1089</f>
        <v>0</v>
      </c>
      <c r="AY1089" s="58" t="s">
        <v>1124</v>
      </c>
      <c r="AZ1089" s="58" t="s">
        <v>1110</v>
      </c>
      <c r="BA1089" s="33" t="s">
        <v>125</v>
      </c>
      <c r="BB1089" s="59">
        <v>100024</v>
      </c>
      <c r="BC1089" s="55">
        <f>AW1089+AX1089</f>
        <v>0</v>
      </c>
      <c r="BD1089" s="55">
        <f>H1089/(100-BE1089)*100</f>
        <v>0</v>
      </c>
      <c r="BE1089" s="55">
        <v>0</v>
      </c>
      <c r="BF1089" s="55">
        <f>L1089</f>
        <v>0</v>
      </c>
      <c r="BH1089" s="55">
        <f>G1089*AO1089</f>
        <v>0</v>
      </c>
      <c r="BI1089" s="55">
        <f>G1089*AP1089</f>
        <v>0</v>
      </c>
      <c r="BJ1089" s="55">
        <f>G1089*H1089</f>
        <v>0</v>
      </c>
      <c r="BK1089" s="55"/>
      <c r="BL1089" s="55"/>
      <c r="BT1089" s="55">
        <f>G1089*H1089</f>
        <v>0</v>
      </c>
      <c r="BW1089" s="55">
        <v>21</v>
      </c>
      <c r="BX1089" s="3" t="s">
        <v>1123</v>
      </c>
    </row>
    <row r="1090" spans="1:76" x14ac:dyDescent="0.25">
      <c r="A1090" s="60"/>
      <c r="D1090" s="61" t="s">
        <v>118</v>
      </c>
      <c r="E1090" s="61" t="s">
        <v>4</v>
      </c>
      <c r="G1090" s="62">
        <v>1</v>
      </c>
      <c r="M1090" s="63"/>
    </row>
    <row r="1091" spans="1:76" x14ac:dyDescent="0.25">
      <c r="A1091" s="50" t="s">
        <v>4</v>
      </c>
      <c r="B1091" s="51" t="s">
        <v>4</v>
      </c>
      <c r="C1091" s="51" t="s">
        <v>1125</v>
      </c>
      <c r="D1091" s="153" t="s">
        <v>73</v>
      </c>
      <c r="E1091" s="154"/>
      <c r="F1091" s="52" t="s">
        <v>78</v>
      </c>
      <c r="G1091" s="52" t="s">
        <v>78</v>
      </c>
      <c r="H1091" s="53" t="s">
        <v>78</v>
      </c>
      <c r="I1091" s="26">
        <f>SUM(I1092:I1092)</f>
        <v>0</v>
      </c>
      <c r="J1091" s="33" t="s">
        <v>4</v>
      </c>
      <c r="K1091" s="33" t="s">
        <v>4</v>
      </c>
      <c r="L1091" s="26">
        <f>SUM(L1092:L1092)</f>
        <v>0</v>
      </c>
      <c r="M1091" s="54" t="s">
        <v>4</v>
      </c>
      <c r="AI1091" s="33" t="s">
        <v>4</v>
      </c>
      <c r="AS1091" s="26">
        <f>SUM(AJ1092:AJ1092)</f>
        <v>0</v>
      </c>
      <c r="AT1091" s="26">
        <f>SUM(AK1092:AK1092)</f>
        <v>0</v>
      </c>
      <c r="AU1091" s="26">
        <f>SUM(AL1092:AL1092)</f>
        <v>0</v>
      </c>
    </row>
    <row r="1092" spans="1:76" x14ac:dyDescent="0.25">
      <c r="A1092" s="1" t="s">
        <v>1126</v>
      </c>
      <c r="B1092" s="2" t="s">
        <v>4</v>
      </c>
      <c r="C1092" s="2" t="s">
        <v>1127</v>
      </c>
      <c r="D1092" s="82" t="s">
        <v>1128</v>
      </c>
      <c r="E1092" s="83"/>
      <c r="F1092" s="2" t="s">
        <v>1108</v>
      </c>
      <c r="G1092" s="55">
        <v>20</v>
      </c>
      <c r="H1092" s="56">
        <v>0</v>
      </c>
      <c r="I1092" s="55">
        <f>G1092*H1092</f>
        <v>0</v>
      </c>
      <c r="J1092" s="55">
        <v>0</v>
      </c>
      <c r="K1092" s="55">
        <v>0</v>
      </c>
      <c r="L1092" s="55">
        <f>G1092*K1092</f>
        <v>0</v>
      </c>
      <c r="M1092" s="57" t="s">
        <v>4</v>
      </c>
      <c r="Z1092" s="55">
        <f>IF(AQ1092="5",BJ1092,0)</f>
        <v>0</v>
      </c>
      <c r="AB1092" s="55">
        <f>IF(AQ1092="1",BH1092,0)</f>
        <v>0</v>
      </c>
      <c r="AC1092" s="55">
        <f>IF(AQ1092="1",BI1092,0)</f>
        <v>0</v>
      </c>
      <c r="AD1092" s="55">
        <f>IF(AQ1092="7",BH1092,0)</f>
        <v>0</v>
      </c>
      <c r="AE1092" s="55">
        <f>IF(AQ1092="7",BI1092,0)</f>
        <v>0</v>
      </c>
      <c r="AF1092" s="55">
        <f>IF(AQ1092="2",BH1092,0)</f>
        <v>0</v>
      </c>
      <c r="AG1092" s="55">
        <f>IF(AQ1092="2",BI1092,0)</f>
        <v>0</v>
      </c>
      <c r="AH1092" s="55">
        <f>IF(AQ1092="0",BJ1092,0)</f>
        <v>0</v>
      </c>
      <c r="AI1092" s="33" t="s">
        <v>4</v>
      </c>
      <c r="AJ1092" s="55">
        <f>IF(AN1092=0,I1092,0)</f>
        <v>0</v>
      </c>
      <c r="AK1092" s="55">
        <f>IF(AN1092=12,I1092,0)</f>
        <v>0</v>
      </c>
      <c r="AL1092" s="55">
        <f>IF(AN1092=21,I1092,0)</f>
        <v>0</v>
      </c>
      <c r="AN1092" s="55">
        <v>21</v>
      </c>
      <c r="AO1092" s="55">
        <f>H1092*0</f>
        <v>0</v>
      </c>
      <c r="AP1092" s="55">
        <f>H1092*(1-0)</f>
        <v>0</v>
      </c>
      <c r="AQ1092" s="58" t="s">
        <v>904</v>
      </c>
      <c r="AV1092" s="55">
        <f>AW1092+AX1092</f>
        <v>0</v>
      </c>
      <c r="AW1092" s="55">
        <f>G1092*AO1092</f>
        <v>0</v>
      </c>
      <c r="AX1092" s="55">
        <f>G1092*AP1092</f>
        <v>0</v>
      </c>
      <c r="AY1092" s="58" t="s">
        <v>1129</v>
      </c>
      <c r="AZ1092" s="58" t="s">
        <v>1110</v>
      </c>
      <c r="BA1092" s="33" t="s">
        <v>125</v>
      </c>
      <c r="BB1092" s="59">
        <v>100025</v>
      </c>
      <c r="BC1092" s="55">
        <f>AW1092+AX1092</f>
        <v>0</v>
      </c>
      <c r="BD1092" s="55">
        <f>H1092/(100-BE1092)*100</f>
        <v>0</v>
      </c>
      <c r="BE1092" s="55">
        <v>0</v>
      </c>
      <c r="BF1092" s="55">
        <f>L1092</f>
        <v>0</v>
      </c>
      <c r="BH1092" s="55">
        <f>G1092*AO1092</f>
        <v>0</v>
      </c>
      <c r="BI1092" s="55">
        <f>G1092*AP1092</f>
        <v>0</v>
      </c>
      <c r="BJ1092" s="55">
        <f>G1092*H1092</f>
        <v>0</v>
      </c>
      <c r="BK1092" s="55"/>
      <c r="BL1092" s="55"/>
      <c r="BU1092" s="55">
        <f>G1092*H1092</f>
        <v>0</v>
      </c>
      <c r="BW1092" s="55">
        <v>21</v>
      </c>
      <c r="BX1092" s="3" t="s">
        <v>1128</v>
      </c>
    </row>
    <row r="1093" spans="1:76" ht="13.5" customHeight="1" x14ac:dyDescent="0.25">
      <c r="A1093" s="60"/>
      <c r="D1093" s="155" t="s">
        <v>1130</v>
      </c>
      <c r="E1093" s="156"/>
      <c r="F1093" s="156"/>
      <c r="G1093" s="156"/>
      <c r="H1093" s="157"/>
      <c r="I1093" s="156"/>
      <c r="J1093" s="156"/>
      <c r="K1093" s="156"/>
      <c r="L1093" s="156"/>
      <c r="M1093" s="158"/>
    </row>
    <row r="1094" spans="1:76" x14ac:dyDescent="0.25">
      <c r="A1094" s="74"/>
      <c r="B1094" s="75"/>
      <c r="C1094" s="75"/>
      <c r="D1094" s="76" t="s">
        <v>118</v>
      </c>
      <c r="E1094" s="76" t="s">
        <v>4</v>
      </c>
      <c r="F1094" s="75"/>
      <c r="G1094" s="77">
        <v>20</v>
      </c>
      <c r="H1094" s="78"/>
      <c r="I1094" s="75"/>
      <c r="J1094" s="75"/>
      <c r="K1094" s="75"/>
      <c r="L1094" s="75"/>
      <c r="M1094" s="79"/>
    </row>
    <row r="1095" spans="1:76" x14ac:dyDescent="0.25">
      <c r="I1095" s="80">
        <f>I13+I22+I50+I97+I258+I346+I353+I422+I435+I564+I567+I572+I579+I584+I638+I676+I767+I801+I931+I934+I1000+I1032+I1065+I1067+I1079+I1082+I1085+I1088+I1091</f>
        <v>0</v>
      </c>
    </row>
    <row r="1096" spans="1:76" x14ac:dyDescent="0.25">
      <c r="A1096" s="81" t="s">
        <v>56</v>
      </c>
    </row>
    <row r="1097" spans="1:76" ht="12.75" customHeight="1" x14ac:dyDescent="0.25">
      <c r="A1097" s="82" t="s">
        <v>4</v>
      </c>
      <c r="B1097" s="83"/>
      <c r="C1097" s="83"/>
      <c r="D1097" s="83"/>
      <c r="E1097" s="83"/>
      <c r="F1097" s="83"/>
      <c r="G1097" s="83"/>
      <c r="H1097" s="83"/>
      <c r="I1097" s="83"/>
      <c r="J1097" s="83"/>
      <c r="K1097" s="83"/>
      <c r="L1097" s="83"/>
      <c r="M1097" s="83"/>
    </row>
  </sheetData>
  <sheetProtection algorithmName="SHA-512" hashValue="oE/UBqE6aMACOfDbV+wlJAnGP+4/J/xq24auNuhSoczMjFAKV5y09llpGQkq5HBh+Y63CAAR0QJLr3gXXwLacg==" saltValue="1+XVWxErB8XARZRisLb6Lw==" spinCount="100000" sheet="1" objects="1" scenarios="1"/>
  <mergeCells count="285">
    <mergeCell ref="J2:M3"/>
    <mergeCell ref="J4:M5"/>
    <mergeCell ref="J6:M7"/>
    <mergeCell ref="J8:M9"/>
    <mergeCell ref="D8:E9"/>
    <mergeCell ref="H2:H3"/>
    <mergeCell ref="H4:H5"/>
    <mergeCell ref="H6:H7"/>
    <mergeCell ref="H8:H9"/>
    <mergeCell ref="D16:M16"/>
    <mergeCell ref="D17:E17"/>
    <mergeCell ref="D19:M19"/>
    <mergeCell ref="A1:M1"/>
    <mergeCell ref="A2:C3"/>
    <mergeCell ref="A4:C5"/>
    <mergeCell ref="A6:C7"/>
    <mergeCell ref="A8:C9"/>
    <mergeCell ref="F2:G3"/>
    <mergeCell ref="F4:G5"/>
    <mergeCell ref="F6:G7"/>
    <mergeCell ref="F8:G9"/>
    <mergeCell ref="I2:I3"/>
    <mergeCell ref="I4:I5"/>
    <mergeCell ref="I6:I7"/>
    <mergeCell ref="I8:I9"/>
    <mergeCell ref="D2:E3"/>
    <mergeCell ref="D4:E5"/>
    <mergeCell ref="D6:E7"/>
    <mergeCell ref="D20:E20"/>
    <mergeCell ref="D22:E22"/>
    <mergeCell ref="D11:E11"/>
    <mergeCell ref="J10:L10"/>
    <mergeCell ref="D12:E12"/>
    <mergeCell ref="D13:E13"/>
    <mergeCell ref="D14:E14"/>
    <mergeCell ref="D30:E30"/>
    <mergeCell ref="D31:M31"/>
    <mergeCell ref="D10:E10"/>
    <mergeCell ref="D33:M33"/>
    <mergeCell ref="D34:E34"/>
    <mergeCell ref="D35:M35"/>
    <mergeCell ref="D23:E23"/>
    <mergeCell ref="D24:M24"/>
    <mergeCell ref="D26:M26"/>
    <mergeCell ref="D27:E27"/>
    <mergeCell ref="D29:M29"/>
    <mergeCell ref="D46:E46"/>
    <mergeCell ref="D48:E48"/>
    <mergeCell ref="D50:E50"/>
    <mergeCell ref="D51:E51"/>
    <mergeCell ref="D56:E56"/>
    <mergeCell ref="D38:E38"/>
    <mergeCell ref="D41:M41"/>
    <mergeCell ref="D42:E42"/>
    <mergeCell ref="D43:M43"/>
    <mergeCell ref="D45:M45"/>
    <mergeCell ref="D84:E84"/>
    <mergeCell ref="D92:M92"/>
    <mergeCell ref="D93:E93"/>
    <mergeCell ref="D96:M96"/>
    <mergeCell ref="D97:E97"/>
    <mergeCell ref="D61:E61"/>
    <mergeCell ref="D63:E63"/>
    <mergeCell ref="D75:M75"/>
    <mergeCell ref="D76:E76"/>
    <mergeCell ref="D83:M83"/>
    <mergeCell ref="D166:M166"/>
    <mergeCell ref="D167:E167"/>
    <mergeCell ref="D181:E181"/>
    <mergeCell ref="D218:M218"/>
    <mergeCell ref="D219:E219"/>
    <mergeCell ref="D98:E98"/>
    <mergeCell ref="D99:M99"/>
    <mergeCell ref="D125:M125"/>
    <mergeCell ref="D126:E126"/>
    <mergeCell ref="D127:M127"/>
    <mergeCell ref="D255:E255"/>
    <mergeCell ref="D257:M257"/>
    <mergeCell ref="D258:E258"/>
    <mergeCell ref="D259:E259"/>
    <mergeCell ref="D307:E307"/>
    <mergeCell ref="D220:M220"/>
    <mergeCell ref="D250:M250"/>
    <mergeCell ref="D251:E251"/>
    <mergeCell ref="D252:M252"/>
    <mergeCell ref="D254:M254"/>
    <mergeCell ref="D344:E344"/>
    <mergeCell ref="D346:E346"/>
    <mergeCell ref="D347:E347"/>
    <mergeCell ref="D349:M349"/>
    <mergeCell ref="D350:E350"/>
    <mergeCell ref="D318:M318"/>
    <mergeCell ref="D319:E319"/>
    <mergeCell ref="D320:M320"/>
    <mergeCell ref="D341:M341"/>
    <mergeCell ref="D342:E342"/>
    <mergeCell ref="D373:E373"/>
    <mergeCell ref="D374:M374"/>
    <mergeCell ref="D387:M387"/>
    <mergeCell ref="D388:E388"/>
    <mergeCell ref="D389:M389"/>
    <mergeCell ref="D352:M352"/>
    <mergeCell ref="D353:E353"/>
    <mergeCell ref="D354:E354"/>
    <mergeCell ref="D355:M355"/>
    <mergeCell ref="D372:M372"/>
    <mergeCell ref="D409:M409"/>
    <mergeCell ref="D410:E410"/>
    <mergeCell ref="D412:M412"/>
    <mergeCell ref="D413:E413"/>
    <mergeCell ref="D414:M414"/>
    <mergeCell ref="D402:M402"/>
    <mergeCell ref="D403:E403"/>
    <mergeCell ref="D404:M404"/>
    <mergeCell ref="D406:M406"/>
    <mergeCell ref="D407:E407"/>
    <mergeCell ref="D423:E423"/>
    <mergeCell ref="D424:M424"/>
    <mergeCell ref="D427:E427"/>
    <mergeCell ref="D428:M428"/>
    <mergeCell ref="D430:M430"/>
    <mergeCell ref="D416:M416"/>
    <mergeCell ref="D417:E417"/>
    <mergeCell ref="D418:M418"/>
    <mergeCell ref="D420:E420"/>
    <mergeCell ref="D422:E422"/>
    <mergeCell ref="D437:M437"/>
    <mergeCell ref="D454:M454"/>
    <mergeCell ref="D455:E455"/>
    <mergeCell ref="D456:M456"/>
    <mergeCell ref="D473:E473"/>
    <mergeCell ref="D431:E431"/>
    <mergeCell ref="D432:M432"/>
    <mergeCell ref="D434:M434"/>
    <mergeCell ref="D435:E435"/>
    <mergeCell ref="D436:E436"/>
    <mergeCell ref="D520:E520"/>
    <mergeCell ref="D521:M521"/>
    <mergeCell ref="D534:M534"/>
    <mergeCell ref="D535:E535"/>
    <mergeCell ref="D536:M536"/>
    <mergeCell ref="D485:E485"/>
    <mergeCell ref="D501:M501"/>
    <mergeCell ref="D502:E502"/>
    <mergeCell ref="D503:M503"/>
    <mergeCell ref="D519:M519"/>
    <mergeCell ref="D549:M549"/>
    <mergeCell ref="D550:E550"/>
    <mergeCell ref="D554:M554"/>
    <mergeCell ref="D555:E555"/>
    <mergeCell ref="D556:M556"/>
    <mergeCell ref="D539:M539"/>
    <mergeCell ref="D540:E540"/>
    <mergeCell ref="D541:M541"/>
    <mergeCell ref="D544:M544"/>
    <mergeCell ref="D545:E545"/>
    <mergeCell ref="D564:E564"/>
    <mergeCell ref="D565:E565"/>
    <mergeCell ref="D567:E567"/>
    <mergeCell ref="D568:E568"/>
    <mergeCell ref="D570:E570"/>
    <mergeCell ref="D558:M558"/>
    <mergeCell ref="D559:E559"/>
    <mergeCell ref="D560:M560"/>
    <mergeCell ref="D562:M562"/>
    <mergeCell ref="D563:E563"/>
    <mergeCell ref="D580:E580"/>
    <mergeCell ref="D581:M581"/>
    <mergeCell ref="D583:E583"/>
    <mergeCell ref="D584:E584"/>
    <mergeCell ref="D585:E585"/>
    <mergeCell ref="D572:E572"/>
    <mergeCell ref="D573:E573"/>
    <mergeCell ref="D575:E575"/>
    <mergeCell ref="D578:E578"/>
    <mergeCell ref="D579:E579"/>
    <mergeCell ref="D596:M596"/>
    <mergeCell ref="D597:E597"/>
    <mergeCell ref="D599:E599"/>
    <mergeCell ref="D601:M601"/>
    <mergeCell ref="D602:E602"/>
    <mergeCell ref="D587:M587"/>
    <mergeCell ref="D588:E588"/>
    <mergeCell ref="D590:E590"/>
    <mergeCell ref="D592:E592"/>
    <mergeCell ref="D594:E594"/>
    <mergeCell ref="D612:E612"/>
    <mergeCell ref="D614:E614"/>
    <mergeCell ref="D615:E615"/>
    <mergeCell ref="D616:M616"/>
    <mergeCell ref="D617:E617"/>
    <mergeCell ref="D604:M604"/>
    <mergeCell ref="D605:E605"/>
    <mergeCell ref="D607:E607"/>
    <mergeCell ref="D609:E609"/>
    <mergeCell ref="D610:M610"/>
    <mergeCell ref="D627:E627"/>
    <mergeCell ref="D629:E629"/>
    <mergeCell ref="D631:E631"/>
    <mergeCell ref="D633:E633"/>
    <mergeCell ref="D635:E635"/>
    <mergeCell ref="D618:M618"/>
    <mergeCell ref="D620:E620"/>
    <mergeCell ref="D622:E622"/>
    <mergeCell ref="D623:M623"/>
    <mergeCell ref="D625:E625"/>
    <mergeCell ref="D673:M673"/>
    <mergeCell ref="D675:E675"/>
    <mergeCell ref="D676:E676"/>
    <mergeCell ref="D677:E677"/>
    <mergeCell ref="D695:M695"/>
    <mergeCell ref="D637:E637"/>
    <mergeCell ref="D638:E638"/>
    <mergeCell ref="D639:E639"/>
    <mergeCell ref="D670:E670"/>
    <mergeCell ref="D672:E672"/>
    <mergeCell ref="D720:M720"/>
    <mergeCell ref="D737:E737"/>
    <mergeCell ref="D755:M755"/>
    <mergeCell ref="D756:E756"/>
    <mergeCell ref="D765:M765"/>
    <mergeCell ref="D696:E696"/>
    <mergeCell ref="D697:M697"/>
    <mergeCell ref="D715:E715"/>
    <mergeCell ref="D718:M718"/>
    <mergeCell ref="D719:E719"/>
    <mergeCell ref="D785:M785"/>
    <mergeCell ref="D786:E786"/>
    <mergeCell ref="D787:M787"/>
    <mergeCell ref="D800:E800"/>
    <mergeCell ref="D801:E801"/>
    <mergeCell ref="D766:E766"/>
    <mergeCell ref="D767:E767"/>
    <mergeCell ref="D768:E768"/>
    <mergeCell ref="D769:M769"/>
    <mergeCell ref="D782:E782"/>
    <mergeCell ref="D843:M843"/>
    <mergeCell ref="D844:E844"/>
    <mergeCell ref="D858:E858"/>
    <mergeCell ref="D872:E872"/>
    <mergeCell ref="D898:E898"/>
    <mergeCell ref="D802:E802"/>
    <mergeCell ref="D820:M820"/>
    <mergeCell ref="D821:E821"/>
    <mergeCell ref="D822:M822"/>
    <mergeCell ref="D840:E840"/>
    <mergeCell ref="D932:E932"/>
    <mergeCell ref="D934:E934"/>
    <mergeCell ref="D935:E935"/>
    <mergeCell ref="D955:M955"/>
    <mergeCell ref="D956:E956"/>
    <mergeCell ref="D899:M899"/>
    <mergeCell ref="D911:E911"/>
    <mergeCell ref="D929:M929"/>
    <mergeCell ref="D930:E930"/>
    <mergeCell ref="D931:E931"/>
    <mergeCell ref="D1032:E1032"/>
    <mergeCell ref="D1033:E1033"/>
    <mergeCell ref="D1064:M1064"/>
    <mergeCell ref="D1065:E1065"/>
    <mergeCell ref="D1066:E1066"/>
    <mergeCell ref="D977:M977"/>
    <mergeCell ref="D978:E978"/>
    <mergeCell ref="D999:M999"/>
    <mergeCell ref="D1000:E1000"/>
    <mergeCell ref="D1001:E1001"/>
    <mergeCell ref="D1076:E1076"/>
    <mergeCell ref="D1078:E1078"/>
    <mergeCell ref="D1079:E1079"/>
    <mergeCell ref="D1080:E1080"/>
    <mergeCell ref="D1082:E1082"/>
    <mergeCell ref="D1067:E1067"/>
    <mergeCell ref="D1068:E1068"/>
    <mergeCell ref="D1070:E1070"/>
    <mergeCell ref="D1072:E1072"/>
    <mergeCell ref="D1074:E1074"/>
    <mergeCell ref="D1091:E1091"/>
    <mergeCell ref="D1092:E1092"/>
    <mergeCell ref="D1093:M1093"/>
    <mergeCell ref="A1097:M1097"/>
    <mergeCell ref="D1083:E1083"/>
    <mergeCell ref="D1085:E1085"/>
    <mergeCell ref="D1086:E1086"/>
    <mergeCell ref="D1088:E1088"/>
    <mergeCell ref="D1089:E1089"/>
  </mergeCells>
  <pageMargins left="0.393999993801117" right="0.393999993801117" top="0.59100002050399802" bottom="0.59100002050399802" header="0" footer="0"/>
  <pageSetup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Krycí list rozpočtu</vt:lpstr>
      <vt:lpstr>VORN</vt:lpstr>
      <vt:lpstr>Stavební rozpočet</vt:lpstr>
      <vt:lpstr>vorn_sum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pokorny</cp:lastModifiedBy>
  <dcterms:created xsi:type="dcterms:W3CDTF">2021-06-10T20:06:38Z</dcterms:created>
  <dcterms:modified xsi:type="dcterms:W3CDTF">2024-10-03T12:58:18Z</dcterms:modified>
</cp:coreProperties>
</file>