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E:\NemNbk\01_NTB_HP_240815\DNS_Ortopedie_V2\03_Výzva k podání nabídky\"/>
    </mc:Choice>
  </mc:AlternateContent>
  <xr:revisionPtr revIDLastSave="0" documentId="13_ncr:1_{4B1FD431-2739-4BCA-902B-24131E88D63D}" xr6:coauthVersionLast="47" xr6:coauthVersionMax="47" xr10:uidLastSave="{00000000-0000-0000-0000-000000000000}"/>
  <bookViews>
    <workbookView xWindow="-120" yWindow="-120" windowWidth="38640" windowHeight="21240" xr2:uid="{00000000-000D-0000-FFFF-FFFF00000000}"/>
  </bookViews>
  <sheets>
    <sheet name="Krycí list rozpočtu" sheetId="1" r:id="rId1"/>
    <sheet name="VORN" sheetId="2" state="hidden" r:id="rId2"/>
    <sheet name="Stavební rozpočet" sheetId="3" r:id="rId3"/>
    <sheet name="Silnoproud" sheetId="4" r:id="rId4"/>
    <sheet name="SLA" sheetId="5" r:id="rId5"/>
    <sheet name="eps" sheetId="6" r:id="rId6"/>
    <sheet name="VZT" sheetId="7" r:id="rId7"/>
    <sheet name="UT" sheetId="8" r:id="rId8"/>
    <sheet name="ZTI rozpočet" sheetId="10" r:id="rId9"/>
    <sheet name="ZTI standardy" sheetId="11" r:id="rId10"/>
    <sheet name="ZTI poznámka" sheetId="12" r:id="rId11"/>
    <sheet name="ZTI data" sheetId="13" r:id="rId12"/>
  </sheets>
  <definedNames>
    <definedName name="___obl11">#REF!</definedName>
    <definedName name="___obl12">#REF!</definedName>
    <definedName name="___obl13">#REF!</definedName>
    <definedName name="___obl14">#REF!</definedName>
    <definedName name="___obl15">#REF!</definedName>
    <definedName name="___obl16">#REF!</definedName>
    <definedName name="___obl17">#REF!</definedName>
    <definedName name="___obl1710">#REF!</definedName>
    <definedName name="___obl1711">#REF!</definedName>
    <definedName name="___obl1712">#REF!</definedName>
    <definedName name="___obl1713">#REF!</definedName>
    <definedName name="___obl1714">#REF!</definedName>
    <definedName name="___obl1715">#REF!</definedName>
    <definedName name="___obl1716">#REF!</definedName>
    <definedName name="___obl1717">#REF!</definedName>
    <definedName name="___obl1718">#REF!</definedName>
    <definedName name="___obl1719">#REF!</definedName>
    <definedName name="___obl173">#REF!</definedName>
    <definedName name="___obl174">#REF!</definedName>
    <definedName name="___obl175">#REF!</definedName>
    <definedName name="___obl176">#REF!</definedName>
    <definedName name="___obl177">#REF!</definedName>
    <definedName name="___obl178">#REF!</definedName>
    <definedName name="___obl179">#REF!</definedName>
    <definedName name="___obl18">#REF!</definedName>
    <definedName name="___obl181">#REF!</definedName>
    <definedName name="___obl1816">#REF!</definedName>
    <definedName name="___obl1820">#REF!</definedName>
    <definedName name="___obl1821">#REF!</definedName>
    <definedName name="___obl1822">#REF!</definedName>
    <definedName name="___obl1823">#REF!</definedName>
    <definedName name="___obl1824">#REF!</definedName>
    <definedName name="___obl1825">#REF!</definedName>
    <definedName name="___obl1826">#REF!</definedName>
    <definedName name="___obl1827">#REF!</definedName>
    <definedName name="___obl1828">#REF!</definedName>
    <definedName name="___obl1829">#REF!</definedName>
    <definedName name="___obl183">#REF!</definedName>
    <definedName name="___obl1831">#REF!</definedName>
    <definedName name="___obl1832">#REF!</definedName>
    <definedName name="___obl184">#REF!</definedName>
    <definedName name="___obl185">#REF!</definedName>
    <definedName name="___obl186">#REF!</definedName>
    <definedName name="___obl187">#REF!</definedName>
    <definedName name="__obl11">#REF!</definedName>
    <definedName name="__obl12">#REF!</definedName>
    <definedName name="__obl13">#REF!</definedName>
    <definedName name="__obl14">#REF!</definedName>
    <definedName name="__obl15">#REF!</definedName>
    <definedName name="__obl16">#REF!</definedName>
    <definedName name="__obl17">#REF!</definedName>
    <definedName name="__obl1710">#REF!</definedName>
    <definedName name="__obl1711">#REF!</definedName>
    <definedName name="__obl1712">#REF!</definedName>
    <definedName name="__obl1713">#REF!</definedName>
    <definedName name="__obl1714">#REF!</definedName>
    <definedName name="__obl1715">#REF!</definedName>
    <definedName name="__obl1716">#REF!</definedName>
    <definedName name="__obl1717">#REF!</definedName>
    <definedName name="__obl1718">#REF!</definedName>
    <definedName name="__obl1719">#REF!</definedName>
    <definedName name="__obl173">#REF!</definedName>
    <definedName name="__obl174">#REF!</definedName>
    <definedName name="__obl175">#REF!</definedName>
    <definedName name="__obl176">#REF!</definedName>
    <definedName name="__obl177">#REF!</definedName>
    <definedName name="__obl178">#REF!</definedName>
    <definedName name="__obl179">#REF!</definedName>
    <definedName name="__obl18">#REF!</definedName>
    <definedName name="__obl181">#REF!</definedName>
    <definedName name="__obl1816">#REF!</definedName>
    <definedName name="__obl1820">#REF!</definedName>
    <definedName name="__obl1821">#REF!</definedName>
    <definedName name="__obl1822">#REF!</definedName>
    <definedName name="__obl1823">#REF!</definedName>
    <definedName name="__obl1824">#REF!</definedName>
    <definedName name="__obl1825">#REF!</definedName>
    <definedName name="__obl1826">#REF!</definedName>
    <definedName name="__obl1827">#REF!</definedName>
    <definedName name="__obl1828">#REF!</definedName>
    <definedName name="__obl1829">#REF!</definedName>
    <definedName name="__obl183">#REF!</definedName>
    <definedName name="__obl1831">#REF!</definedName>
    <definedName name="__obl1832">#REF!</definedName>
    <definedName name="__obl184">#REF!</definedName>
    <definedName name="__obl185">#REF!</definedName>
    <definedName name="__obl186">#REF!</definedName>
    <definedName name="__obl187">#REF!</definedName>
    <definedName name="_xlnm._FilterDatabase" localSheetId="6" hidden="1">VZT!$B$1:$E$66</definedName>
    <definedName name="_GoBack" localSheetId="3">Silnoproud!#REF!</definedName>
    <definedName name="_obl11" localSheetId="5">#REF!</definedName>
    <definedName name="_obl11">#REF!</definedName>
    <definedName name="_obl12" localSheetId="5">#REF!</definedName>
    <definedName name="_obl12">#REF!</definedName>
    <definedName name="_obl13" localSheetId="5">#REF!</definedName>
    <definedName name="_obl13">#REF!</definedName>
    <definedName name="_obl14" localSheetId="5">#REF!</definedName>
    <definedName name="_obl14">#REF!</definedName>
    <definedName name="_obl15" localSheetId="5">#REF!</definedName>
    <definedName name="_obl15">#REF!</definedName>
    <definedName name="_obl16" localSheetId="5">#REF!</definedName>
    <definedName name="_obl16">#REF!</definedName>
    <definedName name="_obl17" localSheetId="5">#REF!</definedName>
    <definedName name="_obl17">#REF!</definedName>
    <definedName name="_obl1710" localSheetId="5">#REF!</definedName>
    <definedName name="_obl1710">#REF!</definedName>
    <definedName name="_obl1711" localSheetId="5">#REF!</definedName>
    <definedName name="_obl1711">#REF!</definedName>
    <definedName name="_obl1712" localSheetId="5">#REF!</definedName>
    <definedName name="_obl1712">#REF!</definedName>
    <definedName name="_obl1713" localSheetId="5">#REF!</definedName>
    <definedName name="_obl1713">#REF!</definedName>
    <definedName name="_obl1714" localSheetId="5">#REF!</definedName>
    <definedName name="_obl1714">#REF!</definedName>
    <definedName name="_obl1715" localSheetId="5">#REF!</definedName>
    <definedName name="_obl1715">#REF!</definedName>
    <definedName name="_obl1716" localSheetId="5">#REF!</definedName>
    <definedName name="_obl1716">#REF!</definedName>
    <definedName name="_obl1717" localSheetId="5">#REF!</definedName>
    <definedName name="_obl1717">#REF!</definedName>
    <definedName name="_obl1718" localSheetId="5">#REF!</definedName>
    <definedName name="_obl1718">#REF!</definedName>
    <definedName name="_obl1719" localSheetId="5">#REF!</definedName>
    <definedName name="_obl1719">#REF!</definedName>
    <definedName name="_obl173" localSheetId="5">#REF!</definedName>
    <definedName name="_obl173">#REF!</definedName>
    <definedName name="_obl174" localSheetId="5">#REF!</definedName>
    <definedName name="_obl174">#REF!</definedName>
    <definedName name="_obl175" localSheetId="5">#REF!</definedName>
    <definedName name="_obl175">#REF!</definedName>
    <definedName name="_obl176" localSheetId="5">#REF!</definedName>
    <definedName name="_obl176">#REF!</definedName>
    <definedName name="_obl177" localSheetId="5">#REF!</definedName>
    <definedName name="_obl177">#REF!</definedName>
    <definedName name="_obl178" localSheetId="5">#REF!</definedName>
    <definedName name="_obl178">#REF!</definedName>
    <definedName name="_obl179" localSheetId="5">#REF!</definedName>
    <definedName name="_obl179">#REF!</definedName>
    <definedName name="_obl18" localSheetId="5">#REF!</definedName>
    <definedName name="_obl18">#REF!</definedName>
    <definedName name="_obl181" localSheetId="5">#REF!</definedName>
    <definedName name="_obl181">#REF!</definedName>
    <definedName name="_obl1816" localSheetId="5">#REF!</definedName>
    <definedName name="_obl1816">#REF!</definedName>
    <definedName name="_obl1820" localSheetId="5">#REF!</definedName>
    <definedName name="_obl1820">#REF!</definedName>
    <definedName name="_obl1821" localSheetId="5">#REF!</definedName>
    <definedName name="_obl1821">#REF!</definedName>
    <definedName name="_obl1822" localSheetId="5">#REF!</definedName>
    <definedName name="_obl1822">#REF!</definedName>
    <definedName name="_obl1823" localSheetId="5">#REF!</definedName>
    <definedName name="_obl1823">#REF!</definedName>
    <definedName name="_obl1824" localSheetId="5">#REF!</definedName>
    <definedName name="_obl1824">#REF!</definedName>
    <definedName name="_obl1825" localSheetId="5">#REF!</definedName>
    <definedName name="_obl1825">#REF!</definedName>
    <definedName name="_obl1826" localSheetId="5">#REF!</definedName>
    <definedName name="_obl1826">#REF!</definedName>
    <definedName name="_obl1827" localSheetId="5">#REF!</definedName>
    <definedName name="_obl1827">#REF!</definedName>
    <definedName name="_obl1828" localSheetId="5">#REF!</definedName>
    <definedName name="_obl1828">#REF!</definedName>
    <definedName name="_obl1829" localSheetId="5">#REF!</definedName>
    <definedName name="_obl1829">#REF!</definedName>
    <definedName name="_obl183" localSheetId="5">#REF!</definedName>
    <definedName name="_obl183">#REF!</definedName>
    <definedName name="_obl1831" localSheetId="5">#REF!</definedName>
    <definedName name="_obl1831">#REF!</definedName>
    <definedName name="_obl1832" localSheetId="5">#REF!</definedName>
    <definedName name="_obl1832">#REF!</definedName>
    <definedName name="_obl184" localSheetId="5">#REF!</definedName>
    <definedName name="_obl184">#REF!</definedName>
    <definedName name="_obl185" localSheetId="5">#REF!</definedName>
    <definedName name="_obl185">#REF!</definedName>
    <definedName name="_obl186" localSheetId="5">#REF!</definedName>
    <definedName name="_obl186">#REF!</definedName>
    <definedName name="_obl187" localSheetId="5">#REF!</definedName>
    <definedName name="_obl187">#REF!</definedName>
    <definedName name="bghrerr" localSheetId="5">#REF!</definedName>
    <definedName name="bghrerr">#REF!</definedName>
    <definedName name="bhvfdgvf" localSheetId="5">#REF!</definedName>
    <definedName name="bhvfdgvf">#REF!</definedName>
    <definedName name="celkrozp" localSheetId="5">#REF!</definedName>
    <definedName name="celkrozp">#REF!</definedName>
    <definedName name="CenaCelkem">#REF!</definedName>
    <definedName name="CenaCelkemBezDPH">#REF!</definedName>
    <definedName name="ceník">#REF!</definedName>
    <definedName name="cisloobjektu">#REF!</definedName>
    <definedName name="CisloRozpoctu">#REF!</definedName>
    <definedName name="cislostavby">#REF!</definedName>
    <definedName name="CisloStavebnihoRozpoctu">#REF!</definedName>
    <definedName name="dadresa">#REF!</definedName>
    <definedName name="dfdaf" localSheetId="5">#REF!</definedName>
    <definedName name="dfdaf">#REF!</definedName>
    <definedName name="DKGJSDGS" localSheetId="5">#REF!</definedName>
    <definedName name="DKGJSDGS">#REF!</definedName>
    <definedName name="dmisto">#REF!</definedName>
    <definedName name="DPHSni">#REF!</definedName>
    <definedName name="DPHZakl">#REF!</definedName>
    <definedName name="dsfbhbg" localSheetId="5">#REF!</definedName>
    <definedName name="dsfbhbg">#REF!</definedName>
    <definedName name="Excel_BuiltIn_Print_Area_10" localSheetId="5">#REF!</definedName>
    <definedName name="Excel_BuiltIn_Print_Area_10">#REF!</definedName>
    <definedName name="Excel_BuiltIn_Print_Area_24" localSheetId="5">#REF!</definedName>
    <definedName name="Excel_BuiltIn_Print_Area_24">#REF!</definedName>
    <definedName name="Excel_BuiltIn_Print_Area_25" localSheetId="5">#REF!</definedName>
    <definedName name="Excel_BuiltIn_Print_Area_25">#REF!</definedName>
    <definedName name="Excel_BuiltIn_Print_Titles_1_1" localSheetId="5">#REF!</definedName>
    <definedName name="Excel_BuiltIn_Print_Titles_1_1">#REF!</definedName>
    <definedName name="Excel_BuiltIn_Print_Titles_10" localSheetId="5">#REF!</definedName>
    <definedName name="Excel_BuiltIn_Print_Titles_10">#REF!</definedName>
    <definedName name="Excel_BuiltIn_Print_Titles_11" localSheetId="5">#REF!</definedName>
    <definedName name="Excel_BuiltIn_Print_Titles_11">#REF!</definedName>
    <definedName name="Excel_BuiltIn_Print_Titles_12" localSheetId="5">#REF!</definedName>
    <definedName name="Excel_BuiltIn_Print_Titles_12">#REF!</definedName>
    <definedName name="Excel_BuiltIn_Print_Titles_13" localSheetId="5">#REF!</definedName>
    <definedName name="Excel_BuiltIn_Print_Titles_13">#REF!</definedName>
    <definedName name="Excel_BuiltIn_Print_Titles_14" localSheetId="5">#REF!</definedName>
    <definedName name="Excel_BuiltIn_Print_Titles_14">#REF!</definedName>
    <definedName name="Excel_BuiltIn_Print_Titles_15" localSheetId="5">#REF!</definedName>
    <definedName name="Excel_BuiltIn_Print_Titles_15">#REF!</definedName>
    <definedName name="Excel_BuiltIn_Print_Titles_16" localSheetId="5">#REF!</definedName>
    <definedName name="Excel_BuiltIn_Print_Titles_16">#REF!</definedName>
    <definedName name="Excel_BuiltIn_Print_Titles_17" localSheetId="5">#REF!</definedName>
    <definedName name="Excel_BuiltIn_Print_Titles_17">#REF!</definedName>
    <definedName name="Excel_BuiltIn_Print_Titles_18" localSheetId="5">#REF!</definedName>
    <definedName name="Excel_BuiltIn_Print_Titles_18">#REF!</definedName>
    <definedName name="Excel_BuiltIn_Print_Titles_19" localSheetId="5">#REF!</definedName>
    <definedName name="Excel_BuiltIn_Print_Titles_19">#REF!</definedName>
    <definedName name="Excel_BuiltIn_Print_Titles_20" localSheetId="5">#REF!</definedName>
    <definedName name="Excel_BuiltIn_Print_Titles_20">#REF!</definedName>
    <definedName name="Excel_BuiltIn_Print_Titles_21" localSheetId="5">#REF!</definedName>
    <definedName name="Excel_BuiltIn_Print_Titles_21">#REF!</definedName>
    <definedName name="Excel_BuiltIn_Print_Titles_22" localSheetId="5">#REF!</definedName>
    <definedName name="Excel_BuiltIn_Print_Titles_22">#REF!</definedName>
    <definedName name="Excel_BuiltIn_Print_Titles_23" localSheetId="5">#REF!</definedName>
    <definedName name="Excel_BuiltIn_Print_Titles_23">#REF!</definedName>
    <definedName name="Excel_BuiltIn_Print_Titles_24" localSheetId="5">#REF!</definedName>
    <definedName name="Excel_BuiltIn_Print_Titles_24">#REF!</definedName>
    <definedName name="Excel_BuiltIn_Print_Titles_25" localSheetId="5">#REF!</definedName>
    <definedName name="Excel_BuiltIn_Print_Titles_25">#REF!</definedName>
    <definedName name="Excel_BuiltIn_Print_Titles_26" localSheetId="5">#REF!</definedName>
    <definedName name="Excel_BuiltIn_Print_Titles_26">#REF!</definedName>
    <definedName name="Excel_BuiltIn_Print_Titles_27" localSheetId="5">#REF!</definedName>
    <definedName name="Excel_BuiltIn_Print_Titles_27">#REF!</definedName>
    <definedName name="Excel_BuiltIn_Print_Titles_28" localSheetId="5">#REF!</definedName>
    <definedName name="Excel_BuiltIn_Print_Titles_28">#REF!</definedName>
    <definedName name="Excel_BuiltIn_Print_Titles_3" localSheetId="5">#REF!</definedName>
    <definedName name="Excel_BuiltIn_Print_Titles_3">#REF!</definedName>
    <definedName name="Excel_BuiltIn_Print_Titles_4" localSheetId="5">#REF!</definedName>
    <definedName name="Excel_BuiltIn_Print_Titles_4">#REF!</definedName>
    <definedName name="Excel_BuiltIn_Print_Titles_5" localSheetId="5">#REF!</definedName>
    <definedName name="Excel_BuiltIn_Print_Titles_5">#REF!</definedName>
    <definedName name="Excel_BuiltIn_Print_Titles_6" localSheetId="5">#REF!</definedName>
    <definedName name="Excel_BuiltIn_Print_Titles_6">#REF!</definedName>
    <definedName name="Excel_BuiltIn_Print_Titles_7" localSheetId="5">#REF!</definedName>
    <definedName name="Excel_BuiltIn_Print_Titles_7">#REF!</definedName>
    <definedName name="Excel_BuiltIn_Print_Titles_8" localSheetId="5">#REF!</definedName>
    <definedName name="Excel_BuiltIn_Print_Titles_8">#REF!</definedName>
    <definedName name="Excel_BuiltIn_Print_Titles_9" localSheetId="5">#REF!</definedName>
    <definedName name="Excel_BuiltIn_Print_Titles_9">#REF!</definedName>
    <definedName name="exter1" localSheetId="5">#REF!</definedName>
    <definedName name="exter1">#REF!</definedName>
    <definedName name="hovno" localSheetId="5">#REF!</definedName>
    <definedName name="hovno">#REF!</definedName>
    <definedName name="inter1" localSheetId="5">#REF!</definedName>
    <definedName name="inter1">#REF!</definedName>
    <definedName name="jzzuggt" localSheetId="5">#REF!</definedName>
    <definedName name="jzzuggt">#REF!</definedName>
    <definedName name="Mena" localSheetId="11">#REF!</definedName>
    <definedName name="Mena" localSheetId="10">#REF!</definedName>
    <definedName name="Mena" localSheetId="8">#REF!</definedName>
    <definedName name="Mena" localSheetId="9">#REF!</definedName>
    <definedName name="Mena">#REF!</definedName>
    <definedName name="MistoStavby">#REF!</definedName>
    <definedName name="mts" localSheetId="5">#REF!</definedName>
    <definedName name="mts">#REF!</definedName>
    <definedName name="nazevobjektu">#REF!</definedName>
    <definedName name="NazevRozpoctu">#REF!</definedName>
    <definedName name="nazevstavby">#REF!</definedName>
    <definedName name="NazevStavebnihoRozpoctu">#REF!</definedName>
    <definedName name="_xlnm.Print_Titles" localSheetId="6">VZT!$3:$3</definedName>
    <definedName name="oadresa">#REF!</definedName>
    <definedName name="obch_sleva" localSheetId="5">#REF!</definedName>
    <definedName name="obch_sleva">#REF!</definedName>
    <definedName name="_xlnm.Print_Area" localSheetId="5">eps!$A$1:$G$46</definedName>
    <definedName name="_xlnm.Print_Area" localSheetId="3">Silnoproud!$A$1:$K$104</definedName>
    <definedName name="_xlnm.Print_Area" localSheetId="7">UT!$A$1:$E$48</definedName>
    <definedName name="_xlnm.Print_Area" localSheetId="6">VZT!$A$1:$G$77</definedName>
    <definedName name="padresa">#REF!</definedName>
    <definedName name="pdic">#REF!</definedName>
    <definedName name="pico">#REF!</definedName>
    <definedName name="pmisto">#REF!</definedName>
    <definedName name="PocetMJ">#REF!</definedName>
    <definedName name="pokusAAAA" localSheetId="5">#REF!</definedName>
    <definedName name="pokusAAAA">#REF!</definedName>
    <definedName name="pokusadres" localSheetId="5">#REF!</definedName>
    <definedName name="pokusadres">#REF!</definedName>
    <definedName name="položka_A1" localSheetId="5">#REF!</definedName>
    <definedName name="položka_A1">#REF!</definedName>
    <definedName name="pom_výp_zač" localSheetId="5">#REF!</definedName>
    <definedName name="pom_výp_zač">#REF!</definedName>
    <definedName name="pom_výpočty" localSheetId="5">#REF!</definedName>
    <definedName name="pom_výpočty">#REF!</definedName>
    <definedName name="PoptavkaID">#REF!</definedName>
    <definedName name="pPSC">#REF!</definedName>
    <definedName name="prep_schem" localSheetId="5">#REF!</definedName>
    <definedName name="prep_schem">#REF!</definedName>
    <definedName name="Projektant">#REF!</definedName>
    <definedName name="rozvržení_rozp" localSheetId="5">#REF!</definedName>
    <definedName name="rozvržení_rozp">#REF!</definedName>
    <definedName name="SazbaDPH1">#REF!</definedName>
    <definedName name="SazbaDPH2">#REF!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sss" localSheetId="5">#REF!</definedName>
    <definedName name="ssss">#REF!</definedName>
    <definedName name="subslevy" localSheetId="5">#REF!</definedName>
    <definedName name="subslevy">#REF!</definedName>
    <definedName name="sumpok" localSheetId="5">#REF!</definedName>
    <definedName name="sumpok">#REF!</definedName>
    <definedName name="vorn_sum">VORN!$I$45</definedName>
    <definedName name="výpočty" localSheetId="5">#REF!</definedName>
    <definedName name="výpočty">#REF!</definedName>
    <definedName name="Vypracoval">#REF!</definedName>
    <definedName name="vystup" localSheetId="5">#REF!</definedName>
    <definedName name="vystup">#REF!</definedName>
    <definedName name="zahrnsazby" localSheetId="5">#REF!</definedName>
    <definedName name="zahrnsazby">#REF!</definedName>
    <definedName name="zahrnslevy" localSheetId="5">#REF!</definedName>
    <definedName name="zahrnslevy">#REF!</definedName>
    <definedName name="ZakladDPHSni">#REF!</definedName>
    <definedName name="ZakladDPHZakl" localSheetId="11">#REF!</definedName>
    <definedName name="ZakladDPHZakl" localSheetId="10">#REF!</definedName>
    <definedName name="ZakladDPHZakl" localSheetId="8">#REF!</definedName>
    <definedName name="ZakladDPHZakl" localSheetId="9">#REF!</definedName>
    <definedName name="ZakladDPHZakl">#REF!</definedName>
    <definedName name="Zaokrouhleni" localSheetId="11">#REF!</definedName>
    <definedName name="Zaokrouhleni" localSheetId="10">#REF!</definedName>
    <definedName name="Zaokrouhleni" localSheetId="8">#REF!</definedName>
    <definedName name="Zaokrouhleni" localSheetId="9">#REF!</definedName>
    <definedName name="Zaokrouhleni">#REF!</definedName>
    <definedName name="Zhotovit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0" i="11" l="1"/>
  <c r="F276" i="10" s="1"/>
  <c r="K276" i="10" s="1"/>
  <c r="I398" i="11"/>
  <c r="F275" i="10" s="1"/>
  <c r="K275" i="10" s="1"/>
  <c r="I369" i="11"/>
  <c r="F274" i="10" s="1"/>
  <c r="K274" i="10" s="1"/>
  <c r="I342" i="11"/>
  <c r="F273" i="10" s="1"/>
  <c r="K273" i="10" s="1"/>
  <c r="I325" i="11"/>
  <c r="F272" i="10" s="1"/>
  <c r="K272" i="10" s="1"/>
  <c r="I297" i="11"/>
  <c r="F271" i="10" s="1"/>
  <c r="K271" i="10" s="1"/>
  <c r="I272" i="11"/>
  <c r="F270" i="10" s="1"/>
  <c r="K270" i="10" s="1"/>
  <c r="H270" i="10" s="1"/>
  <c r="I246" i="11"/>
  <c r="F269" i="10" s="1"/>
  <c r="K269" i="10" s="1"/>
  <c r="I198" i="11"/>
  <c r="F268" i="10" s="1"/>
  <c r="K268" i="10" s="1"/>
  <c r="I159" i="11"/>
  <c r="F267" i="10" s="1"/>
  <c r="K267" i="10" s="1"/>
  <c r="I122" i="11"/>
  <c r="F266" i="10" s="1"/>
  <c r="K266" i="10" s="1"/>
  <c r="I88" i="11"/>
  <c r="F265" i="10" s="1"/>
  <c r="K265" i="10" s="1"/>
  <c r="I47" i="11"/>
  <c r="F264" i="10" s="1"/>
  <c r="K264" i="10" s="1"/>
  <c r="H264" i="10" s="1"/>
  <c r="M316" i="10"/>
  <c r="K316" i="10"/>
  <c r="M310" i="10"/>
  <c r="L310" i="10"/>
  <c r="J310" i="10" s="1"/>
  <c r="K310" i="10"/>
  <c r="M308" i="10"/>
  <c r="L308" i="10"/>
  <c r="K308" i="10"/>
  <c r="H308" i="10" s="1"/>
  <c r="J308" i="10"/>
  <c r="M306" i="10"/>
  <c r="L306" i="10"/>
  <c r="K306" i="10"/>
  <c r="H306" i="10" s="1"/>
  <c r="M305" i="10"/>
  <c r="L305" i="10"/>
  <c r="J305" i="10" s="1"/>
  <c r="K305" i="10"/>
  <c r="H305" i="10" s="1"/>
  <c r="M304" i="10"/>
  <c r="L304" i="10"/>
  <c r="J304" i="10" s="1"/>
  <c r="K304" i="10"/>
  <c r="H304" i="10" s="1"/>
  <c r="M303" i="10"/>
  <c r="L303" i="10"/>
  <c r="K303" i="10"/>
  <c r="H303" i="10" s="1"/>
  <c r="J303" i="10"/>
  <c r="M302" i="10"/>
  <c r="L302" i="10"/>
  <c r="J302" i="10" s="1"/>
  <c r="K302" i="10"/>
  <c r="M300" i="10"/>
  <c r="L300" i="10"/>
  <c r="J300" i="10" s="1"/>
  <c r="K300" i="10"/>
  <c r="M297" i="10"/>
  <c r="L297" i="10"/>
  <c r="J297" i="10" s="1"/>
  <c r="K297" i="10"/>
  <c r="H297" i="10" s="1"/>
  <c r="M296" i="10"/>
  <c r="L296" i="10"/>
  <c r="K296" i="10"/>
  <c r="H296" i="10" s="1"/>
  <c r="M294" i="10"/>
  <c r="L294" i="10"/>
  <c r="J294" i="10" s="1"/>
  <c r="K294" i="10"/>
  <c r="H294" i="10" s="1"/>
  <c r="M293" i="10"/>
  <c r="L293" i="10"/>
  <c r="K293" i="10"/>
  <c r="H293" i="10" s="1"/>
  <c r="M292" i="10"/>
  <c r="L292" i="10"/>
  <c r="K292" i="10"/>
  <c r="J292" i="10"/>
  <c r="H292" i="10"/>
  <c r="M290" i="10"/>
  <c r="J290" i="10" s="1"/>
  <c r="L290" i="10"/>
  <c r="K290" i="10"/>
  <c r="H290" i="10" s="1"/>
  <c r="M288" i="10"/>
  <c r="L288" i="10"/>
  <c r="K288" i="10"/>
  <c r="H288" i="10" s="1"/>
  <c r="M287" i="10"/>
  <c r="L287" i="10"/>
  <c r="J287" i="10" s="1"/>
  <c r="K287" i="10"/>
  <c r="H287" i="10" s="1"/>
  <c r="M285" i="10"/>
  <c r="L285" i="10"/>
  <c r="K285" i="10"/>
  <c r="H285" i="10" s="1"/>
  <c r="J285" i="10"/>
  <c r="M283" i="10"/>
  <c r="L283" i="10"/>
  <c r="K283" i="10"/>
  <c r="H283" i="10" s="1"/>
  <c r="J283" i="10"/>
  <c r="M281" i="10"/>
  <c r="L281" i="10"/>
  <c r="J281" i="10" s="1"/>
  <c r="K281" i="10"/>
  <c r="M276" i="10"/>
  <c r="L276" i="10"/>
  <c r="M275" i="10"/>
  <c r="L275" i="10"/>
  <c r="M274" i="10"/>
  <c r="J274" i="10" s="1"/>
  <c r="L274" i="10"/>
  <c r="M273" i="10"/>
  <c r="L273" i="10"/>
  <c r="J273" i="10" s="1"/>
  <c r="M272" i="10"/>
  <c r="L272" i="10"/>
  <c r="J272" i="10" s="1"/>
  <c r="M271" i="10"/>
  <c r="L271" i="10"/>
  <c r="J271" i="10" s="1"/>
  <c r="M270" i="10"/>
  <c r="L270" i="10"/>
  <c r="M269" i="10"/>
  <c r="L269" i="10"/>
  <c r="J269" i="10" s="1"/>
  <c r="M268" i="10"/>
  <c r="J268" i="10" s="1"/>
  <c r="L268" i="10"/>
  <c r="M267" i="10"/>
  <c r="L267" i="10"/>
  <c r="M266" i="10"/>
  <c r="L266" i="10"/>
  <c r="J266" i="10"/>
  <c r="M265" i="10"/>
  <c r="L265" i="10"/>
  <c r="M264" i="10"/>
  <c r="L264" i="10"/>
  <c r="M250" i="10"/>
  <c r="K250" i="10"/>
  <c r="M248" i="10"/>
  <c r="L248" i="10"/>
  <c r="K248" i="10"/>
  <c r="H248" i="10"/>
  <c r="M247" i="10"/>
  <c r="L247" i="10"/>
  <c r="H247" i="10" s="1"/>
  <c r="K247" i="10"/>
  <c r="M246" i="10"/>
  <c r="L246" i="10"/>
  <c r="K246" i="10"/>
  <c r="H246" i="10"/>
  <c r="M245" i="10"/>
  <c r="L245" i="10"/>
  <c r="K245" i="10"/>
  <c r="H245" i="10" s="1"/>
  <c r="M244" i="10"/>
  <c r="L244" i="10"/>
  <c r="K244" i="10"/>
  <c r="H244" i="10" s="1"/>
  <c r="M243" i="10"/>
  <c r="L243" i="10"/>
  <c r="K243" i="10"/>
  <c r="H243" i="10" s="1"/>
  <c r="M242" i="10"/>
  <c r="L242" i="10"/>
  <c r="K242" i="10"/>
  <c r="H242" i="10" s="1"/>
  <c r="M241" i="10"/>
  <c r="L241" i="10"/>
  <c r="K241" i="10"/>
  <c r="M240" i="10"/>
  <c r="L240" i="10"/>
  <c r="K240" i="10"/>
  <c r="H240" i="10" s="1"/>
  <c r="M239" i="10"/>
  <c r="L239" i="10"/>
  <c r="K239" i="10"/>
  <c r="H239" i="10" s="1"/>
  <c r="M238" i="10"/>
  <c r="L238" i="10"/>
  <c r="K238" i="10"/>
  <c r="M237" i="10"/>
  <c r="L237" i="10"/>
  <c r="K237" i="10"/>
  <c r="H237" i="10"/>
  <c r="M231" i="10"/>
  <c r="L231" i="10"/>
  <c r="K231" i="10"/>
  <c r="M230" i="10"/>
  <c r="L230" i="10"/>
  <c r="K230" i="10"/>
  <c r="M228" i="10"/>
  <c r="L228" i="10"/>
  <c r="K228" i="10"/>
  <c r="J228" i="10"/>
  <c r="M224" i="10"/>
  <c r="L224" i="10"/>
  <c r="K224" i="10"/>
  <c r="M221" i="10"/>
  <c r="L221" i="10"/>
  <c r="K221" i="10"/>
  <c r="H221" i="10" s="1"/>
  <c r="M220" i="10"/>
  <c r="L220" i="10"/>
  <c r="J220" i="10" s="1"/>
  <c r="K220" i="10"/>
  <c r="M219" i="10"/>
  <c r="L219" i="10"/>
  <c r="K219" i="10"/>
  <c r="M216" i="10"/>
  <c r="L216" i="10"/>
  <c r="K216" i="10"/>
  <c r="M214" i="10"/>
  <c r="L214" i="10"/>
  <c r="H214" i="10" s="1"/>
  <c r="K214" i="10"/>
  <c r="M212" i="10"/>
  <c r="L212" i="10"/>
  <c r="K212" i="10"/>
  <c r="H212" i="10" s="1"/>
  <c r="J212" i="10"/>
  <c r="M211" i="10"/>
  <c r="L211" i="10"/>
  <c r="K211" i="10"/>
  <c r="M210" i="10"/>
  <c r="L210" i="10"/>
  <c r="J210" i="10" s="1"/>
  <c r="K210" i="10"/>
  <c r="M208" i="10"/>
  <c r="J208" i="10" s="1"/>
  <c r="L208" i="10"/>
  <c r="K208" i="10"/>
  <c r="H208" i="10" s="1"/>
  <c r="M207" i="10"/>
  <c r="L207" i="10"/>
  <c r="J207" i="10" s="1"/>
  <c r="K207" i="10"/>
  <c r="M206" i="10"/>
  <c r="L206" i="10"/>
  <c r="J206" i="10" s="1"/>
  <c r="K206" i="10"/>
  <c r="H206" i="10" s="1"/>
  <c r="M203" i="10"/>
  <c r="L203" i="10"/>
  <c r="K203" i="10"/>
  <c r="M200" i="10"/>
  <c r="J200" i="10" s="1"/>
  <c r="L200" i="10"/>
  <c r="H200" i="10" s="1"/>
  <c r="K200" i="10"/>
  <c r="M199" i="10"/>
  <c r="L199" i="10"/>
  <c r="K199" i="10"/>
  <c r="J199" i="10"/>
  <c r="M198" i="10"/>
  <c r="L198" i="10"/>
  <c r="K198" i="10"/>
  <c r="H198" i="10" s="1"/>
  <c r="M197" i="10"/>
  <c r="L197" i="10"/>
  <c r="J197" i="10" s="1"/>
  <c r="K197" i="10"/>
  <c r="M195" i="10"/>
  <c r="L195" i="10"/>
  <c r="J195" i="10" s="1"/>
  <c r="K195" i="10"/>
  <c r="H195" i="10" s="1"/>
  <c r="M193" i="10"/>
  <c r="L193" i="10"/>
  <c r="J193" i="10" s="1"/>
  <c r="K193" i="10"/>
  <c r="M192" i="10"/>
  <c r="J192" i="10" s="1"/>
  <c r="L192" i="10"/>
  <c r="K192" i="10"/>
  <c r="M191" i="10"/>
  <c r="L191" i="10"/>
  <c r="J191" i="10" s="1"/>
  <c r="K191" i="10"/>
  <c r="M180" i="10"/>
  <c r="K180" i="10"/>
  <c r="M178" i="10"/>
  <c r="L178" i="10"/>
  <c r="K178" i="10"/>
  <c r="H178" i="10" s="1"/>
  <c r="M177" i="10"/>
  <c r="L177" i="10"/>
  <c r="K177" i="10"/>
  <c r="M176" i="10"/>
  <c r="L176" i="10"/>
  <c r="K176" i="10"/>
  <c r="H176" i="10" s="1"/>
  <c r="M175" i="10"/>
  <c r="L175" i="10"/>
  <c r="K175" i="10"/>
  <c r="M174" i="10"/>
  <c r="L174" i="10"/>
  <c r="K174" i="10"/>
  <c r="H174" i="10" s="1"/>
  <c r="M173" i="10"/>
  <c r="L173" i="10"/>
  <c r="K173" i="10"/>
  <c r="M172" i="10"/>
  <c r="L172" i="10"/>
  <c r="K172" i="10"/>
  <c r="H172" i="10" s="1"/>
  <c r="M171" i="10"/>
  <c r="L171" i="10"/>
  <c r="K171" i="10"/>
  <c r="H171" i="10" s="1"/>
  <c r="M170" i="10"/>
  <c r="L170" i="10"/>
  <c r="K170" i="10"/>
  <c r="H170" i="10" s="1"/>
  <c r="M169" i="10"/>
  <c r="L169" i="10"/>
  <c r="K169" i="10"/>
  <c r="M168" i="10"/>
  <c r="L168" i="10"/>
  <c r="K168" i="10"/>
  <c r="H168" i="10" s="1"/>
  <c r="M167" i="10"/>
  <c r="L167" i="10"/>
  <c r="K167" i="10"/>
  <c r="H167" i="10" s="1"/>
  <c r="M166" i="10"/>
  <c r="L166" i="10"/>
  <c r="K166" i="10"/>
  <c r="H166" i="10" s="1"/>
  <c r="M160" i="10"/>
  <c r="L160" i="10"/>
  <c r="K160" i="10"/>
  <c r="H160" i="10" s="1"/>
  <c r="M159" i="10"/>
  <c r="L159" i="10"/>
  <c r="H159" i="10" s="1"/>
  <c r="K159" i="10"/>
  <c r="M157" i="10"/>
  <c r="L157" i="10"/>
  <c r="K157" i="10"/>
  <c r="M152" i="10"/>
  <c r="L152" i="10"/>
  <c r="J152" i="10" s="1"/>
  <c r="K152" i="10"/>
  <c r="H152" i="10" s="1"/>
  <c r="M146" i="10"/>
  <c r="L146" i="10"/>
  <c r="K146" i="10"/>
  <c r="H146" i="10"/>
  <c r="M145" i="10"/>
  <c r="J145" i="10" s="1"/>
  <c r="L145" i="10"/>
  <c r="K145" i="10"/>
  <c r="M143" i="10"/>
  <c r="L143" i="10"/>
  <c r="K143" i="10"/>
  <c r="M139" i="10"/>
  <c r="L139" i="10"/>
  <c r="J139" i="10" s="1"/>
  <c r="K139" i="10"/>
  <c r="H139" i="10" s="1"/>
  <c r="M134" i="10"/>
  <c r="L134" i="10"/>
  <c r="K134" i="10"/>
  <c r="H134" i="10" s="1"/>
  <c r="M133" i="10"/>
  <c r="L133" i="10"/>
  <c r="K133" i="10"/>
  <c r="H133" i="10" s="1"/>
  <c r="J133" i="10"/>
  <c r="M131" i="10"/>
  <c r="L131" i="10"/>
  <c r="K131" i="10"/>
  <c r="M130" i="10"/>
  <c r="L130" i="10"/>
  <c r="K130" i="10"/>
  <c r="M129" i="10"/>
  <c r="L129" i="10"/>
  <c r="K129" i="10"/>
  <c r="M127" i="10"/>
  <c r="L127" i="10"/>
  <c r="J127" i="10" s="1"/>
  <c r="K127" i="10"/>
  <c r="M126" i="10"/>
  <c r="L126" i="10"/>
  <c r="J126" i="10" s="1"/>
  <c r="K126" i="10"/>
  <c r="M125" i="10"/>
  <c r="L125" i="10"/>
  <c r="K125" i="10"/>
  <c r="M124" i="10"/>
  <c r="L124" i="10"/>
  <c r="K124" i="10"/>
  <c r="H124" i="10" s="1"/>
  <c r="M122" i="10"/>
  <c r="L122" i="10"/>
  <c r="J122" i="10" s="1"/>
  <c r="K122" i="10"/>
  <c r="M121" i="10"/>
  <c r="L121" i="10"/>
  <c r="K121" i="10"/>
  <c r="M120" i="10"/>
  <c r="L120" i="10"/>
  <c r="J120" i="10" s="1"/>
  <c r="K120" i="10"/>
  <c r="M119" i="10"/>
  <c r="J119" i="10" s="1"/>
  <c r="L119" i="10"/>
  <c r="K119" i="10"/>
  <c r="H119" i="10" s="1"/>
  <c r="M118" i="10"/>
  <c r="L118" i="10"/>
  <c r="J118" i="10" s="1"/>
  <c r="K118" i="10"/>
  <c r="M117" i="10"/>
  <c r="L117" i="10"/>
  <c r="K117" i="10"/>
  <c r="H117" i="10" s="1"/>
  <c r="M116" i="10"/>
  <c r="L116" i="10"/>
  <c r="K116" i="10"/>
  <c r="H116" i="10" s="1"/>
  <c r="M115" i="10"/>
  <c r="L115" i="10"/>
  <c r="K115" i="10"/>
  <c r="H115" i="10" s="1"/>
  <c r="M114" i="10"/>
  <c r="L114" i="10"/>
  <c r="K114" i="10"/>
  <c r="J114" i="10"/>
  <c r="M111" i="10"/>
  <c r="J111" i="10" s="1"/>
  <c r="L111" i="10"/>
  <c r="K111" i="10"/>
  <c r="H111" i="10" s="1"/>
  <c r="M110" i="10"/>
  <c r="L110" i="10"/>
  <c r="K110" i="10"/>
  <c r="M109" i="10"/>
  <c r="L109" i="10"/>
  <c r="J109" i="10" s="1"/>
  <c r="K109" i="10"/>
  <c r="H109" i="10" s="1"/>
  <c r="M108" i="10"/>
  <c r="L108" i="10"/>
  <c r="K108" i="10"/>
  <c r="J108" i="10"/>
  <c r="M107" i="10"/>
  <c r="L107" i="10"/>
  <c r="K107" i="10"/>
  <c r="M104" i="10"/>
  <c r="L104" i="10"/>
  <c r="K104" i="10"/>
  <c r="M103" i="10"/>
  <c r="L103" i="10"/>
  <c r="J103" i="10" s="1"/>
  <c r="K103" i="10"/>
  <c r="H103" i="10"/>
  <c r="M102" i="10"/>
  <c r="J102" i="10" s="1"/>
  <c r="L102" i="10"/>
  <c r="K102" i="10"/>
  <c r="M101" i="10"/>
  <c r="L101" i="10"/>
  <c r="K101" i="10"/>
  <c r="M100" i="10"/>
  <c r="L100" i="10"/>
  <c r="J100" i="10" s="1"/>
  <c r="K100" i="10"/>
  <c r="M99" i="10"/>
  <c r="L99" i="10"/>
  <c r="K99" i="10"/>
  <c r="H99" i="10"/>
  <c r="M98" i="10"/>
  <c r="L98" i="10"/>
  <c r="K98" i="10"/>
  <c r="J98" i="10"/>
  <c r="M97" i="10"/>
  <c r="J97" i="10" s="1"/>
  <c r="L97" i="10"/>
  <c r="K97" i="10"/>
  <c r="M96" i="10"/>
  <c r="L96" i="10"/>
  <c r="J96" i="10" s="1"/>
  <c r="K96" i="10"/>
  <c r="H96" i="10" s="1"/>
  <c r="M95" i="10"/>
  <c r="L95" i="10"/>
  <c r="K95" i="10"/>
  <c r="M94" i="10"/>
  <c r="L94" i="10"/>
  <c r="K94" i="10"/>
  <c r="J94" i="10"/>
  <c r="M93" i="10"/>
  <c r="L93" i="10"/>
  <c r="K93" i="10"/>
  <c r="M92" i="10"/>
  <c r="L92" i="10"/>
  <c r="J92" i="10" s="1"/>
  <c r="K92" i="10"/>
  <c r="H92" i="10" s="1"/>
  <c r="M91" i="10"/>
  <c r="L91" i="10"/>
  <c r="J91" i="10" s="1"/>
  <c r="K91" i="10"/>
  <c r="H91" i="10" s="1"/>
  <c r="M90" i="10"/>
  <c r="L90" i="10"/>
  <c r="H90" i="10" s="1"/>
  <c r="K90" i="10"/>
  <c r="M85" i="10"/>
  <c r="L85" i="10"/>
  <c r="J85" i="10" s="1"/>
  <c r="K85" i="10"/>
  <c r="M84" i="10"/>
  <c r="L84" i="10"/>
  <c r="K84" i="10"/>
  <c r="M83" i="10"/>
  <c r="L83" i="10"/>
  <c r="K83" i="10"/>
  <c r="H83" i="10" s="1"/>
  <c r="M82" i="10"/>
  <c r="L82" i="10"/>
  <c r="K82" i="10"/>
  <c r="M81" i="10"/>
  <c r="L81" i="10"/>
  <c r="K81" i="10"/>
  <c r="M80" i="10"/>
  <c r="L80" i="10"/>
  <c r="J80" i="10" s="1"/>
  <c r="K80" i="10"/>
  <c r="H80" i="10" s="1"/>
  <c r="M66" i="10"/>
  <c r="L66" i="10"/>
  <c r="K66" i="10"/>
  <c r="H66" i="10" s="1"/>
  <c r="M63" i="10"/>
  <c r="L63" i="10"/>
  <c r="K63" i="10"/>
  <c r="M60" i="10"/>
  <c r="L60" i="10"/>
  <c r="K60" i="10"/>
  <c r="M55" i="10"/>
  <c r="L55" i="10"/>
  <c r="K55" i="10"/>
  <c r="M51" i="10"/>
  <c r="L51" i="10"/>
  <c r="K51" i="10"/>
  <c r="H51" i="10" s="1"/>
  <c r="M46" i="10"/>
  <c r="K46" i="10"/>
  <c r="M40" i="10"/>
  <c r="L40" i="10"/>
  <c r="K40" i="10"/>
  <c r="H40" i="10" s="1"/>
  <c r="M38" i="10"/>
  <c r="L38" i="10"/>
  <c r="K38" i="10"/>
  <c r="J38" i="10"/>
  <c r="H38" i="10"/>
  <c r="M37" i="10"/>
  <c r="L37" i="10"/>
  <c r="J37" i="10" s="1"/>
  <c r="K37" i="10"/>
  <c r="H37" i="10" s="1"/>
  <c r="M36" i="10"/>
  <c r="L36" i="10"/>
  <c r="K36" i="10"/>
  <c r="H36" i="10" s="1"/>
  <c r="M34" i="10"/>
  <c r="J34" i="10" s="1"/>
  <c r="L34" i="10"/>
  <c r="K34" i="10"/>
  <c r="H34" i="10" s="1"/>
  <c r="M32" i="10"/>
  <c r="J32" i="10" s="1"/>
  <c r="L32" i="10"/>
  <c r="K32" i="10"/>
  <c r="H32" i="10"/>
  <c r="M30" i="10"/>
  <c r="L30" i="10"/>
  <c r="K30" i="10"/>
  <c r="H30" i="10" s="1"/>
  <c r="M28" i="10"/>
  <c r="L28" i="10"/>
  <c r="J28" i="10" s="1"/>
  <c r="K28" i="10"/>
  <c r="M26" i="10"/>
  <c r="L26" i="10"/>
  <c r="K26" i="10"/>
  <c r="H26" i="10"/>
  <c r="M24" i="10"/>
  <c r="L24" i="10"/>
  <c r="J24" i="10" s="1"/>
  <c r="K24" i="10"/>
  <c r="H24" i="10" s="1"/>
  <c r="M23" i="10"/>
  <c r="L23" i="10"/>
  <c r="J23" i="10" s="1"/>
  <c r="K23" i="10"/>
  <c r="H23" i="10" s="1"/>
  <c r="M21" i="10"/>
  <c r="L21" i="10"/>
  <c r="J21" i="10" s="1"/>
  <c r="K21" i="10"/>
  <c r="H21" i="10" s="1"/>
  <c r="M19" i="10"/>
  <c r="L19" i="10"/>
  <c r="K19" i="10"/>
  <c r="H19" i="10" s="1"/>
  <c r="M17" i="10"/>
  <c r="L17" i="10"/>
  <c r="J17" i="10" s="1"/>
  <c r="K17" i="10"/>
  <c r="M15" i="10"/>
  <c r="J15" i="10" s="1"/>
  <c r="L15" i="10"/>
  <c r="K15" i="10"/>
  <c r="H15" i="10" s="1"/>
  <c r="M13" i="10"/>
  <c r="L13" i="10"/>
  <c r="J13" i="10" s="1"/>
  <c r="K13" i="10"/>
  <c r="E32" i="8"/>
  <c r="E31" i="8"/>
  <c r="E30" i="8"/>
  <c r="E29" i="8"/>
  <c r="E28" i="8"/>
  <c r="E27" i="8"/>
  <c r="E25" i="8"/>
  <c r="E22" i="8"/>
  <c r="E21" i="8"/>
  <c r="E18" i="8"/>
  <c r="E17" i="8"/>
  <c r="E14" i="8"/>
  <c r="E13" i="8"/>
  <c r="E12" i="8"/>
  <c r="E9" i="8"/>
  <c r="B9" i="8"/>
  <c r="B8" i="8"/>
  <c r="E8" i="8" s="1"/>
  <c r="E6" i="8"/>
  <c r="B6" i="8"/>
  <c r="E5" i="8"/>
  <c r="E4" i="8"/>
  <c r="G73" i="7"/>
  <c r="G72" i="7"/>
  <c r="G71" i="7"/>
  <c r="G68" i="7"/>
  <c r="G66" i="7"/>
  <c r="G65" i="7"/>
  <c r="G63" i="7"/>
  <c r="G62" i="7"/>
  <c r="G60" i="7"/>
  <c r="G59" i="7"/>
  <c r="G58" i="7"/>
  <c r="G57" i="7"/>
  <c r="G56" i="7"/>
  <c r="G55" i="7"/>
  <c r="G54" i="7"/>
  <c r="G53" i="7"/>
  <c r="G50" i="7"/>
  <c r="G48" i="7"/>
  <c r="G47" i="7"/>
  <c r="G46" i="7"/>
  <c r="G15" i="7"/>
  <c r="G14" i="7"/>
  <c r="G13" i="7"/>
  <c r="G11" i="7"/>
  <c r="G10" i="7"/>
  <c r="G9" i="7"/>
  <c r="G8" i="7"/>
  <c r="G7" i="7"/>
  <c r="G6" i="7"/>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K93" i="4"/>
  <c r="J93" i="4"/>
  <c r="K92" i="4"/>
  <c r="J92" i="4"/>
  <c r="K91" i="4"/>
  <c r="J91" i="4"/>
  <c r="K90" i="4"/>
  <c r="J90" i="4"/>
  <c r="K89" i="4"/>
  <c r="J89" i="4"/>
  <c r="K88" i="4"/>
  <c r="J88" i="4"/>
  <c r="K85" i="4"/>
  <c r="J79" i="4" s="1"/>
  <c r="J85" i="4"/>
  <c r="K84" i="4"/>
  <c r="J84" i="4"/>
  <c r="K83" i="4"/>
  <c r="J83" i="4"/>
  <c r="K82" i="4"/>
  <c r="J82" i="4"/>
  <c r="K81" i="4"/>
  <c r="J81" i="4"/>
  <c r="K80" i="4"/>
  <c r="J80" i="4"/>
  <c r="K78" i="4"/>
  <c r="J78" i="4"/>
  <c r="K76" i="4"/>
  <c r="J76" i="4"/>
  <c r="J75" i="4" s="1"/>
  <c r="K73" i="4"/>
  <c r="J73" i="4"/>
  <c r="K72" i="4"/>
  <c r="J72" i="4"/>
  <c r="K71" i="4"/>
  <c r="J71" i="4"/>
  <c r="K70" i="4"/>
  <c r="J70" i="4"/>
  <c r="K69" i="4"/>
  <c r="J69" i="4"/>
  <c r="K68" i="4"/>
  <c r="J68" i="4"/>
  <c r="K67" i="4"/>
  <c r="J67" i="4"/>
  <c r="K64" i="4"/>
  <c r="J64" i="4"/>
  <c r="K63" i="4"/>
  <c r="J63" i="4"/>
  <c r="K62" i="4"/>
  <c r="J62" i="4"/>
  <c r="K61" i="4"/>
  <c r="J61" i="4"/>
  <c r="K60" i="4"/>
  <c r="J60" i="4"/>
  <c r="K59" i="4"/>
  <c r="J59" i="4"/>
  <c r="K58" i="4"/>
  <c r="J58" i="4"/>
  <c r="K57" i="4"/>
  <c r="J57" i="4"/>
  <c r="K56" i="4"/>
  <c r="J56" i="4"/>
  <c r="K55" i="4"/>
  <c r="J55" i="4"/>
  <c r="K54" i="4"/>
  <c r="J54" i="4"/>
  <c r="K53" i="4"/>
  <c r="J53" i="4"/>
  <c r="K52" i="4"/>
  <c r="J52" i="4"/>
  <c r="K51" i="4"/>
  <c r="J51" i="4"/>
  <c r="K50" i="4"/>
  <c r="J49" i="4" s="1"/>
  <c r="J50" i="4"/>
  <c r="K47" i="4"/>
  <c r="J47" i="4"/>
  <c r="K46" i="4"/>
  <c r="J46" i="4"/>
  <c r="K45" i="4"/>
  <c r="J45" i="4"/>
  <c r="K44" i="4"/>
  <c r="J44" i="4"/>
  <c r="K43" i="4"/>
  <c r="J43" i="4"/>
  <c r="K42" i="4"/>
  <c r="J42" i="4"/>
  <c r="K41" i="4"/>
  <c r="J41" i="4"/>
  <c r="K40" i="4"/>
  <c r="J40" i="4"/>
  <c r="K39" i="4"/>
  <c r="J39" i="4"/>
  <c r="K38" i="4"/>
  <c r="J38" i="4"/>
  <c r="K37" i="4"/>
  <c r="J37" i="4"/>
  <c r="K36" i="4"/>
  <c r="J36" i="4"/>
  <c r="J35" i="4"/>
  <c r="K32" i="4"/>
  <c r="J32" i="4"/>
  <c r="K31" i="4"/>
  <c r="J31" i="4"/>
  <c r="K30" i="4"/>
  <c r="J30" i="4"/>
  <c r="K29" i="4"/>
  <c r="J29" i="4"/>
  <c r="K28" i="4"/>
  <c r="J28" i="4"/>
  <c r="K27" i="4"/>
  <c r="J27" i="4"/>
  <c r="K26" i="4"/>
  <c r="J26" i="4"/>
  <c r="K25" i="4"/>
  <c r="J25" i="4"/>
  <c r="K24" i="4"/>
  <c r="J24" i="4"/>
  <c r="K23" i="4"/>
  <c r="J23" i="4"/>
  <c r="K17" i="4"/>
  <c r="J17" i="4"/>
  <c r="K13" i="4"/>
  <c r="J13" i="4"/>
  <c r="J5" i="4" s="1"/>
  <c r="K6" i="4"/>
  <c r="J6" i="4"/>
  <c r="BU1095" i="3"/>
  <c r="BJ1095" i="3"/>
  <c r="BD1095" i="3"/>
  <c r="AP1095" i="3"/>
  <c r="AX1095" i="3" s="1"/>
  <c r="AO1095" i="3"/>
  <c r="BH1095" i="3" s="1"/>
  <c r="AK1095" i="3"/>
  <c r="AT1094" i="3" s="1"/>
  <c r="AJ1095" i="3"/>
  <c r="AS1094" i="3" s="1"/>
  <c r="AH1095" i="3"/>
  <c r="AG1095" i="3"/>
  <c r="AF1095" i="3"/>
  <c r="AE1095" i="3"/>
  <c r="AD1095" i="3"/>
  <c r="AC1095" i="3"/>
  <c r="AB1095" i="3"/>
  <c r="Z1095" i="3"/>
  <c r="L1095" i="3"/>
  <c r="BF1095" i="3" s="1"/>
  <c r="I1095" i="3"/>
  <c r="AL1095" i="3" s="1"/>
  <c r="AU1094" i="3"/>
  <c r="L1094" i="3"/>
  <c r="I1094" i="3"/>
  <c r="BT1092" i="3"/>
  <c r="BJ1092" i="3"/>
  <c r="BD1092" i="3"/>
  <c r="AP1092" i="3"/>
  <c r="BI1092" i="3" s="1"/>
  <c r="AO1092" i="3"/>
  <c r="AW1092" i="3" s="1"/>
  <c r="AK1092" i="3"/>
  <c r="AT1091" i="3" s="1"/>
  <c r="AJ1092" i="3"/>
  <c r="AS1091" i="3" s="1"/>
  <c r="AH1092" i="3"/>
  <c r="AG1092" i="3"/>
  <c r="AF1092" i="3"/>
  <c r="AE1092" i="3"/>
  <c r="AD1092" i="3"/>
  <c r="AC1092" i="3"/>
  <c r="AB1092" i="3"/>
  <c r="Z1092" i="3"/>
  <c r="L1092" i="3"/>
  <c r="I1092" i="3"/>
  <c r="I1091" i="3" s="1"/>
  <c r="BR1089" i="3"/>
  <c r="BJ1089" i="3"/>
  <c r="BD1089" i="3"/>
  <c r="AP1089" i="3"/>
  <c r="AX1089" i="3" s="1"/>
  <c r="AO1089" i="3"/>
  <c r="BH1089" i="3" s="1"/>
  <c r="AK1089" i="3"/>
  <c r="AT1088" i="3" s="1"/>
  <c r="AJ1089" i="3"/>
  <c r="AS1088" i="3" s="1"/>
  <c r="AH1089" i="3"/>
  <c r="AG1089" i="3"/>
  <c r="AF1089" i="3"/>
  <c r="AE1089" i="3"/>
  <c r="AD1089" i="3"/>
  <c r="AC1089" i="3"/>
  <c r="AB1089" i="3"/>
  <c r="Z1089" i="3"/>
  <c r="L1089" i="3"/>
  <c r="BF1089" i="3" s="1"/>
  <c r="I1089" i="3"/>
  <c r="AL1089" i="3" s="1"/>
  <c r="AU1088" i="3" s="1"/>
  <c r="L1088" i="3"/>
  <c r="I1088" i="3"/>
  <c r="BO1086" i="3"/>
  <c r="BJ1086" i="3"/>
  <c r="BD1086" i="3"/>
  <c r="AX1086" i="3"/>
  <c r="AP1086" i="3"/>
  <c r="BI1086" i="3" s="1"/>
  <c r="AO1086" i="3"/>
  <c r="AW1086" i="3" s="1"/>
  <c r="AK1086" i="3"/>
  <c r="AJ1086" i="3"/>
  <c r="AH1086" i="3"/>
  <c r="AG1086" i="3"/>
  <c r="AF1086" i="3"/>
  <c r="AE1086" i="3"/>
  <c r="AD1086" i="3"/>
  <c r="AC1086" i="3"/>
  <c r="AB1086" i="3"/>
  <c r="Z1086" i="3"/>
  <c r="L1086" i="3"/>
  <c r="I1086" i="3"/>
  <c r="I1085" i="3" s="1"/>
  <c r="AT1085" i="3"/>
  <c r="AS1085" i="3"/>
  <c r="BM1083" i="3"/>
  <c r="BJ1083" i="3"/>
  <c r="BD1083" i="3"/>
  <c r="AP1083" i="3"/>
  <c r="AX1083" i="3" s="1"/>
  <c r="AO1083" i="3"/>
  <c r="BH1083" i="3" s="1"/>
  <c r="AK1083" i="3"/>
  <c r="AT1082" i="3" s="1"/>
  <c r="AJ1083" i="3"/>
  <c r="AS1082" i="3" s="1"/>
  <c r="AH1083" i="3"/>
  <c r="AG1083" i="3"/>
  <c r="AF1083" i="3"/>
  <c r="AE1083" i="3"/>
  <c r="AD1083" i="3"/>
  <c r="AC1083" i="3"/>
  <c r="AB1083" i="3"/>
  <c r="Z1083" i="3"/>
  <c r="L1083" i="3"/>
  <c r="BF1083" i="3" s="1"/>
  <c r="I1083" i="3"/>
  <c r="AL1083" i="3" s="1"/>
  <c r="AU1082" i="3"/>
  <c r="L1082" i="3"/>
  <c r="I1082" i="3"/>
  <c r="AK1079" i="3"/>
  <c r="AJ1079" i="3"/>
  <c r="AH1079" i="3"/>
  <c r="AE1079" i="3"/>
  <c r="AD1079" i="3"/>
  <c r="AC1079" i="3"/>
  <c r="AB1079" i="3"/>
  <c r="Z1079" i="3"/>
  <c r="L1079" i="3"/>
  <c r="BF1079" i="3" s="1"/>
  <c r="AK1077" i="3"/>
  <c r="AJ1077" i="3"/>
  <c r="AH1077" i="3"/>
  <c r="AE1077" i="3"/>
  <c r="AD1077" i="3"/>
  <c r="AC1077" i="3"/>
  <c r="AB1077" i="3"/>
  <c r="Z1077" i="3"/>
  <c r="L1077" i="3"/>
  <c r="BF1077" i="3" s="1"/>
  <c r="AK1075" i="3"/>
  <c r="AJ1075" i="3"/>
  <c r="AH1075" i="3"/>
  <c r="AE1075" i="3"/>
  <c r="AD1075" i="3"/>
  <c r="AC1075" i="3"/>
  <c r="AB1075" i="3"/>
  <c r="Z1075" i="3"/>
  <c r="L1075" i="3"/>
  <c r="BF1075" i="3" s="1"/>
  <c r="AK1073" i="3"/>
  <c r="AJ1073" i="3"/>
  <c r="AH1073" i="3"/>
  <c r="AE1073" i="3"/>
  <c r="AD1073" i="3"/>
  <c r="AC1073" i="3"/>
  <c r="AB1073" i="3"/>
  <c r="Z1073" i="3"/>
  <c r="L1073" i="3"/>
  <c r="BF1073" i="3" s="1"/>
  <c r="AK1071" i="3"/>
  <c r="AJ1071" i="3"/>
  <c r="AH1071" i="3"/>
  <c r="AE1071" i="3"/>
  <c r="AD1071" i="3"/>
  <c r="AC1071" i="3"/>
  <c r="AB1071" i="3"/>
  <c r="Z1071" i="3"/>
  <c r="L1071" i="3"/>
  <c r="BF1071" i="3" s="1"/>
  <c r="AK1069" i="3"/>
  <c r="AJ1069" i="3"/>
  <c r="AH1069" i="3"/>
  <c r="AE1069" i="3"/>
  <c r="AD1069" i="3"/>
  <c r="AC1069" i="3"/>
  <c r="AB1069" i="3"/>
  <c r="Z1069" i="3"/>
  <c r="L1069" i="3"/>
  <c r="BF1069" i="3" s="1"/>
  <c r="BJ1067" i="3"/>
  <c r="Z1067" i="3" s="1"/>
  <c r="BD1067" i="3"/>
  <c r="AP1067" i="3"/>
  <c r="AX1067" i="3" s="1"/>
  <c r="AO1067" i="3"/>
  <c r="BH1067" i="3" s="1"/>
  <c r="AK1067" i="3"/>
  <c r="AT1066" i="3" s="1"/>
  <c r="AJ1067" i="3"/>
  <c r="AS1066" i="3" s="1"/>
  <c r="AH1067" i="3"/>
  <c r="AG1067" i="3"/>
  <c r="AF1067" i="3"/>
  <c r="AE1067" i="3"/>
  <c r="AD1067" i="3"/>
  <c r="AC1067" i="3"/>
  <c r="AB1067" i="3"/>
  <c r="L1067" i="3"/>
  <c r="BF1067" i="3" s="1"/>
  <c r="I1067" i="3"/>
  <c r="AL1067" i="3" s="1"/>
  <c r="AU1066" i="3"/>
  <c r="L1066" i="3"/>
  <c r="I1066" i="3"/>
  <c r="BJ1034" i="3"/>
  <c r="BF1034" i="3"/>
  <c r="BD1034" i="3"/>
  <c r="AP1034" i="3"/>
  <c r="BI1034" i="3" s="1"/>
  <c r="AC1034" i="3" s="1"/>
  <c r="AO1034" i="3"/>
  <c r="BH1034" i="3" s="1"/>
  <c r="AB1034" i="3" s="1"/>
  <c r="AK1034" i="3"/>
  <c r="AT1033" i="3" s="1"/>
  <c r="AJ1034" i="3"/>
  <c r="AS1033" i="3" s="1"/>
  <c r="AH1034" i="3"/>
  <c r="AG1034" i="3"/>
  <c r="AF1034" i="3"/>
  <c r="AE1034" i="3"/>
  <c r="AD1034" i="3"/>
  <c r="Z1034" i="3"/>
  <c r="L1034" i="3"/>
  <c r="I1034" i="3"/>
  <c r="L1033" i="3"/>
  <c r="BJ1002" i="3"/>
  <c r="BD1002" i="3"/>
  <c r="AX1002" i="3"/>
  <c r="AP1002" i="3"/>
  <c r="BI1002" i="3" s="1"/>
  <c r="AO1002" i="3"/>
  <c r="AW1002" i="3" s="1"/>
  <c r="AK1002" i="3"/>
  <c r="AJ1002" i="3"/>
  <c r="AH1002" i="3"/>
  <c r="AG1002" i="3"/>
  <c r="AF1002" i="3"/>
  <c r="AE1002" i="3"/>
  <c r="AD1002" i="3"/>
  <c r="AC1002" i="3"/>
  <c r="Z1002" i="3"/>
  <c r="L1002" i="3"/>
  <c r="BF1002" i="3" s="1"/>
  <c r="I1002" i="3"/>
  <c r="AT1001" i="3"/>
  <c r="AS1001" i="3"/>
  <c r="L1001" i="3"/>
  <c r="BJ979" i="3"/>
  <c r="BI979" i="3"/>
  <c r="BH979" i="3"/>
  <c r="BD979" i="3"/>
  <c r="AX979" i="3"/>
  <c r="BC979" i="3" s="1"/>
  <c r="AP979" i="3"/>
  <c r="AO979" i="3"/>
  <c r="AW979" i="3" s="1"/>
  <c r="AK979" i="3"/>
  <c r="AJ979" i="3"/>
  <c r="AH979" i="3"/>
  <c r="AG979" i="3"/>
  <c r="AF979" i="3"/>
  <c r="AE979" i="3"/>
  <c r="AD979" i="3"/>
  <c r="AC979" i="3"/>
  <c r="AB979" i="3"/>
  <c r="Z979" i="3"/>
  <c r="L979" i="3"/>
  <c r="BF979" i="3" s="1"/>
  <c r="I979" i="3"/>
  <c r="AL979" i="3" s="1"/>
  <c r="BJ957" i="3"/>
  <c r="BI957" i="3"/>
  <c r="BH957" i="3"/>
  <c r="BD957" i="3"/>
  <c r="AX957" i="3"/>
  <c r="BC957" i="3" s="1"/>
  <c r="AP957" i="3"/>
  <c r="AO957" i="3"/>
  <c r="AW957" i="3" s="1"/>
  <c r="AK957" i="3"/>
  <c r="AJ957" i="3"/>
  <c r="AH957" i="3"/>
  <c r="AG957" i="3"/>
  <c r="AF957" i="3"/>
  <c r="AE957" i="3"/>
  <c r="AD957" i="3"/>
  <c r="AC957" i="3"/>
  <c r="AB957" i="3"/>
  <c r="Z957" i="3"/>
  <c r="L957" i="3"/>
  <c r="BF957" i="3" s="1"/>
  <c r="I957" i="3"/>
  <c r="AL957" i="3" s="1"/>
  <c r="BJ936" i="3"/>
  <c r="BI936" i="3"/>
  <c r="BH936" i="3"/>
  <c r="BD936" i="3"/>
  <c r="AX936" i="3"/>
  <c r="BC936" i="3" s="1"/>
  <c r="AP936" i="3"/>
  <c r="AO936" i="3"/>
  <c r="AW936" i="3" s="1"/>
  <c r="AK936" i="3"/>
  <c r="AJ936" i="3"/>
  <c r="AH936" i="3"/>
  <c r="AG936" i="3"/>
  <c r="AF936" i="3"/>
  <c r="AE936" i="3"/>
  <c r="AD936" i="3"/>
  <c r="AC936" i="3"/>
  <c r="AB936" i="3"/>
  <c r="Z936" i="3"/>
  <c r="L936" i="3"/>
  <c r="I936" i="3"/>
  <c r="AL936" i="3" s="1"/>
  <c r="AU935" i="3" s="1"/>
  <c r="AT935" i="3"/>
  <c r="AS935" i="3"/>
  <c r="I935" i="3"/>
  <c r="BJ933" i="3"/>
  <c r="BI933" i="3"/>
  <c r="AE933" i="3" s="1"/>
  <c r="BD933" i="3"/>
  <c r="AW933" i="3"/>
  <c r="AP933" i="3"/>
  <c r="AX933" i="3" s="1"/>
  <c r="AO933" i="3"/>
  <c r="BH933" i="3" s="1"/>
  <c r="AD933" i="3" s="1"/>
  <c r="AK933" i="3"/>
  <c r="AJ933" i="3"/>
  <c r="AS932" i="3" s="1"/>
  <c r="AH933" i="3"/>
  <c r="AG933" i="3"/>
  <c r="AF933" i="3"/>
  <c r="AC933" i="3"/>
  <c r="AB933" i="3"/>
  <c r="Z933" i="3"/>
  <c r="L933" i="3"/>
  <c r="BF933" i="3" s="1"/>
  <c r="I933" i="3"/>
  <c r="AL933" i="3" s="1"/>
  <c r="AU932" i="3" s="1"/>
  <c r="AT932" i="3"/>
  <c r="L932" i="3"/>
  <c r="I932" i="3"/>
  <c r="BJ931" i="3"/>
  <c r="Z931" i="3" s="1"/>
  <c r="BF931" i="3"/>
  <c r="BD931" i="3"/>
  <c r="AX931" i="3"/>
  <c r="AW931" i="3"/>
  <c r="BC931" i="3" s="1"/>
  <c r="AP931" i="3"/>
  <c r="BI931" i="3" s="1"/>
  <c r="AO931" i="3"/>
  <c r="BH931" i="3" s="1"/>
  <c r="AK931" i="3"/>
  <c r="AJ931" i="3"/>
  <c r="AH931" i="3"/>
  <c r="AG931" i="3"/>
  <c r="AF931" i="3"/>
  <c r="AE931" i="3"/>
  <c r="AD931" i="3"/>
  <c r="AC931" i="3"/>
  <c r="AB931" i="3"/>
  <c r="L931" i="3"/>
  <c r="I931" i="3"/>
  <c r="AL931" i="3" s="1"/>
  <c r="BJ912" i="3"/>
  <c r="BF912" i="3"/>
  <c r="BD912" i="3"/>
  <c r="AX912" i="3"/>
  <c r="AW912" i="3"/>
  <c r="BC912" i="3" s="1"/>
  <c r="AP912" i="3"/>
  <c r="BI912" i="3" s="1"/>
  <c r="AE912" i="3" s="1"/>
  <c r="AO912" i="3"/>
  <c r="BH912" i="3" s="1"/>
  <c r="AD912" i="3" s="1"/>
  <c r="AK912" i="3"/>
  <c r="AJ912" i="3"/>
  <c r="AH912" i="3"/>
  <c r="AG912" i="3"/>
  <c r="AF912" i="3"/>
  <c r="AC912" i="3"/>
  <c r="AB912" i="3"/>
  <c r="Z912" i="3"/>
  <c r="L912" i="3"/>
  <c r="I912" i="3"/>
  <c r="AL912" i="3" s="1"/>
  <c r="BJ899" i="3"/>
  <c r="BF899" i="3"/>
  <c r="BD899" i="3"/>
  <c r="AX899" i="3"/>
  <c r="AW899" i="3"/>
  <c r="AP899" i="3"/>
  <c r="BI899" i="3" s="1"/>
  <c r="AE899" i="3" s="1"/>
  <c r="AO899" i="3"/>
  <c r="BH899" i="3" s="1"/>
  <c r="AD899" i="3" s="1"/>
  <c r="AL899" i="3"/>
  <c r="AK899" i="3"/>
  <c r="AJ899" i="3"/>
  <c r="AH899" i="3"/>
  <c r="AG899" i="3"/>
  <c r="AF899" i="3"/>
  <c r="AC899" i="3"/>
  <c r="AB899" i="3"/>
  <c r="Z899" i="3"/>
  <c r="L899" i="3"/>
  <c r="I899" i="3"/>
  <c r="BJ873" i="3"/>
  <c r="BF873" i="3"/>
  <c r="BD873" i="3"/>
  <c r="AX873" i="3"/>
  <c r="AW873" i="3"/>
  <c r="AP873" i="3"/>
  <c r="BI873" i="3" s="1"/>
  <c r="AE873" i="3" s="1"/>
  <c r="AO873" i="3"/>
  <c r="BH873" i="3" s="1"/>
  <c r="AD873" i="3" s="1"/>
  <c r="AL873" i="3"/>
  <c r="AK873" i="3"/>
  <c r="AJ873" i="3"/>
  <c r="AH873" i="3"/>
  <c r="AG873" i="3"/>
  <c r="AF873" i="3"/>
  <c r="AC873" i="3"/>
  <c r="AB873" i="3"/>
  <c r="Z873" i="3"/>
  <c r="L873" i="3"/>
  <c r="I873" i="3"/>
  <c r="BJ859" i="3"/>
  <c r="BF859" i="3"/>
  <c r="BD859" i="3"/>
  <c r="AX859" i="3"/>
  <c r="AW859" i="3"/>
  <c r="BC859" i="3" s="1"/>
  <c r="AV859" i="3"/>
  <c r="AP859" i="3"/>
  <c r="BI859" i="3" s="1"/>
  <c r="AE859" i="3" s="1"/>
  <c r="AO859" i="3"/>
  <c r="BH859" i="3" s="1"/>
  <c r="AD859" i="3" s="1"/>
  <c r="AK859" i="3"/>
  <c r="AJ859" i="3"/>
  <c r="AH859" i="3"/>
  <c r="AG859" i="3"/>
  <c r="AF859" i="3"/>
  <c r="AC859" i="3"/>
  <c r="AB859" i="3"/>
  <c r="Z859" i="3"/>
  <c r="L859" i="3"/>
  <c r="I859" i="3"/>
  <c r="AL859" i="3" s="1"/>
  <c r="BJ845" i="3"/>
  <c r="BF845" i="3"/>
  <c r="BD845" i="3"/>
  <c r="AW845" i="3"/>
  <c r="AP845" i="3"/>
  <c r="BI845" i="3" s="1"/>
  <c r="AE845" i="3" s="1"/>
  <c r="AO845" i="3"/>
  <c r="BH845" i="3" s="1"/>
  <c r="AD845" i="3" s="1"/>
  <c r="AL845" i="3"/>
  <c r="AK845" i="3"/>
  <c r="AJ845" i="3"/>
  <c r="AH845" i="3"/>
  <c r="AG845" i="3"/>
  <c r="AF845" i="3"/>
  <c r="AC845" i="3"/>
  <c r="AB845" i="3"/>
  <c r="Z845" i="3"/>
  <c r="L845" i="3"/>
  <c r="I845" i="3"/>
  <c r="BJ841" i="3"/>
  <c r="BF841" i="3"/>
  <c r="BD841" i="3"/>
  <c r="AW841" i="3"/>
  <c r="AP841" i="3"/>
  <c r="AO841" i="3"/>
  <c r="BH841" i="3" s="1"/>
  <c r="AK841" i="3"/>
  <c r="AJ841" i="3"/>
  <c r="AH841" i="3"/>
  <c r="AG841" i="3"/>
  <c r="AF841" i="3"/>
  <c r="AD841" i="3"/>
  <c r="AC841" i="3"/>
  <c r="AB841" i="3"/>
  <c r="Z841" i="3"/>
  <c r="L841" i="3"/>
  <c r="I841" i="3"/>
  <c r="AL841" i="3" s="1"/>
  <c r="BJ822" i="3"/>
  <c r="BF822" i="3"/>
  <c r="BD822" i="3"/>
  <c r="AW822" i="3"/>
  <c r="AP822" i="3"/>
  <c r="BI822" i="3" s="1"/>
  <c r="AE822" i="3" s="1"/>
  <c r="AO822" i="3"/>
  <c r="BH822" i="3" s="1"/>
  <c r="AD822" i="3" s="1"/>
  <c r="AL822" i="3"/>
  <c r="AK822" i="3"/>
  <c r="AJ822" i="3"/>
  <c r="AH822" i="3"/>
  <c r="AG822" i="3"/>
  <c r="AF822" i="3"/>
  <c r="AC822" i="3"/>
  <c r="AB822" i="3"/>
  <c r="Z822" i="3"/>
  <c r="L822" i="3"/>
  <c r="I822" i="3"/>
  <c r="BJ803" i="3"/>
  <c r="BF803" i="3"/>
  <c r="BD803" i="3"/>
  <c r="AW803" i="3"/>
  <c r="AP803" i="3"/>
  <c r="BI803" i="3" s="1"/>
  <c r="AE803" i="3" s="1"/>
  <c r="AO803" i="3"/>
  <c r="BH803" i="3" s="1"/>
  <c r="AD803" i="3" s="1"/>
  <c r="AK803" i="3"/>
  <c r="AT802" i="3" s="1"/>
  <c r="AJ803" i="3"/>
  <c r="AH803" i="3"/>
  <c r="AG803" i="3"/>
  <c r="AF803" i="3"/>
  <c r="AC803" i="3"/>
  <c r="AB803" i="3"/>
  <c r="Z803" i="3"/>
  <c r="L803" i="3"/>
  <c r="I803" i="3"/>
  <c r="AL803" i="3" s="1"/>
  <c r="AU802" i="3" s="1"/>
  <c r="AS802" i="3"/>
  <c r="L802" i="3"/>
  <c r="BJ801" i="3"/>
  <c r="BD801" i="3"/>
  <c r="AX801" i="3"/>
  <c r="AP801" i="3"/>
  <c r="BI801" i="3" s="1"/>
  <c r="AO801" i="3"/>
  <c r="AK801" i="3"/>
  <c r="AJ801" i="3"/>
  <c r="AH801" i="3"/>
  <c r="AG801" i="3"/>
  <c r="AF801" i="3"/>
  <c r="AE801" i="3"/>
  <c r="AD801" i="3"/>
  <c r="AC801" i="3"/>
  <c r="AB801" i="3"/>
  <c r="Z801" i="3"/>
  <c r="L801" i="3"/>
  <c r="BF801" i="3" s="1"/>
  <c r="I801" i="3"/>
  <c r="AL801" i="3" s="1"/>
  <c r="BJ787" i="3"/>
  <c r="BH787" i="3"/>
  <c r="BF787" i="3"/>
  <c r="BD787" i="3"/>
  <c r="AX787" i="3"/>
  <c r="AW787" i="3"/>
  <c r="AP787" i="3"/>
  <c r="BI787" i="3" s="1"/>
  <c r="AE787" i="3" s="1"/>
  <c r="AO787" i="3"/>
  <c r="AK787" i="3"/>
  <c r="AJ787" i="3"/>
  <c r="AH787" i="3"/>
  <c r="AG787" i="3"/>
  <c r="AF787" i="3"/>
  <c r="AD787" i="3"/>
  <c r="AC787" i="3"/>
  <c r="AB787" i="3"/>
  <c r="Z787" i="3"/>
  <c r="L787" i="3"/>
  <c r="I787" i="3"/>
  <c r="AL787" i="3" s="1"/>
  <c r="BJ783" i="3"/>
  <c r="BH783" i="3"/>
  <c r="BF783" i="3"/>
  <c r="BD783" i="3"/>
  <c r="AX783" i="3"/>
  <c r="AW783" i="3"/>
  <c r="AP783" i="3"/>
  <c r="BI783" i="3" s="1"/>
  <c r="AE783" i="3" s="1"/>
  <c r="AO783" i="3"/>
  <c r="AK783" i="3"/>
  <c r="AJ783" i="3"/>
  <c r="AH783" i="3"/>
  <c r="AG783" i="3"/>
  <c r="AF783" i="3"/>
  <c r="AD783" i="3"/>
  <c r="AC783" i="3"/>
  <c r="AB783" i="3"/>
  <c r="Z783" i="3"/>
  <c r="L783" i="3"/>
  <c r="L768" i="3" s="1"/>
  <c r="I783" i="3"/>
  <c r="AL783" i="3" s="1"/>
  <c r="BJ769" i="3"/>
  <c r="BH769" i="3"/>
  <c r="BF769" i="3"/>
  <c r="BD769" i="3"/>
  <c r="AX769" i="3"/>
  <c r="AW769" i="3"/>
  <c r="AP769" i="3"/>
  <c r="BI769" i="3" s="1"/>
  <c r="AE769" i="3" s="1"/>
  <c r="AO769" i="3"/>
  <c r="AK769" i="3"/>
  <c r="AJ769" i="3"/>
  <c r="AH769" i="3"/>
  <c r="AG769" i="3"/>
  <c r="AF769" i="3"/>
  <c r="AD769" i="3"/>
  <c r="AC769" i="3"/>
  <c r="AB769" i="3"/>
  <c r="Z769" i="3"/>
  <c r="L769" i="3"/>
  <c r="I769" i="3"/>
  <c r="I768" i="3" s="1"/>
  <c r="AT768" i="3"/>
  <c r="AS768" i="3"/>
  <c r="BJ767" i="3"/>
  <c r="BH767" i="3"/>
  <c r="BD767" i="3"/>
  <c r="AP767" i="3"/>
  <c r="AO767" i="3"/>
  <c r="AW767" i="3" s="1"/>
  <c r="AK767" i="3"/>
  <c r="AJ767" i="3"/>
  <c r="AH767" i="3"/>
  <c r="AG767" i="3"/>
  <c r="AF767" i="3"/>
  <c r="AE767" i="3"/>
  <c r="AD767" i="3"/>
  <c r="AC767" i="3"/>
  <c r="AB767" i="3"/>
  <c r="Z767" i="3"/>
  <c r="L767" i="3"/>
  <c r="BF767" i="3" s="1"/>
  <c r="I767" i="3"/>
  <c r="AL767" i="3" s="1"/>
  <c r="BJ757" i="3"/>
  <c r="BH757" i="3"/>
  <c r="AD757" i="3" s="1"/>
  <c r="BD757" i="3"/>
  <c r="AP757" i="3"/>
  <c r="AO757" i="3"/>
  <c r="AW757" i="3" s="1"/>
  <c r="AK757" i="3"/>
  <c r="AJ757" i="3"/>
  <c r="AH757" i="3"/>
  <c r="AG757" i="3"/>
  <c r="AF757" i="3"/>
  <c r="AC757" i="3"/>
  <c r="AB757" i="3"/>
  <c r="Z757" i="3"/>
  <c r="L757" i="3"/>
  <c r="BF757" i="3" s="1"/>
  <c r="I757" i="3"/>
  <c r="AL757" i="3" s="1"/>
  <c r="BJ738" i="3"/>
  <c r="BH738" i="3"/>
  <c r="AD738" i="3" s="1"/>
  <c r="BD738" i="3"/>
  <c r="AP738" i="3"/>
  <c r="AO738" i="3"/>
  <c r="AW738" i="3" s="1"/>
  <c r="AK738" i="3"/>
  <c r="AJ738" i="3"/>
  <c r="AH738" i="3"/>
  <c r="AG738" i="3"/>
  <c r="AF738" i="3"/>
  <c r="AC738" i="3"/>
  <c r="AB738" i="3"/>
  <c r="Z738" i="3"/>
  <c r="L738" i="3"/>
  <c r="BF738" i="3" s="1"/>
  <c r="I738" i="3"/>
  <c r="AL738" i="3" s="1"/>
  <c r="BJ720" i="3"/>
  <c r="BH720" i="3"/>
  <c r="AD720" i="3" s="1"/>
  <c r="BD720" i="3"/>
  <c r="AP720" i="3"/>
  <c r="AO720" i="3"/>
  <c r="AW720" i="3" s="1"/>
  <c r="AK720" i="3"/>
  <c r="AJ720" i="3"/>
  <c r="AH720" i="3"/>
  <c r="AG720" i="3"/>
  <c r="AF720" i="3"/>
  <c r="AC720" i="3"/>
  <c r="AB720" i="3"/>
  <c r="Z720" i="3"/>
  <c r="L720" i="3"/>
  <c r="BF720" i="3" s="1"/>
  <c r="I720" i="3"/>
  <c r="AL720" i="3" s="1"/>
  <c r="BJ716" i="3"/>
  <c r="BH716" i="3"/>
  <c r="AD716" i="3" s="1"/>
  <c r="BD716" i="3"/>
  <c r="AP716" i="3"/>
  <c r="AO716" i="3"/>
  <c r="AW716" i="3" s="1"/>
  <c r="AK716" i="3"/>
  <c r="AJ716" i="3"/>
  <c r="AH716" i="3"/>
  <c r="AG716" i="3"/>
  <c r="AF716" i="3"/>
  <c r="AC716" i="3"/>
  <c r="AB716" i="3"/>
  <c r="Z716" i="3"/>
  <c r="L716" i="3"/>
  <c r="BF716" i="3" s="1"/>
  <c r="I716" i="3"/>
  <c r="AL716" i="3" s="1"/>
  <c r="BJ697" i="3"/>
  <c r="BH697" i="3"/>
  <c r="AD697" i="3" s="1"/>
  <c r="BD697" i="3"/>
  <c r="AP697" i="3"/>
  <c r="AO697" i="3"/>
  <c r="AW697" i="3" s="1"/>
  <c r="AK697" i="3"/>
  <c r="AJ697" i="3"/>
  <c r="AH697" i="3"/>
  <c r="AG697" i="3"/>
  <c r="AF697" i="3"/>
  <c r="AC697" i="3"/>
  <c r="AB697" i="3"/>
  <c r="Z697" i="3"/>
  <c r="L697" i="3"/>
  <c r="BF697" i="3" s="1"/>
  <c r="I697" i="3"/>
  <c r="AL697" i="3" s="1"/>
  <c r="BJ678" i="3"/>
  <c r="BH678" i="3"/>
  <c r="AD678" i="3" s="1"/>
  <c r="BD678" i="3"/>
  <c r="AP678" i="3"/>
  <c r="AO678" i="3"/>
  <c r="AW678" i="3" s="1"/>
  <c r="AK678" i="3"/>
  <c r="AJ678" i="3"/>
  <c r="AH678" i="3"/>
  <c r="AG678" i="3"/>
  <c r="AF678" i="3"/>
  <c r="AC678" i="3"/>
  <c r="AB678" i="3"/>
  <c r="Z678" i="3"/>
  <c r="L678" i="3"/>
  <c r="I678" i="3"/>
  <c r="AL678" i="3" s="1"/>
  <c r="AU677" i="3" s="1"/>
  <c r="AT677" i="3"/>
  <c r="AS677" i="3"/>
  <c r="I677" i="3"/>
  <c r="BJ676" i="3"/>
  <c r="Z676" i="3" s="1"/>
  <c r="BF676" i="3"/>
  <c r="BD676" i="3"/>
  <c r="AW676" i="3"/>
  <c r="AP676" i="3"/>
  <c r="AO676" i="3"/>
  <c r="BH676" i="3" s="1"/>
  <c r="AK676" i="3"/>
  <c r="AJ676" i="3"/>
  <c r="AH676" i="3"/>
  <c r="AG676" i="3"/>
  <c r="AF676" i="3"/>
  <c r="AE676" i="3"/>
  <c r="AD676" i="3"/>
  <c r="AC676" i="3"/>
  <c r="AB676" i="3"/>
  <c r="L676" i="3"/>
  <c r="I676" i="3"/>
  <c r="AL676" i="3" s="1"/>
  <c r="AU639" i="3" s="1"/>
  <c r="BJ673" i="3"/>
  <c r="BF673" i="3"/>
  <c r="BD673" i="3"/>
  <c r="AW673" i="3"/>
  <c r="AP673" i="3"/>
  <c r="AO673" i="3"/>
  <c r="BH673" i="3" s="1"/>
  <c r="AD673" i="3" s="1"/>
  <c r="AK673" i="3"/>
  <c r="AJ673" i="3"/>
  <c r="AH673" i="3"/>
  <c r="AG673" i="3"/>
  <c r="AF673" i="3"/>
  <c r="AC673" i="3"/>
  <c r="AB673" i="3"/>
  <c r="Z673" i="3"/>
  <c r="L673" i="3"/>
  <c r="I673" i="3"/>
  <c r="AL673" i="3" s="1"/>
  <c r="BJ671" i="3"/>
  <c r="BD671" i="3"/>
  <c r="AW671" i="3"/>
  <c r="AP671" i="3"/>
  <c r="AO671" i="3"/>
  <c r="BH671" i="3" s="1"/>
  <c r="AD671" i="3" s="1"/>
  <c r="AK671" i="3"/>
  <c r="AJ671" i="3"/>
  <c r="AH671" i="3"/>
  <c r="AG671" i="3"/>
  <c r="AF671" i="3"/>
  <c r="AC671" i="3"/>
  <c r="AB671" i="3"/>
  <c r="Z671" i="3"/>
  <c r="L671" i="3"/>
  <c r="BF671" i="3" s="1"/>
  <c r="I671" i="3"/>
  <c r="AL671" i="3" s="1"/>
  <c r="BJ640" i="3"/>
  <c r="BI640" i="3"/>
  <c r="BD640" i="3"/>
  <c r="BC640" i="3"/>
  <c r="AW640" i="3"/>
  <c r="AV640" i="3"/>
  <c r="AP640" i="3"/>
  <c r="AX640" i="3" s="1"/>
  <c r="AO640" i="3"/>
  <c r="BH640" i="3" s="1"/>
  <c r="AD640" i="3" s="1"/>
  <c r="AK640" i="3"/>
  <c r="AJ640" i="3"/>
  <c r="AH640" i="3"/>
  <c r="AG640" i="3"/>
  <c r="AF640" i="3"/>
  <c r="AE640" i="3"/>
  <c r="AC640" i="3"/>
  <c r="AB640" i="3"/>
  <c r="Z640" i="3"/>
  <c r="L640" i="3"/>
  <c r="BF640" i="3" s="1"/>
  <c r="I640" i="3"/>
  <c r="AL640" i="3" s="1"/>
  <c r="AT639" i="3"/>
  <c r="L639" i="3"/>
  <c r="I639" i="3"/>
  <c r="BJ638" i="3"/>
  <c r="Z638" i="3" s="1"/>
  <c r="BF638" i="3"/>
  <c r="BD638" i="3"/>
  <c r="AX638" i="3"/>
  <c r="AW638" i="3"/>
  <c r="BC638" i="3" s="1"/>
  <c r="AV638" i="3"/>
  <c r="AP638" i="3"/>
  <c r="BI638" i="3" s="1"/>
  <c r="AO638" i="3"/>
  <c r="BH638" i="3" s="1"/>
  <c r="AL638" i="3"/>
  <c r="AK638" i="3"/>
  <c r="AJ638" i="3"/>
  <c r="AH638" i="3"/>
  <c r="AG638" i="3"/>
  <c r="AF638" i="3"/>
  <c r="AE638" i="3"/>
  <c r="AD638" i="3"/>
  <c r="AC638" i="3"/>
  <c r="AB638" i="3"/>
  <c r="L638" i="3"/>
  <c r="I638" i="3"/>
  <c r="BJ636" i="3"/>
  <c r="BF636" i="3"/>
  <c r="BD636" i="3"/>
  <c r="AX636" i="3"/>
  <c r="AW636" i="3"/>
  <c r="BC636" i="3" s="1"/>
  <c r="AV636" i="3"/>
  <c r="AP636" i="3"/>
  <c r="BI636" i="3" s="1"/>
  <c r="AE636" i="3" s="1"/>
  <c r="AO636" i="3"/>
  <c r="BH636" i="3" s="1"/>
  <c r="AD636" i="3" s="1"/>
  <c r="AL636" i="3"/>
  <c r="AK636" i="3"/>
  <c r="AJ636" i="3"/>
  <c r="AH636" i="3"/>
  <c r="AG636" i="3"/>
  <c r="AF636" i="3"/>
  <c r="AC636" i="3"/>
  <c r="AB636" i="3"/>
  <c r="Z636" i="3"/>
  <c r="L636" i="3"/>
  <c r="I636" i="3"/>
  <c r="BJ634" i="3"/>
  <c r="BF634" i="3"/>
  <c r="BD634" i="3"/>
  <c r="AX634" i="3"/>
  <c r="AW634" i="3"/>
  <c r="BC634" i="3" s="1"/>
  <c r="AV634" i="3"/>
  <c r="AP634" i="3"/>
  <c r="BI634" i="3" s="1"/>
  <c r="AE634" i="3" s="1"/>
  <c r="AO634" i="3"/>
  <c r="BH634" i="3" s="1"/>
  <c r="AD634" i="3" s="1"/>
  <c r="AK634" i="3"/>
  <c r="AJ634" i="3"/>
  <c r="AH634" i="3"/>
  <c r="AG634" i="3"/>
  <c r="AF634" i="3"/>
  <c r="AC634" i="3"/>
  <c r="AB634" i="3"/>
  <c r="Z634" i="3"/>
  <c r="L634" i="3"/>
  <c r="I634" i="3"/>
  <c r="AL634" i="3" s="1"/>
  <c r="BJ632" i="3"/>
  <c r="BF632" i="3"/>
  <c r="BD632" i="3"/>
  <c r="AX632" i="3"/>
  <c r="AW632" i="3"/>
  <c r="BC632" i="3" s="1"/>
  <c r="AP632" i="3"/>
  <c r="BI632" i="3" s="1"/>
  <c r="AE632" i="3" s="1"/>
  <c r="AO632" i="3"/>
  <c r="BH632" i="3" s="1"/>
  <c r="AD632" i="3" s="1"/>
  <c r="AK632" i="3"/>
  <c r="AJ632" i="3"/>
  <c r="AH632" i="3"/>
  <c r="AG632" i="3"/>
  <c r="AF632" i="3"/>
  <c r="AC632" i="3"/>
  <c r="AB632" i="3"/>
  <c r="Z632" i="3"/>
  <c r="L632" i="3"/>
  <c r="I632" i="3"/>
  <c r="AL632" i="3" s="1"/>
  <c r="BJ630" i="3"/>
  <c r="BF630" i="3"/>
  <c r="BD630" i="3"/>
  <c r="AX630" i="3"/>
  <c r="AW630" i="3"/>
  <c r="AP630" i="3"/>
  <c r="BI630" i="3" s="1"/>
  <c r="AE630" i="3" s="1"/>
  <c r="AO630" i="3"/>
  <c r="BH630" i="3" s="1"/>
  <c r="AD630" i="3" s="1"/>
  <c r="AL630" i="3"/>
  <c r="AK630" i="3"/>
  <c r="AJ630" i="3"/>
  <c r="AH630" i="3"/>
  <c r="AG630" i="3"/>
  <c r="AF630" i="3"/>
  <c r="AC630" i="3"/>
  <c r="AB630" i="3"/>
  <c r="Z630" i="3"/>
  <c r="L630" i="3"/>
  <c r="I630" i="3"/>
  <c r="BJ628" i="3"/>
  <c r="BF628" i="3"/>
  <c r="BD628" i="3"/>
  <c r="AX628" i="3"/>
  <c r="AW628" i="3"/>
  <c r="BC628" i="3" s="1"/>
  <c r="AV628" i="3"/>
  <c r="AP628" i="3"/>
  <c r="BI628" i="3" s="1"/>
  <c r="AE628" i="3" s="1"/>
  <c r="AO628" i="3"/>
  <c r="BH628" i="3" s="1"/>
  <c r="AD628" i="3" s="1"/>
  <c r="AL628" i="3"/>
  <c r="AK628" i="3"/>
  <c r="AJ628" i="3"/>
  <c r="AH628" i="3"/>
  <c r="AG628" i="3"/>
  <c r="AF628" i="3"/>
  <c r="AC628" i="3"/>
  <c r="AB628" i="3"/>
  <c r="Z628" i="3"/>
  <c r="L628" i="3"/>
  <c r="I628" i="3"/>
  <c r="BJ626" i="3"/>
  <c r="BF626" i="3"/>
  <c r="BD626" i="3"/>
  <c r="AX626" i="3"/>
  <c r="AW626" i="3"/>
  <c r="BC626" i="3" s="1"/>
  <c r="AV626" i="3"/>
  <c r="AP626" i="3"/>
  <c r="BI626" i="3" s="1"/>
  <c r="AE626" i="3" s="1"/>
  <c r="AO626" i="3"/>
  <c r="BH626" i="3" s="1"/>
  <c r="AD626" i="3" s="1"/>
  <c r="AK626" i="3"/>
  <c r="AJ626" i="3"/>
  <c r="AH626" i="3"/>
  <c r="AG626" i="3"/>
  <c r="AF626" i="3"/>
  <c r="AC626" i="3"/>
  <c r="AB626" i="3"/>
  <c r="Z626" i="3"/>
  <c r="L626" i="3"/>
  <c r="I626" i="3"/>
  <c r="AL626" i="3" s="1"/>
  <c r="BJ623" i="3"/>
  <c r="BF623" i="3"/>
  <c r="BD623" i="3"/>
  <c r="AX623" i="3"/>
  <c r="AW623" i="3"/>
  <c r="BC623" i="3" s="1"/>
  <c r="AV623" i="3"/>
  <c r="AP623" i="3"/>
  <c r="BI623" i="3" s="1"/>
  <c r="AE623" i="3" s="1"/>
  <c r="AO623" i="3"/>
  <c r="BH623" i="3" s="1"/>
  <c r="AD623" i="3" s="1"/>
  <c r="AK623" i="3"/>
  <c r="AJ623" i="3"/>
  <c r="AH623" i="3"/>
  <c r="AG623" i="3"/>
  <c r="AF623" i="3"/>
  <c r="AC623" i="3"/>
  <c r="AB623" i="3"/>
  <c r="Z623" i="3"/>
  <c r="L623" i="3"/>
  <c r="I623" i="3"/>
  <c r="AL623" i="3" s="1"/>
  <c r="BJ621" i="3"/>
  <c r="BF621" i="3"/>
  <c r="BD621" i="3"/>
  <c r="AX621" i="3"/>
  <c r="AW621" i="3"/>
  <c r="AP621" i="3"/>
  <c r="BI621" i="3" s="1"/>
  <c r="AE621" i="3" s="1"/>
  <c r="AO621" i="3"/>
  <c r="BH621" i="3" s="1"/>
  <c r="AD621" i="3" s="1"/>
  <c r="AL621" i="3"/>
  <c r="AK621" i="3"/>
  <c r="AJ621" i="3"/>
  <c r="AH621" i="3"/>
  <c r="AG621" i="3"/>
  <c r="AF621" i="3"/>
  <c r="AC621" i="3"/>
  <c r="AB621" i="3"/>
  <c r="Z621" i="3"/>
  <c r="L621" i="3"/>
  <c r="I621" i="3"/>
  <c r="BJ618" i="3"/>
  <c r="BF618" i="3"/>
  <c r="BD618" i="3"/>
  <c r="AX618" i="3"/>
  <c r="AW618" i="3"/>
  <c r="BC618" i="3" s="1"/>
  <c r="AV618" i="3"/>
  <c r="AP618" i="3"/>
  <c r="BI618" i="3" s="1"/>
  <c r="AE618" i="3" s="1"/>
  <c r="AO618" i="3"/>
  <c r="BH618" i="3" s="1"/>
  <c r="AD618" i="3" s="1"/>
  <c r="AL618" i="3"/>
  <c r="AK618" i="3"/>
  <c r="AJ618" i="3"/>
  <c r="AH618" i="3"/>
  <c r="AG618" i="3"/>
  <c r="AF618" i="3"/>
  <c r="AC618" i="3"/>
  <c r="AB618" i="3"/>
  <c r="Z618" i="3"/>
  <c r="L618" i="3"/>
  <c r="I618" i="3"/>
  <c r="BJ616" i="3"/>
  <c r="BF616" i="3"/>
  <c r="BD616" i="3"/>
  <c r="AX616" i="3"/>
  <c r="AW616" i="3"/>
  <c r="BC616" i="3" s="1"/>
  <c r="AV616" i="3"/>
  <c r="AP616" i="3"/>
  <c r="BI616" i="3" s="1"/>
  <c r="AE616" i="3" s="1"/>
  <c r="AO616" i="3"/>
  <c r="BH616" i="3" s="1"/>
  <c r="AD616" i="3" s="1"/>
  <c r="AK616" i="3"/>
  <c r="AJ616" i="3"/>
  <c r="AH616" i="3"/>
  <c r="AG616" i="3"/>
  <c r="AF616" i="3"/>
  <c r="AC616" i="3"/>
  <c r="AB616" i="3"/>
  <c r="Z616" i="3"/>
  <c r="L616" i="3"/>
  <c r="I616" i="3"/>
  <c r="AL616" i="3" s="1"/>
  <c r="BJ615" i="3"/>
  <c r="BF615" i="3"/>
  <c r="BD615" i="3"/>
  <c r="AW615" i="3"/>
  <c r="AP615" i="3"/>
  <c r="BI615" i="3" s="1"/>
  <c r="AE615" i="3" s="1"/>
  <c r="AO615" i="3"/>
  <c r="BH615" i="3" s="1"/>
  <c r="AD615" i="3" s="1"/>
  <c r="AL615" i="3"/>
  <c r="AK615" i="3"/>
  <c r="AJ615" i="3"/>
  <c r="AH615" i="3"/>
  <c r="AG615" i="3"/>
  <c r="AF615" i="3"/>
  <c r="AC615" i="3"/>
  <c r="AB615" i="3"/>
  <c r="Z615" i="3"/>
  <c r="L615" i="3"/>
  <c r="I615" i="3"/>
  <c r="BJ613" i="3"/>
  <c r="BF613" i="3"/>
  <c r="BD613" i="3"/>
  <c r="AW613" i="3"/>
  <c r="AP613" i="3"/>
  <c r="BI613" i="3" s="1"/>
  <c r="AE613" i="3" s="1"/>
  <c r="AO613" i="3"/>
  <c r="BH613" i="3" s="1"/>
  <c r="AD613" i="3" s="1"/>
  <c r="AK613" i="3"/>
  <c r="AJ613" i="3"/>
  <c r="AH613" i="3"/>
  <c r="AG613" i="3"/>
  <c r="AF613" i="3"/>
  <c r="AC613" i="3"/>
  <c r="AB613" i="3"/>
  <c r="Z613" i="3"/>
  <c r="L613" i="3"/>
  <c r="I613" i="3"/>
  <c r="AL613" i="3" s="1"/>
  <c r="BJ610" i="3"/>
  <c r="BF610" i="3"/>
  <c r="BD610" i="3"/>
  <c r="AW610" i="3"/>
  <c r="AP610" i="3"/>
  <c r="BI610" i="3" s="1"/>
  <c r="AE610" i="3" s="1"/>
  <c r="AO610" i="3"/>
  <c r="BH610" i="3" s="1"/>
  <c r="AD610" i="3" s="1"/>
  <c r="AL610" i="3"/>
  <c r="AK610" i="3"/>
  <c r="AJ610" i="3"/>
  <c r="AH610" i="3"/>
  <c r="AG610" i="3"/>
  <c r="AF610" i="3"/>
  <c r="AC610" i="3"/>
  <c r="AB610" i="3"/>
  <c r="Z610" i="3"/>
  <c r="L610" i="3"/>
  <c r="I610" i="3"/>
  <c r="BJ608" i="3"/>
  <c r="BF608" i="3"/>
  <c r="BD608" i="3"/>
  <c r="AW608" i="3"/>
  <c r="AP608" i="3"/>
  <c r="BI608" i="3" s="1"/>
  <c r="AE608" i="3" s="1"/>
  <c r="AO608" i="3"/>
  <c r="BH608" i="3" s="1"/>
  <c r="AD608" i="3" s="1"/>
  <c r="AK608" i="3"/>
  <c r="AJ608" i="3"/>
  <c r="AH608" i="3"/>
  <c r="AG608" i="3"/>
  <c r="AF608" i="3"/>
  <c r="AC608" i="3"/>
  <c r="AB608" i="3"/>
  <c r="Z608" i="3"/>
  <c r="L608" i="3"/>
  <c r="I608" i="3"/>
  <c r="AL608" i="3" s="1"/>
  <c r="BJ606" i="3"/>
  <c r="BF606" i="3"/>
  <c r="BD606" i="3"/>
  <c r="AW606" i="3"/>
  <c r="AP606" i="3"/>
  <c r="BI606" i="3" s="1"/>
  <c r="AE606" i="3" s="1"/>
  <c r="AO606" i="3"/>
  <c r="BH606" i="3" s="1"/>
  <c r="AD606" i="3" s="1"/>
  <c r="AL606" i="3"/>
  <c r="AK606" i="3"/>
  <c r="AJ606" i="3"/>
  <c r="AH606" i="3"/>
  <c r="AG606" i="3"/>
  <c r="AF606" i="3"/>
  <c r="AC606" i="3"/>
  <c r="AB606" i="3"/>
  <c r="Z606" i="3"/>
  <c r="L606" i="3"/>
  <c r="I606" i="3"/>
  <c r="BJ603" i="3"/>
  <c r="BF603" i="3"/>
  <c r="BD603" i="3"/>
  <c r="AW603" i="3"/>
  <c r="AP603" i="3"/>
  <c r="BI603" i="3" s="1"/>
  <c r="AE603" i="3" s="1"/>
  <c r="AO603" i="3"/>
  <c r="BH603" i="3" s="1"/>
  <c r="AD603" i="3" s="1"/>
  <c r="AK603" i="3"/>
  <c r="AT585" i="3" s="1"/>
  <c r="AJ603" i="3"/>
  <c r="AH603" i="3"/>
  <c r="AG603" i="3"/>
  <c r="AF603" i="3"/>
  <c r="AC603" i="3"/>
  <c r="AB603" i="3"/>
  <c r="Z603" i="3"/>
  <c r="L603" i="3"/>
  <c r="I603" i="3"/>
  <c r="BJ600" i="3"/>
  <c r="BF600" i="3"/>
  <c r="BD600" i="3"/>
  <c r="AW600" i="3"/>
  <c r="AP600" i="3"/>
  <c r="BI600" i="3" s="1"/>
  <c r="AE600" i="3" s="1"/>
  <c r="AO600" i="3"/>
  <c r="BH600" i="3" s="1"/>
  <c r="AD600" i="3" s="1"/>
  <c r="AL600" i="3"/>
  <c r="AK600" i="3"/>
  <c r="AJ600" i="3"/>
  <c r="AH600" i="3"/>
  <c r="AG600" i="3"/>
  <c r="AF600" i="3"/>
  <c r="AC600" i="3"/>
  <c r="AB600" i="3"/>
  <c r="Z600" i="3"/>
  <c r="L600" i="3"/>
  <c r="I600" i="3"/>
  <c r="BJ598" i="3"/>
  <c r="BD598" i="3"/>
  <c r="AP598" i="3"/>
  <c r="AX598" i="3" s="1"/>
  <c r="AO598" i="3"/>
  <c r="AK598" i="3"/>
  <c r="AJ598" i="3"/>
  <c r="AH598" i="3"/>
  <c r="AG598" i="3"/>
  <c r="AF598" i="3"/>
  <c r="AC598" i="3"/>
  <c r="AB598" i="3"/>
  <c r="Z598" i="3"/>
  <c r="L598" i="3"/>
  <c r="BF598" i="3" s="1"/>
  <c r="I598" i="3"/>
  <c r="AL598" i="3" s="1"/>
  <c r="BJ595" i="3"/>
  <c r="BD595" i="3"/>
  <c r="AP595" i="3"/>
  <c r="BI595" i="3" s="1"/>
  <c r="AE595" i="3" s="1"/>
  <c r="AO595" i="3"/>
  <c r="AW595" i="3" s="1"/>
  <c r="AK595" i="3"/>
  <c r="AJ595" i="3"/>
  <c r="AH595" i="3"/>
  <c r="AG595" i="3"/>
  <c r="AF595" i="3"/>
  <c r="AC595" i="3"/>
  <c r="AB595" i="3"/>
  <c r="Z595" i="3"/>
  <c r="L595" i="3"/>
  <c r="BF595" i="3" s="1"/>
  <c r="I595" i="3"/>
  <c r="AL595" i="3" s="1"/>
  <c r="BJ593" i="3"/>
  <c r="BD593" i="3"/>
  <c r="AP593" i="3"/>
  <c r="BI593" i="3" s="1"/>
  <c r="AE593" i="3" s="1"/>
  <c r="AO593" i="3"/>
  <c r="AW593" i="3" s="1"/>
  <c r="AK593" i="3"/>
  <c r="AJ593" i="3"/>
  <c r="AH593" i="3"/>
  <c r="AG593" i="3"/>
  <c r="AF593" i="3"/>
  <c r="AC593" i="3"/>
  <c r="AB593" i="3"/>
  <c r="Z593" i="3"/>
  <c r="L593" i="3"/>
  <c r="BF593" i="3" s="1"/>
  <c r="I593" i="3"/>
  <c r="AL593" i="3" s="1"/>
  <c r="BJ591" i="3"/>
  <c r="BD591" i="3"/>
  <c r="AP591" i="3"/>
  <c r="BI591" i="3" s="1"/>
  <c r="AE591" i="3" s="1"/>
  <c r="AO591" i="3"/>
  <c r="AW591" i="3" s="1"/>
  <c r="AK591" i="3"/>
  <c r="AJ591" i="3"/>
  <c r="AH591" i="3"/>
  <c r="AG591" i="3"/>
  <c r="AF591" i="3"/>
  <c r="AC591" i="3"/>
  <c r="AB591" i="3"/>
  <c r="Z591" i="3"/>
  <c r="L591" i="3"/>
  <c r="BF591" i="3" s="1"/>
  <c r="I591" i="3"/>
  <c r="AL591" i="3" s="1"/>
  <c r="BJ589" i="3"/>
  <c r="BD589" i="3"/>
  <c r="AP589" i="3"/>
  <c r="BI589" i="3" s="1"/>
  <c r="AE589" i="3" s="1"/>
  <c r="AO589" i="3"/>
  <c r="AW589" i="3" s="1"/>
  <c r="AK589" i="3"/>
  <c r="AJ589" i="3"/>
  <c r="AH589" i="3"/>
  <c r="AG589" i="3"/>
  <c r="AF589" i="3"/>
  <c r="AC589" i="3"/>
  <c r="AB589" i="3"/>
  <c r="Z589" i="3"/>
  <c r="L589" i="3"/>
  <c r="BF589" i="3" s="1"/>
  <c r="I589" i="3"/>
  <c r="AL589" i="3" s="1"/>
  <c r="BJ586" i="3"/>
  <c r="BD586" i="3"/>
  <c r="AP586" i="3"/>
  <c r="BI586" i="3" s="1"/>
  <c r="AE586" i="3" s="1"/>
  <c r="AO586" i="3"/>
  <c r="AW586" i="3" s="1"/>
  <c r="AK586" i="3"/>
  <c r="AJ586" i="3"/>
  <c r="AH586" i="3"/>
  <c r="AG586" i="3"/>
  <c r="AF586" i="3"/>
  <c r="AC586" i="3"/>
  <c r="AB586" i="3"/>
  <c r="Z586" i="3"/>
  <c r="L586" i="3"/>
  <c r="I586" i="3"/>
  <c r="AL586" i="3" s="1"/>
  <c r="AS585" i="3"/>
  <c r="BJ584" i="3"/>
  <c r="Z584" i="3" s="1"/>
  <c r="BI584" i="3"/>
  <c r="BF584" i="3"/>
  <c r="BD584" i="3"/>
  <c r="BC584" i="3"/>
  <c r="AW584" i="3"/>
  <c r="AP584" i="3"/>
  <c r="AX584" i="3" s="1"/>
  <c r="AV584" i="3" s="1"/>
  <c r="AO584" i="3"/>
  <c r="BH584" i="3" s="1"/>
  <c r="AK584" i="3"/>
  <c r="AT580" i="3" s="1"/>
  <c r="AJ584" i="3"/>
  <c r="AH584" i="3"/>
  <c r="AG584" i="3"/>
  <c r="AF584" i="3"/>
  <c r="AE584" i="3"/>
  <c r="AD584" i="3"/>
  <c r="AC584" i="3"/>
  <c r="AB584" i="3"/>
  <c r="L584" i="3"/>
  <c r="I584" i="3"/>
  <c r="AL584" i="3" s="1"/>
  <c r="BJ581" i="3"/>
  <c r="BF581" i="3"/>
  <c r="BD581" i="3"/>
  <c r="BC581" i="3"/>
  <c r="AW581" i="3"/>
  <c r="AP581" i="3"/>
  <c r="AX581" i="3" s="1"/>
  <c r="AV581" i="3" s="1"/>
  <c r="AO581" i="3"/>
  <c r="BH581" i="3" s="1"/>
  <c r="AD581" i="3" s="1"/>
  <c r="AK581" i="3"/>
  <c r="AJ581" i="3"/>
  <c r="AS580" i="3" s="1"/>
  <c r="AH581" i="3"/>
  <c r="AG581" i="3"/>
  <c r="AF581" i="3"/>
  <c r="AC581" i="3"/>
  <c r="AB581" i="3"/>
  <c r="Z581" i="3"/>
  <c r="L581" i="3"/>
  <c r="I581" i="3"/>
  <c r="AL581" i="3" s="1"/>
  <c r="AU580" i="3"/>
  <c r="L580" i="3"/>
  <c r="I580" i="3"/>
  <c r="BJ579" i="3"/>
  <c r="Z579" i="3" s="1"/>
  <c r="BF579" i="3"/>
  <c r="BD579" i="3"/>
  <c r="AX579" i="3"/>
  <c r="AW579" i="3"/>
  <c r="BC579" i="3" s="1"/>
  <c r="AP579" i="3"/>
  <c r="BI579" i="3" s="1"/>
  <c r="AO579" i="3"/>
  <c r="BH579" i="3" s="1"/>
  <c r="AL579" i="3"/>
  <c r="AK579" i="3"/>
  <c r="AJ579" i="3"/>
  <c r="AH579" i="3"/>
  <c r="AG579" i="3"/>
  <c r="AF579" i="3"/>
  <c r="AE579" i="3"/>
  <c r="AD579" i="3"/>
  <c r="AC579" i="3"/>
  <c r="AB579" i="3"/>
  <c r="L579" i="3"/>
  <c r="I579" i="3"/>
  <c r="BJ576" i="3"/>
  <c r="BF576" i="3"/>
  <c r="BD576" i="3"/>
  <c r="AX576" i="3"/>
  <c r="AW576" i="3"/>
  <c r="BC576" i="3" s="1"/>
  <c r="AP576" i="3"/>
  <c r="BI576" i="3" s="1"/>
  <c r="AE576" i="3" s="1"/>
  <c r="AO576" i="3"/>
  <c r="BH576" i="3" s="1"/>
  <c r="AD576" i="3" s="1"/>
  <c r="AL576" i="3"/>
  <c r="AK576" i="3"/>
  <c r="AJ576" i="3"/>
  <c r="AH576" i="3"/>
  <c r="AG576" i="3"/>
  <c r="AF576" i="3"/>
  <c r="AC576" i="3"/>
  <c r="AB576" i="3"/>
  <c r="Z576" i="3"/>
  <c r="L576" i="3"/>
  <c r="I576" i="3"/>
  <c r="I573" i="3" s="1"/>
  <c r="BJ574" i="3"/>
  <c r="BF574" i="3"/>
  <c r="BD574" i="3"/>
  <c r="AX574" i="3"/>
  <c r="AW574" i="3"/>
  <c r="BC574" i="3" s="1"/>
  <c r="AV574" i="3"/>
  <c r="AP574" i="3"/>
  <c r="BI574" i="3" s="1"/>
  <c r="AE574" i="3" s="1"/>
  <c r="AO574" i="3"/>
  <c r="BH574" i="3" s="1"/>
  <c r="AD574" i="3" s="1"/>
  <c r="AL574" i="3"/>
  <c r="AU573" i="3" s="1"/>
  <c r="AK574" i="3"/>
  <c r="AT573" i="3" s="1"/>
  <c r="AJ574" i="3"/>
  <c r="AH574" i="3"/>
  <c r="AG574" i="3"/>
  <c r="AF574" i="3"/>
  <c r="AC574" i="3"/>
  <c r="AB574" i="3"/>
  <c r="Z574" i="3"/>
  <c r="L574" i="3"/>
  <c r="I574" i="3"/>
  <c r="AS573" i="3"/>
  <c r="L573" i="3"/>
  <c r="BJ571" i="3"/>
  <c r="BH571" i="3"/>
  <c r="BD571" i="3"/>
  <c r="AX571" i="3"/>
  <c r="AW571" i="3"/>
  <c r="AP571" i="3"/>
  <c r="BI571" i="3" s="1"/>
  <c r="AE571" i="3" s="1"/>
  <c r="AO571" i="3"/>
  <c r="AL571" i="3"/>
  <c r="AK571" i="3"/>
  <c r="AJ571" i="3"/>
  <c r="AH571" i="3"/>
  <c r="AG571" i="3"/>
  <c r="AF571" i="3"/>
  <c r="AD571" i="3"/>
  <c r="AC571" i="3"/>
  <c r="AB571" i="3"/>
  <c r="Z571" i="3"/>
  <c r="L571" i="3"/>
  <c r="BF571" i="3" s="1"/>
  <c r="I571" i="3"/>
  <c r="BJ569" i="3"/>
  <c r="BH569" i="3"/>
  <c r="BD569" i="3"/>
  <c r="AX569" i="3"/>
  <c r="AW569" i="3"/>
  <c r="AP569" i="3"/>
  <c r="BI569" i="3" s="1"/>
  <c r="AE569" i="3" s="1"/>
  <c r="AO569" i="3"/>
  <c r="AL569" i="3"/>
  <c r="AU568" i="3" s="1"/>
  <c r="AK569" i="3"/>
  <c r="AJ569" i="3"/>
  <c r="AH569" i="3"/>
  <c r="AG569" i="3"/>
  <c r="AF569" i="3"/>
  <c r="AD569" i="3"/>
  <c r="AC569" i="3"/>
  <c r="AB569" i="3"/>
  <c r="Z569" i="3"/>
  <c r="L569" i="3"/>
  <c r="BF569" i="3" s="1"/>
  <c r="I569" i="3"/>
  <c r="I568" i="3" s="1"/>
  <c r="AT568" i="3"/>
  <c r="AS568" i="3"/>
  <c r="L568" i="3"/>
  <c r="BJ565" i="3"/>
  <c r="BD565" i="3"/>
  <c r="AP565" i="3"/>
  <c r="BI565" i="3" s="1"/>
  <c r="AE565" i="3" s="1"/>
  <c r="AO565" i="3"/>
  <c r="AW565" i="3" s="1"/>
  <c r="AK565" i="3"/>
  <c r="AJ565" i="3"/>
  <c r="AH565" i="3"/>
  <c r="AG565" i="3"/>
  <c r="AF565" i="3"/>
  <c r="AC565" i="3"/>
  <c r="AB565" i="3"/>
  <c r="Z565" i="3"/>
  <c r="L565" i="3"/>
  <c r="I565" i="3"/>
  <c r="AL565" i="3" s="1"/>
  <c r="AU564" i="3" s="1"/>
  <c r="AT564" i="3"/>
  <c r="AS564" i="3"/>
  <c r="I564" i="3"/>
  <c r="BJ563" i="3"/>
  <c r="Z563" i="3" s="1"/>
  <c r="BD563" i="3"/>
  <c r="BC563" i="3"/>
  <c r="AW563" i="3"/>
  <c r="AP563" i="3"/>
  <c r="AX563" i="3" s="1"/>
  <c r="AV563" i="3" s="1"/>
  <c r="AO563" i="3"/>
  <c r="BH563" i="3" s="1"/>
  <c r="AK563" i="3"/>
  <c r="AJ563" i="3"/>
  <c r="AH563" i="3"/>
  <c r="AG563" i="3"/>
  <c r="AF563" i="3"/>
  <c r="AE563" i="3"/>
  <c r="AD563" i="3"/>
  <c r="AC563" i="3"/>
  <c r="AB563" i="3"/>
  <c r="L563" i="3"/>
  <c r="BF563" i="3" s="1"/>
  <c r="I563" i="3"/>
  <c r="AL563" i="3" s="1"/>
  <c r="BJ559" i="3"/>
  <c r="BD559" i="3"/>
  <c r="BC559" i="3"/>
  <c r="AW559" i="3"/>
  <c r="AP559" i="3"/>
  <c r="AX559" i="3" s="1"/>
  <c r="AV559" i="3" s="1"/>
  <c r="AO559" i="3"/>
  <c r="BH559" i="3" s="1"/>
  <c r="AD559" i="3" s="1"/>
  <c r="AK559" i="3"/>
  <c r="AJ559" i="3"/>
  <c r="AH559" i="3"/>
  <c r="AG559" i="3"/>
  <c r="AF559" i="3"/>
  <c r="AC559" i="3"/>
  <c r="AB559" i="3"/>
  <c r="Z559" i="3"/>
  <c r="L559" i="3"/>
  <c r="BF559" i="3" s="1"/>
  <c r="I559" i="3"/>
  <c r="AL559" i="3" s="1"/>
  <c r="BJ555" i="3"/>
  <c r="BI555" i="3"/>
  <c r="BD555" i="3"/>
  <c r="BC555" i="3"/>
  <c r="AW555" i="3"/>
  <c r="AV555" i="3"/>
  <c r="AP555" i="3"/>
  <c r="AX555" i="3" s="1"/>
  <c r="AO555" i="3"/>
  <c r="BH555" i="3" s="1"/>
  <c r="AD555" i="3" s="1"/>
  <c r="AK555" i="3"/>
  <c r="AJ555" i="3"/>
  <c r="AH555" i="3"/>
  <c r="AG555" i="3"/>
  <c r="AF555" i="3"/>
  <c r="AE555" i="3"/>
  <c r="AC555" i="3"/>
  <c r="AB555" i="3"/>
  <c r="Z555" i="3"/>
  <c r="L555" i="3"/>
  <c r="BF555" i="3" s="1"/>
  <c r="I555" i="3"/>
  <c r="AL555" i="3" s="1"/>
  <c r="BJ550" i="3"/>
  <c r="BD550" i="3"/>
  <c r="AW550" i="3"/>
  <c r="AP550" i="3"/>
  <c r="AX550" i="3" s="1"/>
  <c r="BC550" i="3" s="1"/>
  <c r="AO550" i="3"/>
  <c r="BH550" i="3" s="1"/>
  <c r="AD550" i="3" s="1"/>
  <c r="AK550" i="3"/>
  <c r="AJ550" i="3"/>
  <c r="AH550" i="3"/>
  <c r="AG550" i="3"/>
  <c r="AF550" i="3"/>
  <c r="AC550" i="3"/>
  <c r="AB550" i="3"/>
  <c r="Z550" i="3"/>
  <c r="L550" i="3"/>
  <c r="BF550" i="3" s="1"/>
  <c r="I550" i="3"/>
  <c r="AL550" i="3" s="1"/>
  <c r="BJ545" i="3"/>
  <c r="BD545" i="3"/>
  <c r="AP545" i="3"/>
  <c r="AX545" i="3" s="1"/>
  <c r="AO545" i="3"/>
  <c r="BH545" i="3" s="1"/>
  <c r="AD545" i="3" s="1"/>
  <c r="AK545" i="3"/>
  <c r="AJ545" i="3"/>
  <c r="AH545" i="3"/>
  <c r="AG545" i="3"/>
  <c r="AF545" i="3"/>
  <c r="AC545" i="3"/>
  <c r="AB545" i="3"/>
  <c r="Z545" i="3"/>
  <c r="L545" i="3"/>
  <c r="BF545" i="3" s="1"/>
  <c r="I545" i="3"/>
  <c r="AL545" i="3" s="1"/>
  <c r="BJ540" i="3"/>
  <c r="BD540" i="3"/>
  <c r="AP540" i="3"/>
  <c r="AX540" i="3" s="1"/>
  <c r="AO540" i="3"/>
  <c r="BH540" i="3" s="1"/>
  <c r="AD540" i="3" s="1"/>
  <c r="AK540" i="3"/>
  <c r="AJ540" i="3"/>
  <c r="AH540" i="3"/>
  <c r="AG540" i="3"/>
  <c r="AF540" i="3"/>
  <c r="AC540" i="3"/>
  <c r="AB540" i="3"/>
  <c r="Z540" i="3"/>
  <c r="L540" i="3"/>
  <c r="BF540" i="3" s="1"/>
  <c r="I540" i="3"/>
  <c r="AL540" i="3" s="1"/>
  <c r="BJ535" i="3"/>
  <c r="BD535" i="3"/>
  <c r="AP535" i="3"/>
  <c r="AX535" i="3" s="1"/>
  <c r="AO535" i="3"/>
  <c r="BH535" i="3" s="1"/>
  <c r="AD535" i="3" s="1"/>
  <c r="AK535" i="3"/>
  <c r="AJ535" i="3"/>
  <c r="AH535" i="3"/>
  <c r="AG535" i="3"/>
  <c r="AF535" i="3"/>
  <c r="AC535" i="3"/>
  <c r="AB535" i="3"/>
  <c r="Z535" i="3"/>
  <c r="L535" i="3"/>
  <c r="BF535" i="3" s="1"/>
  <c r="I535" i="3"/>
  <c r="AL535" i="3" s="1"/>
  <c r="BJ520" i="3"/>
  <c r="BD520" i="3"/>
  <c r="AP520" i="3"/>
  <c r="AX520" i="3" s="1"/>
  <c r="AO520" i="3"/>
  <c r="BH520" i="3" s="1"/>
  <c r="AD520" i="3" s="1"/>
  <c r="AK520" i="3"/>
  <c r="AJ520" i="3"/>
  <c r="AH520" i="3"/>
  <c r="AG520" i="3"/>
  <c r="AF520" i="3"/>
  <c r="AC520" i="3"/>
  <c r="AB520" i="3"/>
  <c r="Z520" i="3"/>
  <c r="L520" i="3"/>
  <c r="BF520" i="3" s="1"/>
  <c r="I520" i="3"/>
  <c r="AL520" i="3" s="1"/>
  <c r="BJ502" i="3"/>
  <c r="BD502" i="3"/>
  <c r="AP502" i="3"/>
  <c r="AX502" i="3" s="1"/>
  <c r="AO502" i="3"/>
  <c r="BH502" i="3" s="1"/>
  <c r="AD502" i="3" s="1"/>
  <c r="AK502" i="3"/>
  <c r="AJ502" i="3"/>
  <c r="AH502" i="3"/>
  <c r="AG502" i="3"/>
  <c r="AF502" i="3"/>
  <c r="AC502" i="3"/>
  <c r="AB502" i="3"/>
  <c r="Z502" i="3"/>
  <c r="L502" i="3"/>
  <c r="BF502" i="3" s="1"/>
  <c r="I502" i="3"/>
  <c r="AL502" i="3" s="1"/>
  <c r="BJ485" i="3"/>
  <c r="BD485" i="3"/>
  <c r="AP485" i="3"/>
  <c r="AX485" i="3" s="1"/>
  <c r="AO485" i="3"/>
  <c r="BH485" i="3" s="1"/>
  <c r="AD485" i="3" s="1"/>
  <c r="AK485" i="3"/>
  <c r="AJ485" i="3"/>
  <c r="AH485" i="3"/>
  <c r="AG485" i="3"/>
  <c r="AF485" i="3"/>
  <c r="AC485" i="3"/>
  <c r="AB485" i="3"/>
  <c r="Z485" i="3"/>
  <c r="L485" i="3"/>
  <c r="BF485" i="3" s="1"/>
  <c r="I485" i="3"/>
  <c r="AL485" i="3" s="1"/>
  <c r="BJ473" i="3"/>
  <c r="BD473" i="3"/>
  <c r="AP473" i="3"/>
  <c r="AX473" i="3" s="1"/>
  <c r="AO473" i="3"/>
  <c r="BH473" i="3" s="1"/>
  <c r="AD473" i="3" s="1"/>
  <c r="AK473" i="3"/>
  <c r="AJ473" i="3"/>
  <c r="AH473" i="3"/>
  <c r="AG473" i="3"/>
  <c r="AF473" i="3"/>
  <c r="AC473" i="3"/>
  <c r="AB473" i="3"/>
  <c r="Z473" i="3"/>
  <c r="L473" i="3"/>
  <c r="BF473" i="3" s="1"/>
  <c r="I473" i="3"/>
  <c r="AL473" i="3" s="1"/>
  <c r="BJ455" i="3"/>
  <c r="BD455" i="3"/>
  <c r="AP455" i="3"/>
  <c r="AX455" i="3" s="1"/>
  <c r="AO455" i="3"/>
  <c r="BH455" i="3" s="1"/>
  <c r="AD455" i="3" s="1"/>
  <c r="AK455" i="3"/>
  <c r="AJ455" i="3"/>
  <c r="AH455" i="3"/>
  <c r="AG455" i="3"/>
  <c r="AF455" i="3"/>
  <c r="AC455" i="3"/>
  <c r="AB455" i="3"/>
  <c r="Z455" i="3"/>
  <c r="L455" i="3"/>
  <c r="BF455" i="3" s="1"/>
  <c r="I455" i="3"/>
  <c r="AL455" i="3" s="1"/>
  <c r="AU435" i="3" s="1"/>
  <c r="BJ436" i="3"/>
  <c r="BD436" i="3"/>
  <c r="AP436" i="3"/>
  <c r="AX436" i="3" s="1"/>
  <c r="AO436" i="3"/>
  <c r="BH436" i="3" s="1"/>
  <c r="AD436" i="3" s="1"/>
  <c r="AK436" i="3"/>
  <c r="AJ436" i="3"/>
  <c r="AH436" i="3"/>
  <c r="AG436" i="3"/>
  <c r="AF436" i="3"/>
  <c r="AC436" i="3"/>
  <c r="AB436" i="3"/>
  <c r="Z436" i="3"/>
  <c r="L436" i="3"/>
  <c r="BF436" i="3" s="1"/>
  <c r="I436" i="3"/>
  <c r="AL436" i="3" s="1"/>
  <c r="AT435" i="3"/>
  <c r="L435" i="3"/>
  <c r="I435" i="3"/>
  <c r="BJ431" i="3"/>
  <c r="BF431" i="3"/>
  <c r="BD431" i="3"/>
  <c r="AX431" i="3"/>
  <c r="AW431" i="3"/>
  <c r="BC431" i="3" s="1"/>
  <c r="AV431" i="3"/>
  <c r="AP431" i="3"/>
  <c r="BI431" i="3" s="1"/>
  <c r="AO431" i="3"/>
  <c r="BH431" i="3" s="1"/>
  <c r="AK431" i="3"/>
  <c r="AJ431" i="3"/>
  <c r="AH431" i="3"/>
  <c r="AG431" i="3"/>
  <c r="AF431" i="3"/>
  <c r="AE431" i="3"/>
  <c r="AD431" i="3"/>
  <c r="AC431" i="3"/>
  <c r="AB431" i="3"/>
  <c r="Z431" i="3"/>
  <c r="L431" i="3"/>
  <c r="I431" i="3"/>
  <c r="AL431" i="3" s="1"/>
  <c r="BJ427" i="3"/>
  <c r="BF427" i="3"/>
  <c r="BD427" i="3"/>
  <c r="AX427" i="3"/>
  <c r="AW427" i="3"/>
  <c r="BC427" i="3" s="1"/>
  <c r="AP427" i="3"/>
  <c r="BI427" i="3" s="1"/>
  <c r="AO427" i="3"/>
  <c r="BH427" i="3" s="1"/>
  <c r="AB427" i="3" s="1"/>
  <c r="AK427" i="3"/>
  <c r="AJ427" i="3"/>
  <c r="AH427" i="3"/>
  <c r="AG427" i="3"/>
  <c r="AF427" i="3"/>
  <c r="AE427" i="3"/>
  <c r="AD427" i="3"/>
  <c r="AC427" i="3"/>
  <c r="Z427" i="3"/>
  <c r="L427" i="3"/>
  <c r="I427" i="3"/>
  <c r="I422" i="3" s="1"/>
  <c r="BJ423" i="3"/>
  <c r="BF423" i="3"/>
  <c r="BD423" i="3"/>
  <c r="AX423" i="3"/>
  <c r="AW423" i="3"/>
  <c r="BC423" i="3" s="1"/>
  <c r="AV423" i="3"/>
  <c r="AP423" i="3"/>
  <c r="BI423" i="3" s="1"/>
  <c r="AC423" i="3" s="1"/>
  <c r="AO423" i="3"/>
  <c r="BH423" i="3" s="1"/>
  <c r="AB423" i="3" s="1"/>
  <c r="AK423" i="3"/>
  <c r="AJ423" i="3"/>
  <c r="AH423" i="3"/>
  <c r="AG423" i="3"/>
  <c r="AF423" i="3"/>
  <c r="AE423" i="3"/>
  <c r="AD423" i="3"/>
  <c r="Z423" i="3"/>
  <c r="L423" i="3"/>
  <c r="I423" i="3"/>
  <c r="AL423" i="3" s="1"/>
  <c r="AS422" i="3"/>
  <c r="L422" i="3"/>
  <c r="BJ420" i="3"/>
  <c r="BH420" i="3"/>
  <c r="AB420" i="3" s="1"/>
  <c r="BD420" i="3"/>
  <c r="AX420" i="3"/>
  <c r="AW420" i="3"/>
  <c r="AP420" i="3"/>
  <c r="BI420" i="3" s="1"/>
  <c r="AC420" i="3" s="1"/>
  <c r="AO420" i="3"/>
  <c r="AL420" i="3"/>
  <c r="AK420" i="3"/>
  <c r="AJ420" i="3"/>
  <c r="AH420" i="3"/>
  <c r="AG420" i="3"/>
  <c r="AF420" i="3"/>
  <c r="AE420" i="3"/>
  <c r="AD420" i="3"/>
  <c r="Z420" i="3"/>
  <c r="L420" i="3"/>
  <c r="BF420" i="3" s="1"/>
  <c r="I420" i="3"/>
  <c r="BJ417" i="3"/>
  <c r="BH417" i="3"/>
  <c r="AB417" i="3" s="1"/>
  <c r="BD417" i="3"/>
  <c r="AX417" i="3"/>
  <c r="AW417" i="3"/>
  <c r="AP417" i="3"/>
  <c r="BI417" i="3" s="1"/>
  <c r="AC417" i="3" s="1"/>
  <c r="AO417" i="3"/>
  <c r="AL417" i="3"/>
  <c r="AK417" i="3"/>
  <c r="AJ417" i="3"/>
  <c r="AH417" i="3"/>
  <c r="AG417" i="3"/>
  <c r="AF417" i="3"/>
  <c r="AE417" i="3"/>
  <c r="AD417" i="3"/>
  <c r="Z417" i="3"/>
  <c r="L417" i="3"/>
  <c r="BF417" i="3" s="1"/>
  <c r="I417" i="3"/>
  <c r="BJ413" i="3"/>
  <c r="BH413" i="3"/>
  <c r="AB413" i="3" s="1"/>
  <c r="BD413" i="3"/>
  <c r="AX413" i="3"/>
  <c r="AW413" i="3"/>
  <c r="AP413" i="3"/>
  <c r="BI413" i="3" s="1"/>
  <c r="AC413" i="3" s="1"/>
  <c r="AO413" i="3"/>
  <c r="AL413" i="3"/>
  <c r="AK413" i="3"/>
  <c r="AJ413" i="3"/>
  <c r="AH413" i="3"/>
  <c r="AG413" i="3"/>
  <c r="AF413" i="3"/>
  <c r="AE413" i="3"/>
  <c r="AD413" i="3"/>
  <c r="Z413" i="3"/>
  <c r="L413" i="3"/>
  <c r="BF413" i="3" s="1"/>
  <c r="I413" i="3"/>
  <c r="BJ410" i="3"/>
  <c r="BH410" i="3"/>
  <c r="AB410" i="3" s="1"/>
  <c r="BD410" i="3"/>
  <c r="AX410" i="3"/>
  <c r="AW410" i="3"/>
  <c r="AP410" i="3"/>
  <c r="BI410" i="3" s="1"/>
  <c r="AC410" i="3" s="1"/>
  <c r="AO410" i="3"/>
  <c r="AL410" i="3"/>
  <c r="AK410" i="3"/>
  <c r="AJ410" i="3"/>
  <c r="AH410" i="3"/>
  <c r="AG410" i="3"/>
  <c r="AF410" i="3"/>
  <c r="AE410" i="3"/>
  <c r="AD410" i="3"/>
  <c r="Z410" i="3"/>
  <c r="L410" i="3"/>
  <c r="BF410" i="3" s="1"/>
  <c r="I410" i="3"/>
  <c r="BJ407" i="3"/>
  <c r="BH407" i="3"/>
  <c r="AB407" i="3" s="1"/>
  <c r="BD407" i="3"/>
  <c r="AX407" i="3"/>
  <c r="AW407" i="3"/>
  <c r="AP407" i="3"/>
  <c r="BI407" i="3" s="1"/>
  <c r="AC407" i="3" s="1"/>
  <c r="AO407" i="3"/>
  <c r="AL407" i="3"/>
  <c r="AK407" i="3"/>
  <c r="AJ407" i="3"/>
  <c r="AH407" i="3"/>
  <c r="AG407" i="3"/>
  <c r="AF407" i="3"/>
  <c r="AE407" i="3"/>
  <c r="AD407" i="3"/>
  <c r="Z407" i="3"/>
  <c r="L407" i="3"/>
  <c r="BF407" i="3" s="1"/>
  <c r="I407" i="3"/>
  <c r="BJ403" i="3"/>
  <c r="BH403" i="3"/>
  <c r="AB403" i="3" s="1"/>
  <c r="BD403" i="3"/>
  <c r="AX403" i="3"/>
  <c r="AW403" i="3"/>
  <c r="AP403" i="3"/>
  <c r="BI403" i="3" s="1"/>
  <c r="AC403" i="3" s="1"/>
  <c r="AO403" i="3"/>
  <c r="AL403" i="3"/>
  <c r="AK403" i="3"/>
  <c r="AJ403" i="3"/>
  <c r="AH403" i="3"/>
  <c r="AG403" i="3"/>
  <c r="AF403" i="3"/>
  <c r="AE403" i="3"/>
  <c r="AD403" i="3"/>
  <c r="Z403" i="3"/>
  <c r="L403" i="3"/>
  <c r="BF403" i="3" s="1"/>
  <c r="I403" i="3"/>
  <c r="BJ388" i="3"/>
  <c r="BH388" i="3"/>
  <c r="AB388" i="3" s="1"/>
  <c r="BD388" i="3"/>
  <c r="AX388" i="3"/>
  <c r="AW388" i="3"/>
  <c r="AP388" i="3"/>
  <c r="BI388" i="3" s="1"/>
  <c r="AC388" i="3" s="1"/>
  <c r="AO388" i="3"/>
  <c r="AL388" i="3"/>
  <c r="AK388" i="3"/>
  <c r="AJ388" i="3"/>
  <c r="AH388" i="3"/>
  <c r="AG388" i="3"/>
  <c r="AF388" i="3"/>
  <c r="AE388" i="3"/>
  <c r="AD388" i="3"/>
  <c r="Z388" i="3"/>
  <c r="L388" i="3"/>
  <c r="BF388" i="3" s="1"/>
  <c r="I388" i="3"/>
  <c r="BJ373" i="3"/>
  <c r="BH373" i="3"/>
  <c r="AB373" i="3" s="1"/>
  <c r="BD373" i="3"/>
  <c r="AX373" i="3"/>
  <c r="AW373" i="3"/>
  <c r="AP373" i="3"/>
  <c r="BI373" i="3" s="1"/>
  <c r="AC373" i="3" s="1"/>
  <c r="AO373" i="3"/>
  <c r="AL373" i="3"/>
  <c r="AK373" i="3"/>
  <c r="AJ373" i="3"/>
  <c r="AH373" i="3"/>
  <c r="AG373" i="3"/>
  <c r="AF373" i="3"/>
  <c r="AE373" i="3"/>
  <c r="AD373" i="3"/>
  <c r="Z373" i="3"/>
  <c r="L373" i="3"/>
  <c r="BF373" i="3" s="1"/>
  <c r="I373" i="3"/>
  <c r="BJ354" i="3"/>
  <c r="BH354" i="3"/>
  <c r="AB354" i="3" s="1"/>
  <c r="BD354" i="3"/>
  <c r="AX354" i="3"/>
  <c r="AW354" i="3"/>
  <c r="AP354" i="3"/>
  <c r="BI354" i="3" s="1"/>
  <c r="AC354" i="3" s="1"/>
  <c r="AO354" i="3"/>
  <c r="AL354" i="3"/>
  <c r="AU353" i="3" s="1"/>
  <c r="AK354" i="3"/>
  <c r="AJ354" i="3"/>
  <c r="AH354" i="3"/>
  <c r="AG354" i="3"/>
  <c r="AF354" i="3"/>
  <c r="AE354" i="3"/>
  <c r="AD354" i="3"/>
  <c r="Z354" i="3"/>
  <c r="L354" i="3"/>
  <c r="BF354" i="3" s="1"/>
  <c r="I354" i="3"/>
  <c r="I353" i="3" s="1"/>
  <c r="AT353" i="3"/>
  <c r="AS353" i="3"/>
  <c r="L353" i="3"/>
  <c r="BJ350" i="3"/>
  <c r="BD350" i="3"/>
  <c r="AP350" i="3"/>
  <c r="BI350" i="3" s="1"/>
  <c r="AC350" i="3" s="1"/>
  <c r="AO350" i="3"/>
  <c r="AW350" i="3" s="1"/>
  <c r="AK350" i="3"/>
  <c r="AJ350" i="3"/>
  <c r="AH350" i="3"/>
  <c r="AG350" i="3"/>
  <c r="AF350" i="3"/>
  <c r="AE350" i="3"/>
  <c r="AD350" i="3"/>
  <c r="Z350" i="3"/>
  <c r="L350" i="3"/>
  <c r="BF350" i="3" s="1"/>
  <c r="I350" i="3"/>
  <c r="AL350" i="3" s="1"/>
  <c r="BJ347" i="3"/>
  <c r="BI347" i="3"/>
  <c r="AC347" i="3" s="1"/>
  <c r="BD347" i="3"/>
  <c r="AX347" i="3"/>
  <c r="BC347" i="3" s="1"/>
  <c r="AP347" i="3"/>
  <c r="AO347" i="3"/>
  <c r="AW347" i="3" s="1"/>
  <c r="AK347" i="3"/>
  <c r="AJ347" i="3"/>
  <c r="AS346" i="3" s="1"/>
  <c r="AH347" i="3"/>
  <c r="AG347" i="3"/>
  <c r="AF347" i="3"/>
  <c r="AE347" i="3"/>
  <c r="AD347" i="3"/>
  <c r="Z347" i="3"/>
  <c r="L347" i="3"/>
  <c r="I347" i="3"/>
  <c r="AL347" i="3" s="1"/>
  <c r="AU346" i="3" s="1"/>
  <c r="AT346" i="3"/>
  <c r="I346" i="3"/>
  <c r="BJ344" i="3"/>
  <c r="BD344" i="3"/>
  <c r="AP344" i="3"/>
  <c r="AX344" i="3" s="1"/>
  <c r="AO344" i="3"/>
  <c r="BH344" i="3" s="1"/>
  <c r="AK344" i="3"/>
  <c r="AJ344" i="3"/>
  <c r="AH344" i="3"/>
  <c r="AG344" i="3"/>
  <c r="AF344" i="3"/>
  <c r="AE344" i="3"/>
  <c r="AD344" i="3"/>
  <c r="AB344" i="3"/>
  <c r="Z344" i="3"/>
  <c r="L344" i="3"/>
  <c r="BF344" i="3" s="1"/>
  <c r="I344" i="3"/>
  <c r="AL344" i="3" s="1"/>
  <c r="BJ342" i="3"/>
  <c r="BD342" i="3"/>
  <c r="AP342" i="3"/>
  <c r="AX342" i="3" s="1"/>
  <c r="AO342" i="3"/>
  <c r="BH342" i="3" s="1"/>
  <c r="AK342" i="3"/>
  <c r="AJ342" i="3"/>
  <c r="AH342" i="3"/>
  <c r="AG342" i="3"/>
  <c r="AF342" i="3"/>
  <c r="AE342" i="3"/>
  <c r="AD342" i="3"/>
  <c r="AB342" i="3"/>
  <c r="Z342" i="3"/>
  <c r="L342" i="3"/>
  <c r="BF342" i="3" s="1"/>
  <c r="I342" i="3"/>
  <c r="AL342" i="3" s="1"/>
  <c r="BJ319" i="3"/>
  <c r="BD319" i="3"/>
  <c r="AP319" i="3"/>
  <c r="AX319" i="3" s="1"/>
  <c r="AO319" i="3"/>
  <c r="BH319" i="3" s="1"/>
  <c r="AK319" i="3"/>
  <c r="AJ319" i="3"/>
  <c r="AH319" i="3"/>
  <c r="AG319" i="3"/>
  <c r="AF319" i="3"/>
  <c r="AE319" i="3"/>
  <c r="AD319" i="3"/>
  <c r="AB319" i="3"/>
  <c r="Z319" i="3"/>
  <c r="L319" i="3"/>
  <c r="BF319" i="3" s="1"/>
  <c r="I319" i="3"/>
  <c r="AL319" i="3" s="1"/>
  <c r="BJ307" i="3"/>
  <c r="BD307" i="3"/>
  <c r="AP307" i="3"/>
  <c r="AX307" i="3" s="1"/>
  <c r="AO307" i="3"/>
  <c r="BH307" i="3" s="1"/>
  <c r="AK307" i="3"/>
  <c r="AJ307" i="3"/>
  <c r="AH307" i="3"/>
  <c r="AG307" i="3"/>
  <c r="AF307" i="3"/>
  <c r="AE307" i="3"/>
  <c r="AD307" i="3"/>
  <c r="AB307" i="3"/>
  <c r="Z307" i="3"/>
  <c r="L307" i="3"/>
  <c r="BF307" i="3" s="1"/>
  <c r="I307" i="3"/>
  <c r="AL307" i="3" s="1"/>
  <c r="AU258" i="3" s="1"/>
  <c r="BJ259" i="3"/>
  <c r="BD259" i="3"/>
  <c r="AP259" i="3"/>
  <c r="AX259" i="3" s="1"/>
  <c r="AO259" i="3"/>
  <c r="BH259" i="3" s="1"/>
  <c r="AK259" i="3"/>
  <c r="AJ259" i="3"/>
  <c r="AS258" i="3" s="1"/>
  <c r="AH259" i="3"/>
  <c r="AG259" i="3"/>
  <c r="AF259" i="3"/>
  <c r="AE259" i="3"/>
  <c r="AD259" i="3"/>
  <c r="AB259" i="3"/>
  <c r="Z259" i="3"/>
  <c r="L259" i="3"/>
  <c r="BF259" i="3" s="1"/>
  <c r="I259" i="3"/>
  <c r="AL259" i="3" s="1"/>
  <c r="AT258" i="3"/>
  <c r="I258" i="3"/>
  <c r="BJ255" i="3"/>
  <c r="BF255" i="3"/>
  <c r="BD255" i="3"/>
  <c r="AW255" i="3"/>
  <c r="AP255" i="3"/>
  <c r="BI255" i="3" s="1"/>
  <c r="AO255" i="3"/>
  <c r="BH255" i="3" s="1"/>
  <c r="AB255" i="3" s="1"/>
  <c r="AK255" i="3"/>
  <c r="AJ255" i="3"/>
  <c r="AH255" i="3"/>
  <c r="AG255" i="3"/>
  <c r="AF255" i="3"/>
  <c r="AE255" i="3"/>
  <c r="AD255" i="3"/>
  <c r="AC255" i="3"/>
  <c r="Z255" i="3"/>
  <c r="L255" i="3"/>
  <c r="I255" i="3"/>
  <c r="AL255" i="3" s="1"/>
  <c r="BJ251" i="3"/>
  <c r="BF251" i="3"/>
  <c r="BD251" i="3"/>
  <c r="AW251" i="3"/>
  <c r="AP251" i="3"/>
  <c r="BI251" i="3" s="1"/>
  <c r="AO251" i="3"/>
  <c r="BH251" i="3" s="1"/>
  <c r="AB251" i="3" s="1"/>
  <c r="AK251" i="3"/>
  <c r="AJ251" i="3"/>
  <c r="AH251" i="3"/>
  <c r="AG251" i="3"/>
  <c r="AF251" i="3"/>
  <c r="AE251" i="3"/>
  <c r="AD251" i="3"/>
  <c r="AC251" i="3"/>
  <c r="Z251" i="3"/>
  <c r="L251" i="3"/>
  <c r="I251" i="3"/>
  <c r="AL251" i="3" s="1"/>
  <c r="BJ219" i="3"/>
  <c r="BF219" i="3"/>
  <c r="BD219" i="3"/>
  <c r="AW219" i="3"/>
  <c r="AP219" i="3"/>
  <c r="BI219" i="3" s="1"/>
  <c r="AO219" i="3"/>
  <c r="BH219" i="3" s="1"/>
  <c r="AB219" i="3" s="1"/>
  <c r="AK219" i="3"/>
  <c r="AJ219" i="3"/>
  <c r="AH219" i="3"/>
  <c r="AG219" i="3"/>
  <c r="AF219" i="3"/>
  <c r="AE219" i="3"/>
  <c r="AD219" i="3"/>
  <c r="AC219" i="3"/>
  <c r="Z219" i="3"/>
  <c r="L219" i="3"/>
  <c r="I219" i="3"/>
  <c r="AL219" i="3" s="1"/>
  <c r="BJ181" i="3"/>
  <c r="BF181" i="3"/>
  <c r="BD181" i="3"/>
  <c r="AW181" i="3"/>
  <c r="AP181" i="3"/>
  <c r="BI181" i="3" s="1"/>
  <c r="AO181" i="3"/>
  <c r="BH181" i="3" s="1"/>
  <c r="AB181" i="3" s="1"/>
  <c r="AK181" i="3"/>
  <c r="AJ181" i="3"/>
  <c r="AH181" i="3"/>
  <c r="AG181" i="3"/>
  <c r="AF181" i="3"/>
  <c r="AE181" i="3"/>
  <c r="AD181" i="3"/>
  <c r="AC181" i="3"/>
  <c r="Z181" i="3"/>
  <c r="L181" i="3"/>
  <c r="I181" i="3"/>
  <c r="AL181" i="3" s="1"/>
  <c r="BJ167" i="3"/>
  <c r="BF167" i="3"/>
  <c r="BD167" i="3"/>
  <c r="AW167" i="3"/>
  <c r="AP167" i="3"/>
  <c r="BI167" i="3" s="1"/>
  <c r="AO167" i="3"/>
  <c r="BH167" i="3" s="1"/>
  <c r="AB167" i="3" s="1"/>
  <c r="AK167" i="3"/>
  <c r="AJ167" i="3"/>
  <c r="AH167" i="3"/>
  <c r="AG167" i="3"/>
  <c r="AF167" i="3"/>
  <c r="AE167" i="3"/>
  <c r="AD167" i="3"/>
  <c r="AC167" i="3"/>
  <c r="Z167" i="3"/>
  <c r="L167" i="3"/>
  <c r="I167" i="3"/>
  <c r="AL167" i="3" s="1"/>
  <c r="BJ126" i="3"/>
  <c r="BF126" i="3"/>
  <c r="BD126" i="3"/>
  <c r="AW126" i="3"/>
  <c r="AP126" i="3"/>
  <c r="BI126" i="3" s="1"/>
  <c r="AO126" i="3"/>
  <c r="BH126" i="3" s="1"/>
  <c r="AB126" i="3" s="1"/>
  <c r="AK126" i="3"/>
  <c r="AJ126" i="3"/>
  <c r="AH126" i="3"/>
  <c r="AG126" i="3"/>
  <c r="AF126" i="3"/>
  <c r="AE126" i="3"/>
  <c r="AD126" i="3"/>
  <c r="AC126" i="3"/>
  <c r="Z126" i="3"/>
  <c r="L126" i="3"/>
  <c r="I126" i="3"/>
  <c r="AL126" i="3" s="1"/>
  <c r="BJ98" i="3"/>
  <c r="BF98" i="3"/>
  <c r="BD98" i="3"/>
  <c r="AW98" i="3"/>
  <c r="AP98" i="3"/>
  <c r="BI98" i="3" s="1"/>
  <c r="AO98" i="3"/>
  <c r="BH98" i="3" s="1"/>
  <c r="AB98" i="3" s="1"/>
  <c r="AK98" i="3"/>
  <c r="AT97" i="3" s="1"/>
  <c r="AJ98" i="3"/>
  <c r="AH98" i="3"/>
  <c r="AG98" i="3"/>
  <c r="AF98" i="3"/>
  <c r="AE98" i="3"/>
  <c r="AD98" i="3"/>
  <c r="AC98" i="3"/>
  <c r="Z98" i="3"/>
  <c r="L98" i="3"/>
  <c r="I98" i="3"/>
  <c r="AL98" i="3" s="1"/>
  <c r="AU97" i="3" s="1"/>
  <c r="AS97" i="3"/>
  <c r="L97" i="3"/>
  <c r="I97" i="3"/>
  <c r="BJ93" i="3"/>
  <c r="BI93" i="3"/>
  <c r="BH93" i="3"/>
  <c r="BF93" i="3"/>
  <c r="BD93" i="3"/>
  <c r="AX93" i="3"/>
  <c r="AW93" i="3"/>
  <c r="AP93" i="3"/>
  <c r="AO93" i="3"/>
  <c r="AK93" i="3"/>
  <c r="AJ93" i="3"/>
  <c r="AH93" i="3"/>
  <c r="AG93" i="3"/>
  <c r="AF93" i="3"/>
  <c r="AE93" i="3"/>
  <c r="AD93" i="3"/>
  <c r="AC93" i="3"/>
  <c r="AB93" i="3"/>
  <c r="Z93" i="3"/>
  <c r="L93" i="3"/>
  <c r="I93" i="3"/>
  <c r="AL93" i="3" s="1"/>
  <c r="BJ84" i="3"/>
  <c r="BF84" i="3"/>
  <c r="BD84" i="3"/>
  <c r="AX84" i="3"/>
  <c r="AW84" i="3"/>
  <c r="BC84" i="3" s="1"/>
  <c r="AV84" i="3"/>
  <c r="AP84" i="3"/>
  <c r="BI84" i="3" s="1"/>
  <c r="AC84" i="3" s="1"/>
  <c r="AO84" i="3"/>
  <c r="BH84" i="3" s="1"/>
  <c r="AK84" i="3"/>
  <c r="AJ84" i="3"/>
  <c r="AH84" i="3"/>
  <c r="AG84" i="3"/>
  <c r="AF84" i="3"/>
  <c r="AE84" i="3"/>
  <c r="AD84" i="3"/>
  <c r="AB84" i="3"/>
  <c r="Z84" i="3"/>
  <c r="L84" i="3"/>
  <c r="I84" i="3"/>
  <c r="AL84" i="3" s="1"/>
  <c r="BJ76" i="3"/>
  <c r="BF76" i="3"/>
  <c r="BD76" i="3"/>
  <c r="AX76" i="3"/>
  <c r="AW76" i="3"/>
  <c r="BC76" i="3" s="1"/>
  <c r="AV76" i="3"/>
  <c r="AP76" i="3"/>
  <c r="BI76" i="3" s="1"/>
  <c r="AC76" i="3" s="1"/>
  <c r="AO76" i="3"/>
  <c r="BH76" i="3" s="1"/>
  <c r="AK76" i="3"/>
  <c r="AJ76" i="3"/>
  <c r="AH76" i="3"/>
  <c r="AG76" i="3"/>
  <c r="AF76" i="3"/>
  <c r="AE76" i="3"/>
  <c r="AD76" i="3"/>
  <c r="AB76" i="3"/>
  <c r="Z76" i="3"/>
  <c r="L76" i="3"/>
  <c r="I76" i="3"/>
  <c r="AL76" i="3" s="1"/>
  <c r="BJ63" i="3"/>
  <c r="BF63" i="3"/>
  <c r="BD63" i="3"/>
  <c r="AX63" i="3"/>
  <c r="AW63" i="3"/>
  <c r="BC63" i="3" s="1"/>
  <c r="AV63" i="3"/>
  <c r="AP63" i="3"/>
  <c r="BI63" i="3" s="1"/>
  <c r="AC63" i="3" s="1"/>
  <c r="AO63" i="3"/>
  <c r="BH63" i="3" s="1"/>
  <c r="AK63" i="3"/>
  <c r="AJ63" i="3"/>
  <c r="AH63" i="3"/>
  <c r="AG63" i="3"/>
  <c r="AF63" i="3"/>
  <c r="AE63" i="3"/>
  <c r="AD63" i="3"/>
  <c r="AB63" i="3"/>
  <c r="Z63" i="3"/>
  <c r="L63" i="3"/>
  <c r="I63" i="3"/>
  <c r="AL63" i="3" s="1"/>
  <c r="BJ61" i="3"/>
  <c r="BF61" i="3"/>
  <c r="BD61" i="3"/>
  <c r="AX61" i="3"/>
  <c r="AW61" i="3"/>
  <c r="BC61" i="3" s="1"/>
  <c r="AV61" i="3"/>
  <c r="AP61" i="3"/>
  <c r="BI61" i="3" s="1"/>
  <c r="AC61" i="3" s="1"/>
  <c r="AO61" i="3"/>
  <c r="BH61" i="3" s="1"/>
  <c r="AK61" i="3"/>
  <c r="AJ61" i="3"/>
  <c r="AH61" i="3"/>
  <c r="AG61" i="3"/>
  <c r="AF61" i="3"/>
  <c r="AE61" i="3"/>
  <c r="AD61" i="3"/>
  <c r="AB61" i="3"/>
  <c r="Z61" i="3"/>
  <c r="L61" i="3"/>
  <c r="I61" i="3"/>
  <c r="AL61" i="3" s="1"/>
  <c r="BJ56" i="3"/>
  <c r="BF56" i="3"/>
  <c r="BD56" i="3"/>
  <c r="AX56" i="3"/>
  <c r="AW56" i="3"/>
  <c r="BC56" i="3" s="1"/>
  <c r="AV56" i="3"/>
  <c r="AP56" i="3"/>
  <c r="BI56" i="3" s="1"/>
  <c r="AC56" i="3" s="1"/>
  <c r="AO56" i="3"/>
  <c r="BH56" i="3" s="1"/>
  <c r="AK56" i="3"/>
  <c r="AJ56" i="3"/>
  <c r="AH56" i="3"/>
  <c r="AG56" i="3"/>
  <c r="AF56" i="3"/>
  <c r="AE56" i="3"/>
  <c r="AD56" i="3"/>
  <c r="AB56" i="3"/>
  <c r="Z56" i="3"/>
  <c r="L56" i="3"/>
  <c r="I56" i="3"/>
  <c r="AL56" i="3" s="1"/>
  <c r="BJ51" i="3"/>
  <c r="BF51" i="3"/>
  <c r="BD51" i="3"/>
  <c r="AX51" i="3"/>
  <c r="AW51" i="3"/>
  <c r="BC51" i="3" s="1"/>
  <c r="AV51" i="3"/>
  <c r="AP51" i="3"/>
  <c r="BI51" i="3" s="1"/>
  <c r="AC51" i="3" s="1"/>
  <c r="AO51" i="3"/>
  <c r="BH51" i="3" s="1"/>
  <c r="AK51" i="3"/>
  <c r="AJ51" i="3"/>
  <c r="AH51" i="3"/>
  <c r="AG51" i="3"/>
  <c r="AF51" i="3"/>
  <c r="AE51" i="3"/>
  <c r="AD51" i="3"/>
  <c r="AB51" i="3"/>
  <c r="Z51" i="3"/>
  <c r="L51" i="3"/>
  <c r="I51" i="3"/>
  <c r="AL51" i="3" s="1"/>
  <c r="AU50" i="3"/>
  <c r="AS50" i="3"/>
  <c r="L50" i="3"/>
  <c r="I50" i="3"/>
  <c r="BJ48" i="3"/>
  <c r="BF48" i="3"/>
  <c r="BD48" i="3"/>
  <c r="AX48" i="3"/>
  <c r="AW48" i="3"/>
  <c r="AP48" i="3"/>
  <c r="BI48" i="3" s="1"/>
  <c r="AO48" i="3"/>
  <c r="BH48" i="3" s="1"/>
  <c r="AB48" i="3" s="1"/>
  <c r="AL48" i="3"/>
  <c r="AK48" i="3"/>
  <c r="AJ48" i="3"/>
  <c r="AH48" i="3"/>
  <c r="AG48" i="3"/>
  <c r="AF48" i="3"/>
  <c r="AE48" i="3"/>
  <c r="AD48" i="3"/>
  <c r="AC48" i="3"/>
  <c r="Z48" i="3"/>
  <c r="L48" i="3"/>
  <c r="I48" i="3"/>
  <c r="BJ46" i="3"/>
  <c r="BF46" i="3"/>
  <c r="BD46" i="3"/>
  <c r="AX46" i="3"/>
  <c r="AW46" i="3"/>
  <c r="AP46" i="3"/>
  <c r="BI46" i="3" s="1"/>
  <c r="AC46" i="3" s="1"/>
  <c r="AO46" i="3"/>
  <c r="BH46" i="3" s="1"/>
  <c r="AB46" i="3" s="1"/>
  <c r="AK46" i="3"/>
  <c r="AJ46" i="3"/>
  <c r="AH46" i="3"/>
  <c r="AG46" i="3"/>
  <c r="AF46" i="3"/>
  <c r="AE46" i="3"/>
  <c r="AD46" i="3"/>
  <c r="Z46" i="3"/>
  <c r="L46" i="3"/>
  <c r="I46" i="3"/>
  <c r="AL46" i="3" s="1"/>
  <c r="BJ42" i="3"/>
  <c r="BF42" i="3"/>
  <c r="BD42" i="3"/>
  <c r="AX42" i="3"/>
  <c r="AW42" i="3"/>
  <c r="AP42" i="3"/>
  <c r="BI42" i="3" s="1"/>
  <c r="AC42" i="3" s="1"/>
  <c r="AO42" i="3"/>
  <c r="BH42" i="3" s="1"/>
  <c r="AB42" i="3" s="1"/>
  <c r="AK42" i="3"/>
  <c r="AJ42" i="3"/>
  <c r="AH42" i="3"/>
  <c r="AG42" i="3"/>
  <c r="AF42" i="3"/>
  <c r="AE42" i="3"/>
  <c r="AD42" i="3"/>
  <c r="Z42" i="3"/>
  <c r="L42" i="3"/>
  <c r="I42" i="3"/>
  <c r="AL42" i="3" s="1"/>
  <c r="BJ38" i="3"/>
  <c r="BF38" i="3"/>
  <c r="BD38" i="3"/>
  <c r="AX38" i="3"/>
  <c r="AW38" i="3"/>
  <c r="AP38" i="3"/>
  <c r="BI38" i="3" s="1"/>
  <c r="AO38" i="3"/>
  <c r="BH38" i="3" s="1"/>
  <c r="AB38" i="3" s="1"/>
  <c r="AL38" i="3"/>
  <c r="AK38" i="3"/>
  <c r="AJ38" i="3"/>
  <c r="AH38" i="3"/>
  <c r="AG38" i="3"/>
  <c r="AF38" i="3"/>
  <c r="AE38" i="3"/>
  <c r="AD38" i="3"/>
  <c r="AC38" i="3"/>
  <c r="Z38" i="3"/>
  <c r="L38" i="3"/>
  <c r="I38" i="3"/>
  <c r="BJ34" i="3"/>
  <c r="BF34" i="3"/>
  <c r="BD34" i="3"/>
  <c r="AX34" i="3"/>
  <c r="AW34" i="3"/>
  <c r="AP34" i="3"/>
  <c r="BI34" i="3" s="1"/>
  <c r="AO34" i="3"/>
  <c r="BH34" i="3" s="1"/>
  <c r="AB34" i="3" s="1"/>
  <c r="AL34" i="3"/>
  <c r="AK34" i="3"/>
  <c r="AJ34" i="3"/>
  <c r="AH34" i="3"/>
  <c r="AG34" i="3"/>
  <c r="AF34" i="3"/>
  <c r="AE34" i="3"/>
  <c r="AD34" i="3"/>
  <c r="AC34" i="3"/>
  <c r="Z34" i="3"/>
  <c r="L34" i="3"/>
  <c r="I34" i="3"/>
  <c r="BJ30" i="3"/>
  <c r="BF30" i="3"/>
  <c r="BD30" i="3"/>
  <c r="AX30" i="3"/>
  <c r="AW30" i="3"/>
  <c r="AP30" i="3"/>
  <c r="BI30" i="3" s="1"/>
  <c r="AC30" i="3" s="1"/>
  <c r="AO30" i="3"/>
  <c r="BH30" i="3" s="1"/>
  <c r="AB30" i="3" s="1"/>
  <c r="AK30" i="3"/>
  <c r="AJ30" i="3"/>
  <c r="AH30" i="3"/>
  <c r="AG30" i="3"/>
  <c r="AF30" i="3"/>
  <c r="AE30" i="3"/>
  <c r="AD30" i="3"/>
  <c r="Z30" i="3"/>
  <c r="L30" i="3"/>
  <c r="I30" i="3"/>
  <c r="AL30" i="3" s="1"/>
  <c r="BJ27" i="3"/>
  <c r="BF27" i="3"/>
  <c r="BD27" i="3"/>
  <c r="AX27" i="3"/>
  <c r="AW27" i="3"/>
  <c r="AP27" i="3"/>
  <c r="BI27" i="3" s="1"/>
  <c r="AC27" i="3" s="1"/>
  <c r="AO27" i="3"/>
  <c r="BH27" i="3" s="1"/>
  <c r="AB27" i="3" s="1"/>
  <c r="AK27" i="3"/>
  <c r="AJ27" i="3"/>
  <c r="AH27" i="3"/>
  <c r="AG27" i="3"/>
  <c r="AF27" i="3"/>
  <c r="AE27" i="3"/>
  <c r="AD27" i="3"/>
  <c r="Z27" i="3"/>
  <c r="L27" i="3"/>
  <c r="I27" i="3"/>
  <c r="AL27" i="3" s="1"/>
  <c r="BJ23" i="3"/>
  <c r="BF23" i="3"/>
  <c r="BD23" i="3"/>
  <c r="AX23" i="3"/>
  <c r="AW23" i="3"/>
  <c r="AP23" i="3"/>
  <c r="BI23" i="3" s="1"/>
  <c r="AO23" i="3"/>
  <c r="BH23" i="3" s="1"/>
  <c r="AB23" i="3" s="1"/>
  <c r="AL23" i="3"/>
  <c r="AK23" i="3"/>
  <c r="AJ23" i="3"/>
  <c r="AH23" i="3"/>
  <c r="AG23" i="3"/>
  <c r="AF23" i="3"/>
  <c r="AE23" i="3"/>
  <c r="AD23" i="3"/>
  <c r="AC23" i="3"/>
  <c r="Z23" i="3"/>
  <c r="L23" i="3"/>
  <c r="I23" i="3"/>
  <c r="AT22" i="3"/>
  <c r="AS22" i="3"/>
  <c r="L22" i="3"/>
  <c r="BJ20" i="3"/>
  <c r="BD20" i="3"/>
  <c r="AX20" i="3"/>
  <c r="AP20" i="3"/>
  <c r="BI20" i="3" s="1"/>
  <c r="AO20" i="3"/>
  <c r="AW20" i="3" s="1"/>
  <c r="AK20" i="3"/>
  <c r="AJ20" i="3"/>
  <c r="AH20" i="3"/>
  <c r="AG20" i="3"/>
  <c r="AF20" i="3"/>
  <c r="AE20" i="3"/>
  <c r="AD20" i="3"/>
  <c r="AC20" i="3"/>
  <c r="AB20" i="3"/>
  <c r="Z20" i="3"/>
  <c r="L20" i="3"/>
  <c r="BF20" i="3" s="1"/>
  <c r="I20" i="3"/>
  <c r="AL20" i="3" s="1"/>
  <c r="BJ17" i="3"/>
  <c r="BD17" i="3"/>
  <c r="AX17" i="3"/>
  <c r="AP17" i="3"/>
  <c r="BI17" i="3" s="1"/>
  <c r="AC17" i="3" s="1"/>
  <c r="AO17" i="3"/>
  <c r="AW17" i="3" s="1"/>
  <c r="AK17" i="3"/>
  <c r="AJ17" i="3"/>
  <c r="AH17" i="3"/>
  <c r="AG17" i="3"/>
  <c r="AF17" i="3"/>
  <c r="AE17" i="3"/>
  <c r="AD17" i="3"/>
  <c r="Z17" i="3"/>
  <c r="L17" i="3"/>
  <c r="BF17" i="3" s="1"/>
  <c r="I17" i="3"/>
  <c r="AL17" i="3" s="1"/>
  <c r="BJ14" i="3"/>
  <c r="BD14" i="3"/>
  <c r="AX14" i="3"/>
  <c r="AP14" i="3"/>
  <c r="BI14" i="3" s="1"/>
  <c r="AC14" i="3" s="1"/>
  <c r="AO14" i="3"/>
  <c r="AW14" i="3" s="1"/>
  <c r="AK14" i="3"/>
  <c r="AJ14" i="3"/>
  <c r="AH14" i="3"/>
  <c r="AG14" i="3"/>
  <c r="AF14" i="3"/>
  <c r="AE14" i="3"/>
  <c r="AD14" i="3"/>
  <c r="Z14" i="3"/>
  <c r="L14" i="3"/>
  <c r="I14" i="3"/>
  <c r="AL14" i="3" s="1"/>
  <c r="AT13" i="3"/>
  <c r="AS13" i="3"/>
  <c r="I13" i="3"/>
  <c r="AU1" i="3"/>
  <c r="AT1" i="3"/>
  <c r="AS1" i="3"/>
  <c r="F44" i="2"/>
  <c r="I44" i="2" s="1"/>
  <c r="F43" i="2"/>
  <c r="I43" i="2" s="1"/>
  <c r="F42" i="2"/>
  <c r="I42" i="2" s="1"/>
  <c r="F41" i="2"/>
  <c r="I41" i="2" s="1"/>
  <c r="F40" i="2"/>
  <c r="I40" i="2" s="1"/>
  <c r="F39" i="2"/>
  <c r="I39" i="2" s="1"/>
  <c r="F38" i="2"/>
  <c r="I38" i="2" s="1"/>
  <c r="F37" i="2"/>
  <c r="I37" i="2" s="1"/>
  <c r="F36" i="2"/>
  <c r="I36" i="2" s="1"/>
  <c r="F35" i="2"/>
  <c r="I35" i="2" s="1"/>
  <c r="I26" i="2"/>
  <c r="I19" i="1" s="1"/>
  <c r="I25" i="2"/>
  <c r="I18" i="1" s="1"/>
  <c r="I24" i="2"/>
  <c r="I23" i="2"/>
  <c r="I22" i="2"/>
  <c r="I15" i="1" s="1"/>
  <c r="I21" i="2"/>
  <c r="I17" i="2"/>
  <c r="I16" i="2"/>
  <c r="I15" i="2"/>
  <c r="I10" i="2"/>
  <c r="F10" i="2"/>
  <c r="C10" i="2"/>
  <c r="F8" i="2"/>
  <c r="C8" i="2"/>
  <c r="F6" i="2"/>
  <c r="C6" i="2"/>
  <c r="F4" i="2"/>
  <c r="C4" i="2"/>
  <c r="F2" i="2"/>
  <c r="C2" i="2"/>
  <c r="I17" i="1"/>
  <c r="I16" i="1"/>
  <c r="F16" i="1"/>
  <c r="F15" i="1"/>
  <c r="I10" i="1"/>
  <c r="F10" i="1"/>
  <c r="C10" i="1"/>
  <c r="F8" i="1"/>
  <c r="C8" i="1"/>
  <c r="F6" i="1"/>
  <c r="C6" i="1"/>
  <c r="F4" i="1"/>
  <c r="C4" i="1"/>
  <c r="F2" i="1"/>
  <c r="C2" i="1"/>
  <c r="J211" i="10" l="1"/>
  <c r="H60" i="10"/>
  <c r="H228" i="10"/>
  <c r="H241" i="10"/>
  <c r="H300" i="10"/>
  <c r="J121" i="10"/>
  <c r="H63" i="10"/>
  <c r="J115" i="10"/>
  <c r="H230" i="10"/>
  <c r="H191" i="10"/>
  <c r="J230" i="10"/>
  <c r="H310" i="10"/>
  <c r="H107" i="10"/>
  <c r="J116" i="10"/>
  <c r="J134" i="10"/>
  <c r="J214" i="10"/>
  <c r="J264" i="10"/>
  <c r="J275" i="10"/>
  <c r="H302" i="10"/>
  <c r="H13" i="10"/>
  <c r="H42" i="10" s="1"/>
  <c r="H192" i="10"/>
  <c r="H216" i="10"/>
  <c r="J216" i="10"/>
  <c r="J265" i="10"/>
  <c r="J276" i="10"/>
  <c r="J117" i="10"/>
  <c r="J26" i="10"/>
  <c r="H28" i="10"/>
  <c r="H81" i="10"/>
  <c r="H118" i="10"/>
  <c r="H93" i="10"/>
  <c r="H238" i="10"/>
  <c r="J267" i="10"/>
  <c r="H17" i="10"/>
  <c r="J81" i="10"/>
  <c r="H269" i="10"/>
  <c r="H82" i="10"/>
  <c r="J93" i="10"/>
  <c r="J30" i="10"/>
  <c r="J82" i="10"/>
  <c r="H110" i="10"/>
  <c r="H129" i="10"/>
  <c r="J101" i="10"/>
  <c r="J19" i="10"/>
  <c r="J83" i="10"/>
  <c r="H95" i="10"/>
  <c r="H224" i="10"/>
  <c r="J270" i="10"/>
  <c r="H94" i="10"/>
  <c r="H55" i="10"/>
  <c r="J95" i="10"/>
  <c r="H121" i="10"/>
  <c r="H211" i="10"/>
  <c r="J296" i="10"/>
  <c r="J22" i="4"/>
  <c r="J131" i="10"/>
  <c r="H98" i="10"/>
  <c r="J198" i="10"/>
  <c r="J107" i="10"/>
  <c r="H157" i="10"/>
  <c r="J221" i="10"/>
  <c r="J124" i="10"/>
  <c r="J157" i="10"/>
  <c r="H199" i="10"/>
  <c r="J99" i="10"/>
  <c r="H108" i="10"/>
  <c r="J159" i="10"/>
  <c r="J224" i="10"/>
  <c r="J125" i="10"/>
  <c r="H100" i="10"/>
  <c r="H126" i="10"/>
  <c r="J36" i="10"/>
  <c r="J42" i="10" s="1"/>
  <c r="E46" i="10" s="1"/>
  <c r="L46" i="10" s="1"/>
  <c r="H46" i="10" s="1"/>
  <c r="H101" i="10"/>
  <c r="H173" i="10"/>
  <c r="J160" i="10"/>
  <c r="J203" i="10"/>
  <c r="J293" i="10"/>
  <c r="H265" i="10"/>
  <c r="H84" i="10"/>
  <c r="J110" i="10"/>
  <c r="H127" i="10"/>
  <c r="H143" i="10"/>
  <c r="H266" i="10"/>
  <c r="J84" i="10"/>
  <c r="H267" i="10"/>
  <c r="J143" i="10"/>
  <c r="H193" i="10"/>
  <c r="H268" i="10"/>
  <c r="H102" i="10"/>
  <c r="H231" i="10"/>
  <c r="H85" i="10"/>
  <c r="H175" i="10"/>
  <c r="J231" i="10"/>
  <c r="H145" i="10"/>
  <c r="H207" i="10"/>
  <c r="H219" i="10"/>
  <c r="H271" i="10"/>
  <c r="J129" i="10"/>
  <c r="H272" i="10"/>
  <c r="J40" i="10"/>
  <c r="J90" i="10"/>
  <c r="H114" i="10"/>
  <c r="J219" i="10"/>
  <c r="H273" i="10"/>
  <c r="H97" i="10"/>
  <c r="J130" i="10"/>
  <c r="H197" i="10"/>
  <c r="H274" i="10"/>
  <c r="H104" i="10"/>
  <c r="J146" i="10"/>
  <c r="H275" i="10"/>
  <c r="J104" i="10"/>
  <c r="H122" i="10"/>
  <c r="H131" i="10"/>
  <c r="H169" i="10"/>
  <c r="H177" i="10"/>
  <c r="J288" i="10"/>
  <c r="J306" i="10"/>
  <c r="H276" i="10"/>
  <c r="AX1092" i="3"/>
  <c r="I45" i="2"/>
  <c r="I24" i="1" s="1"/>
  <c r="H220" i="10"/>
  <c r="G46" i="6"/>
  <c r="H1073" i="3" s="1"/>
  <c r="I1073" i="3" s="1"/>
  <c r="AL1073" i="3" s="1"/>
  <c r="J87" i="4"/>
  <c r="F77" i="7"/>
  <c r="H1075" i="3" s="1"/>
  <c r="G47" i="5"/>
  <c r="H1071" i="3" s="1"/>
  <c r="I1071" i="3" s="1"/>
  <c r="AL1071" i="3" s="1"/>
  <c r="AW1034" i="3"/>
  <c r="H120" i="10"/>
  <c r="H125" i="10"/>
  <c r="H130" i="10"/>
  <c r="H203" i="10"/>
  <c r="H210" i="10"/>
  <c r="H281" i="10"/>
  <c r="D35" i="8"/>
  <c r="H1077" i="3" s="1"/>
  <c r="C27" i="1"/>
  <c r="AS1068" i="3"/>
  <c r="C20" i="1"/>
  <c r="AT1068" i="3"/>
  <c r="J66" i="4"/>
  <c r="C21" i="1"/>
  <c r="I14" i="1"/>
  <c r="I22" i="1" s="1"/>
  <c r="I27" i="2"/>
  <c r="BC20" i="3"/>
  <c r="AV20" i="3"/>
  <c r="BH20" i="3"/>
  <c r="AU22" i="3"/>
  <c r="AV34" i="3"/>
  <c r="BC34" i="3"/>
  <c r="I18" i="2"/>
  <c r="F14" i="1"/>
  <c r="F22" i="1" s="1"/>
  <c r="BF14" i="3"/>
  <c r="L13" i="3"/>
  <c r="AV30" i="3"/>
  <c r="BC30" i="3"/>
  <c r="AV46" i="3"/>
  <c r="BC46" i="3"/>
  <c r="AV14" i="3"/>
  <c r="BC14" i="3"/>
  <c r="BH14" i="3"/>
  <c r="AB14" i="3" s="1"/>
  <c r="BC17" i="3"/>
  <c r="AV17" i="3"/>
  <c r="BH17" i="3"/>
  <c r="AB17" i="3" s="1"/>
  <c r="AV27" i="3"/>
  <c r="BC27" i="3"/>
  <c r="AV42" i="3"/>
  <c r="BC42" i="3"/>
  <c r="AU13" i="3"/>
  <c r="AV48" i="3"/>
  <c r="BC48" i="3"/>
  <c r="I22" i="3"/>
  <c r="AV93" i="3"/>
  <c r="BC93" i="3"/>
  <c r="AV98" i="3"/>
  <c r="AV23" i="3"/>
  <c r="BC23" i="3"/>
  <c r="AV38" i="3"/>
  <c r="BC38" i="3"/>
  <c r="AT50" i="3"/>
  <c r="C28" i="1"/>
  <c r="F28" i="1" s="1"/>
  <c r="BC126" i="3"/>
  <c r="AL427" i="3"/>
  <c r="AU422" i="3" s="1"/>
  <c r="BI455" i="3"/>
  <c r="AE455" i="3" s="1"/>
  <c r="BI520" i="3"/>
  <c r="AE520" i="3" s="1"/>
  <c r="BI540" i="3"/>
  <c r="AE540" i="3" s="1"/>
  <c r="AV565" i="3"/>
  <c r="AV593" i="3"/>
  <c r="BH598" i="3"/>
  <c r="AD598" i="3" s="1"/>
  <c r="AW598" i="3"/>
  <c r="BC621" i="3"/>
  <c r="AV621" i="3"/>
  <c r="BI342" i="3"/>
  <c r="AC342" i="3" s="1"/>
  <c r="BH350" i="3"/>
  <c r="AB350" i="3" s="1"/>
  <c r="AV373" i="3"/>
  <c r="BC373" i="3"/>
  <c r="AV403" i="3"/>
  <c r="BC403" i="3"/>
  <c r="AV410" i="3"/>
  <c r="BC410" i="3"/>
  <c r="AV417" i="3"/>
  <c r="BC417" i="3"/>
  <c r="AV550" i="3"/>
  <c r="BF565" i="3"/>
  <c r="L564" i="3"/>
  <c r="AV569" i="3"/>
  <c r="BC569" i="3"/>
  <c r="AV571" i="3"/>
  <c r="BC571" i="3"/>
  <c r="BF586" i="3"/>
  <c r="L585" i="3"/>
  <c r="BH586" i="3"/>
  <c r="AD586" i="3" s="1"/>
  <c r="BH589" i="3"/>
  <c r="AD589" i="3" s="1"/>
  <c r="BH593" i="3"/>
  <c r="AD593" i="3" s="1"/>
  <c r="BI598" i="3"/>
  <c r="AE598" i="3" s="1"/>
  <c r="BC716" i="3"/>
  <c r="BC757" i="3"/>
  <c r="AV1002" i="3"/>
  <c r="BC1002" i="3"/>
  <c r="I1033" i="3"/>
  <c r="AL1034" i="3"/>
  <c r="AU1033" i="3" s="1"/>
  <c r="AV347" i="3"/>
  <c r="AX350" i="3"/>
  <c r="BC350" i="3" s="1"/>
  <c r="AT422" i="3"/>
  <c r="BI436" i="3"/>
  <c r="AE436" i="3" s="1"/>
  <c r="C17" i="1" s="1"/>
  <c r="BI473" i="3"/>
  <c r="AE473" i="3" s="1"/>
  <c r="BI502" i="3"/>
  <c r="AE502" i="3" s="1"/>
  <c r="BI535" i="3"/>
  <c r="AE535" i="3" s="1"/>
  <c r="BI545" i="3"/>
  <c r="AE545" i="3" s="1"/>
  <c r="AX565" i="3"/>
  <c r="AX586" i="3"/>
  <c r="AV586" i="3" s="1"/>
  <c r="AX589" i="3"/>
  <c r="BC589" i="3" s="1"/>
  <c r="AX591" i="3"/>
  <c r="AX593" i="3"/>
  <c r="AX595" i="3"/>
  <c r="BC595" i="3" s="1"/>
  <c r="BC606" i="3"/>
  <c r="AV615" i="3"/>
  <c r="AX671" i="3"/>
  <c r="BI671" i="3"/>
  <c r="AE671" i="3" s="1"/>
  <c r="BI678" i="3"/>
  <c r="AE678" i="3" s="1"/>
  <c r="AX678" i="3"/>
  <c r="AV678" i="3" s="1"/>
  <c r="BI697" i="3"/>
  <c r="AE697" i="3" s="1"/>
  <c r="AX697" i="3"/>
  <c r="BI716" i="3"/>
  <c r="AE716" i="3" s="1"/>
  <c r="AX716" i="3"/>
  <c r="AV716" i="3" s="1"/>
  <c r="BI720" i="3"/>
  <c r="AE720" i="3" s="1"/>
  <c r="AX720" i="3"/>
  <c r="BI738" i="3"/>
  <c r="AE738" i="3" s="1"/>
  <c r="AX738" i="3"/>
  <c r="BI757" i="3"/>
  <c r="AE757" i="3" s="1"/>
  <c r="AX757" i="3"/>
  <c r="AV757" i="3" s="1"/>
  <c r="AV783" i="3"/>
  <c r="BC783" i="3"/>
  <c r="I1001" i="3"/>
  <c r="AL1002" i="3"/>
  <c r="AU1001" i="3" s="1"/>
  <c r="BC219" i="3"/>
  <c r="AV350" i="3"/>
  <c r="BI485" i="3"/>
  <c r="AE485" i="3" s="1"/>
  <c r="AV591" i="3"/>
  <c r="AV595" i="3"/>
  <c r="AL603" i="3"/>
  <c r="AU585" i="3" s="1"/>
  <c r="I585" i="3"/>
  <c r="AV1092" i="3"/>
  <c r="BC1092" i="3"/>
  <c r="BH1092" i="3"/>
  <c r="BI307" i="3"/>
  <c r="AC307" i="3" s="1"/>
  <c r="BF347" i="3"/>
  <c r="L346" i="3"/>
  <c r="AV354" i="3"/>
  <c r="BC354" i="3"/>
  <c r="AV388" i="3"/>
  <c r="BC388" i="3"/>
  <c r="AV407" i="3"/>
  <c r="BC407" i="3"/>
  <c r="AV413" i="3"/>
  <c r="BC413" i="3"/>
  <c r="AV420" i="3"/>
  <c r="BC420" i="3"/>
  <c r="BI550" i="3"/>
  <c r="AE550" i="3" s="1"/>
  <c r="BH565" i="3"/>
  <c r="AD565" i="3" s="1"/>
  <c r="C16" i="1" s="1"/>
  <c r="BH591" i="3"/>
  <c r="AD591" i="3" s="1"/>
  <c r="BH595" i="3"/>
  <c r="AD595" i="3" s="1"/>
  <c r="BC630" i="3"/>
  <c r="AV630" i="3"/>
  <c r="AX676" i="3"/>
  <c r="BI676" i="3"/>
  <c r="AV697" i="3"/>
  <c r="BC697" i="3"/>
  <c r="AV720" i="3"/>
  <c r="BC720" i="3"/>
  <c r="AV738" i="3"/>
  <c r="BC738" i="3"/>
  <c r="AV787" i="3"/>
  <c r="BC787" i="3"/>
  <c r="I802" i="3"/>
  <c r="BH1002" i="3"/>
  <c r="AB1002" i="3" s="1"/>
  <c r="BF1092" i="3"/>
  <c r="L1091" i="3"/>
  <c r="BI259" i="3"/>
  <c r="AC259" i="3" s="1"/>
  <c r="C15" i="1" s="1"/>
  <c r="BI319" i="3"/>
  <c r="AC319" i="3" s="1"/>
  <c r="BI344" i="3"/>
  <c r="AC344" i="3" s="1"/>
  <c r="BH347" i="3"/>
  <c r="AB347" i="3" s="1"/>
  <c r="AV427" i="3"/>
  <c r="AS435" i="3"/>
  <c r="BI559" i="3"/>
  <c r="AE559" i="3" s="1"/>
  <c r="BI563" i="3"/>
  <c r="BC565" i="3"/>
  <c r="AV576" i="3"/>
  <c r="AV579" i="3"/>
  <c r="BI581" i="3"/>
  <c r="AE581" i="3" s="1"/>
  <c r="BC591" i="3"/>
  <c r="BC593" i="3"/>
  <c r="AX673" i="3"/>
  <c r="BI673" i="3"/>
  <c r="AE673" i="3" s="1"/>
  <c r="BF678" i="3"/>
  <c r="L677" i="3"/>
  <c r="BI767" i="3"/>
  <c r="AX767" i="3"/>
  <c r="AV767" i="3" s="1"/>
  <c r="AV769" i="3"/>
  <c r="BC769" i="3"/>
  <c r="BH801" i="3"/>
  <c r="AW801" i="3"/>
  <c r="BC873" i="3"/>
  <c r="AV873" i="3"/>
  <c r="BC933" i="3"/>
  <c r="AV933" i="3"/>
  <c r="AX98" i="3"/>
  <c r="BC98" i="3" s="1"/>
  <c r="AX126" i="3"/>
  <c r="AV126" i="3" s="1"/>
  <c r="AX167" i="3"/>
  <c r="BC167" i="3" s="1"/>
  <c r="AX181" i="3"/>
  <c r="AV181" i="3" s="1"/>
  <c r="AX219" i="3"/>
  <c r="AV219" i="3" s="1"/>
  <c r="AX251" i="3"/>
  <c r="AV251" i="3" s="1"/>
  <c r="AX255" i="3"/>
  <c r="BC255" i="3" s="1"/>
  <c r="L258" i="3"/>
  <c r="AW259" i="3"/>
  <c r="AW307" i="3"/>
  <c r="AW319" i="3"/>
  <c r="AW342" i="3"/>
  <c r="AW344" i="3"/>
  <c r="AW436" i="3"/>
  <c r="AW455" i="3"/>
  <c r="AW473" i="3"/>
  <c r="AW485" i="3"/>
  <c r="AW502" i="3"/>
  <c r="AW520" i="3"/>
  <c r="AW535" i="3"/>
  <c r="AW540" i="3"/>
  <c r="AW545" i="3"/>
  <c r="BC603" i="3"/>
  <c r="BC613" i="3"/>
  <c r="AV632" i="3"/>
  <c r="AL769" i="3"/>
  <c r="AU768" i="3" s="1"/>
  <c r="BC899" i="3"/>
  <c r="AV899" i="3"/>
  <c r="AS639" i="3"/>
  <c r="AX600" i="3"/>
  <c r="BC600" i="3" s="1"/>
  <c r="AX603" i="3"/>
  <c r="AV603" i="3" s="1"/>
  <c r="AX606" i="3"/>
  <c r="AV606" i="3" s="1"/>
  <c r="AX608" i="3"/>
  <c r="AV608" i="3" s="1"/>
  <c r="AX610" i="3"/>
  <c r="AV610" i="3" s="1"/>
  <c r="AX613" i="3"/>
  <c r="AV613" i="3" s="1"/>
  <c r="AX615" i="3"/>
  <c r="BC615" i="3" s="1"/>
  <c r="AX803" i="3"/>
  <c r="AV803" i="3" s="1"/>
  <c r="AX822" i="3"/>
  <c r="AV822" i="3" s="1"/>
  <c r="AV912" i="3"/>
  <c r="AV931" i="3"/>
  <c r="AV936" i="3"/>
  <c r="AV957" i="3"/>
  <c r="AV979" i="3"/>
  <c r="AV1086" i="3"/>
  <c r="BC1086" i="3"/>
  <c r="BH1086" i="3"/>
  <c r="BI841" i="3"/>
  <c r="AE841" i="3" s="1"/>
  <c r="AX841" i="3"/>
  <c r="AV841" i="3" s="1"/>
  <c r="BF936" i="3"/>
  <c r="L935" i="3"/>
  <c r="I1081" i="3"/>
  <c r="BF1086" i="3"/>
  <c r="L1085" i="3"/>
  <c r="L1081" i="3" s="1"/>
  <c r="BI1067" i="3"/>
  <c r="BI1083" i="3"/>
  <c r="AL1086" i="3"/>
  <c r="AU1085" i="3" s="1"/>
  <c r="BI1089" i="3"/>
  <c r="AL1092" i="3"/>
  <c r="AU1091" i="3" s="1"/>
  <c r="BI1095" i="3"/>
  <c r="AX845" i="3"/>
  <c r="BC845" i="3" s="1"/>
  <c r="AX1034" i="3"/>
  <c r="AW1067" i="3"/>
  <c r="AW1083" i="3"/>
  <c r="AW1089" i="3"/>
  <c r="AW1095" i="3"/>
  <c r="L1068" i="3"/>
  <c r="J162" i="10" l="1"/>
  <c r="E180" i="10" s="1"/>
  <c r="L180" i="10" s="1"/>
  <c r="H180" i="10" s="1"/>
  <c r="J312" i="10"/>
  <c r="E316" i="10" s="1"/>
  <c r="L316" i="10" s="1"/>
  <c r="H316" i="10" s="1"/>
  <c r="H278" i="10"/>
  <c r="J233" i="10"/>
  <c r="E250" i="10" s="1"/>
  <c r="L250" i="10" s="1"/>
  <c r="H250" i="10" s="1"/>
  <c r="J95" i="4"/>
  <c r="AP1073" i="3"/>
  <c r="AX1073" i="3" s="1"/>
  <c r="BJ1073" i="3"/>
  <c r="H312" i="10"/>
  <c r="H318" i="10" s="1"/>
  <c r="H233" i="10"/>
  <c r="H252" i="10" s="1"/>
  <c r="H162" i="10"/>
  <c r="H182" i="10" s="1"/>
  <c r="AO1073" i="3"/>
  <c r="BD1073" i="3"/>
  <c r="AO1071" i="3"/>
  <c r="AW1071" i="3" s="1"/>
  <c r="BD1071" i="3"/>
  <c r="BJ1071" i="3"/>
  <c r="AP1071" i="3"/>
  <c r="BI1071" i="3" s="1"/>
  <c r="AG1071" i="3" s="1"/>
  <c r="H1069" i="3"/>
  <c r="AP1069" i="3" s="1"/>
  <c r="AX1069" i="3" s="1"/>
  <c r="BC1034" i="3"/>
  <c r="H69" i="10"/>
  <c r="AP1075" i="3"/>
  <c r="AO1075" i="3"/>
  <c r="BJ1075" i="3"/>
  <c r="BD1075" i="3"/>
  <c r="I1075" i="3"/>
  <c r="AL1075" i="3" s="1"/>
  <c r="BD1077" i="3"/>
  <c r="I1077" i="3"/>
  <c r="AL1077" i="3" s="1"/>
  <c r="AO1077" i="3"/>
  <c r="AP1077" i="3"/>
  <c r="BJ1077" i="3"/>
  <c r="BI1073" i="3"/>
  <c r="AG1073" i="3" s="1"/>
  <c r="BC1067" i="3"/>
  <c r="AV1067" i="3"/>
  <c r="AV255" i="3"/>
  <c r="AV167" i="3"/>
  <c r="AV671" i="3"/>
  <c r="BC671" i="3"/>
  <c r="AV1034" i="3"/>
  <c r="AV502" i="3"/>
  <c r="BC502" i="3"/>
  <c r="AV436" i="3"/>
  <c r="BC436" i="3"/>
  <c r="BC767" i="3"/>
  <c r="C14" i="1"/>
  <c r="BC1089" i="3"/>
  <c r="AV1089" i="3"/>
  <c r="AV540" i="3"/>
  <c r="BC540" i="3"/>
  <c r="BC485" i="3"/>
  <c r="AV485" i="3"/>
  <c r="BC344" i="3"/>
  <c r="AV344" i="3"/>
  <c r="BC259" i="3"/>
  <c r="AV259" i="3"/>
  <c r="BC586" i="3"/>
  <c r="AV845" i="3"/>
  <c r="AV600" i="3"/>
  <c r="BC181" i="3"/>
  <c r="BC822" i="3"/>
  <c r="BC678" i="3"/>
  <c r="BC610" i="3"/>
  <c r="AV589" i="3"/>
  <c r="BC251" i="3"/>
  <c r="AV520" i="3"/>
  <c r="BC520" i="3"/>
  <c r="BC455" i="3"/>
  <c r="AV455" i="3"/>
  <c r="BC319" i="3"/>
  <c r="AV319" i="3"/>
  <c r="AV801" i="3"/>
  <c r="BC801" i="3"/>
  <c r="L12" i="3"/>
  <c r="BC1095" i="3"/>
  <c r="AV1095" i="3"/>
  <c r="AV545" i="3"/>
  <c r="BC545" i="3"/>
  <c r="BC307" i="3"/>
  <c r="AV307" i="3"/>
  <c r="BC673" i="3"/>
  <c r="AV673" i="3"/>
  <c r="BC1083" i="3"/>
  <c r="AV1083" i="3"/>
  <c r="BC841" i="3"/>
  <c r="BC803" i="3"/>
  <c r="BC608" i="3"/>
  <c r="AV535" i="3"/>
  <c r="BC535" i="3"/>
  <c r="AV473" i="3"/>
  <c r="BC473" i="3"/>
  <c r="BC342" i="3"/>
  <c r="AV342" i="3"/>
  <c r="AV676" i="3"/>
  <c r="BC676" i="3"/>
  <c r="AV598" i="3"/>
  <c r="BC598" i="3"/>
  <c r="F29" i="2"/>
  <c r="BH1071" i="3" l="1"/>
  <c r="AF1071" i="3" s="1"/>
  <c r="H1079" i="3"/>
  <c r="AP1079" i="3" s="1"/>
  <c r="AW1073" i="3"/>
  <c r="BH1073" i="3"/>
  <c r="AF1073" i="3" s="1"/>
  <c r="AX1071" i="3"/>
  <c r="BC1071" i="3" s="1"/>
  <c r="I1069" i="3"/>
  <c r="AO1069" i="3"/>
  <c r="BH1069" i="3" s="1"/>
  <c r="AF1069" i="3" s="1"/>
  <c r="BJ1069" i="3"/>
  <c r="BD1069" i="3"/>
  <c r="AW1075" i="3"/>
  <c r="BH1075" i="3"/>
  <c r="AF1075" i="3" s="1"/>
  <c r="AX1075" i="3"/>
  <c r="BI1075" i="3"/>
  <c r="AG1075" i="3" s="1"/>
  <c r="AL1069" i="3"/>
  <c r="AX1077" i="3"/>
  <c r="BI1077" i="3"/>
  <c r="AG1077" i="3" s="1"/>
  <c r="AW1077" i="3"/>
  <c r="BH1077" i="3"/>
  <c r="AF1077" i="3" s="1"/>
  <c r="BI1069" i="3"/>
  <c r="AG1069" i="3" s="1"/>
  <c r="AW1069" i="3"/>
  <c r="BC1069" i="3" s="1"/>
  <c r="AO1079" i="3" l="1"/>
  <c r="BD1079" i="3"/>
  <c r="I1079" i="3"/>
  <c r="AL1079" i="3" s="1"/>
  <c r="BJ1079" i="3"/>
  <c r="AV1073" i="3"/>
  <c r="BC1073" i="3"/>
  <c r="AV1071" i="3"/>
  <c r="C29" i="1"/>
  <c r="F29" i="1" s="1"/>
  <c r="I1068" i="3"/>
  <c r="AW1079" i="3"/>
  <c r="BH1079" i="3"/>
  <c r="AF1079" i="3" s="1"/>
  <c r="C18" i="1" s="1"/>
  <c r="AX1079" i="3"/>
  <c r="BI1079" i="3"/>
  <c r="AG1079" i="3" s="1"/>
  <c r="C19" i="1" s="1"/>
  <c r="BC1075" i="3"/>
  <c r="AV1075" i="3"/>
  <c r="AV1069" i="3"/>
  <c r="AU1068" i="3"/>
  <c r="BC1077" i="3"/>
  <c r="AV1077" i="3"/>
  <c r="I28" i="1" l="1"/>
  <c r="I29" i="1" s="1"/>
  <c r="AV1079" i="3"/>
  <c r="BC1079" i="3"/>
  <c r="I12" i="3"/>
  <c r="I1098" i="3"/>
  <c r="C22" i="1"/>
</calcChain>
</file>

<file path=xl/sharedStrings.xml><?xml version="1.0" encoding="utf-8"?>
<sst xmlns="http://schemas.openxmlformats.org/spreadsheetml/2006/main" count="5870" uniqueCount="2145">
  <si>
    <t>Krycí list slepého rozpočtu</t>
  </si>
  <si>
    <t>Název stavby:</t>
  </si>
  <si>
    <t>Objednatel:</t>
  </si>
  <si>
    <t>IČO/DIČ:</t>
  </si>
  <si>
    <t/>
  </si>
  <si>
    <t>Druh stavby:</t>
  </si>
  <si>
    <t>Projektant:</t>
  </si>
  <si>
    <t>Lokalita:</t>
  </si>
  <si>
    <t>Zhotovitel:</t>
  </si>
  <si>
    <t>Začátek výstavby:</t>
  </si>
  <si>
    <t>Konec výstavby:</t>
  </si>
  <si>
    <t>Položek:</t>
  </si>
  <si>
    <t>JKSO:</t>
  </si>
  <si>
    <t>Zpracoval:</t>
  </si>
  <si>
    <t>Datum:</t>
  </si>
  <si>
    <t>Rozpočtové náklady v Kč</t>
  </si>
  <si>
    <t>A</t>
  </si>
  <si>
    <t>Základní rozpočtové náklady</t>
  </si>
  <si>
    <t>B</t>
  </si>
  <si>
    <t>Doplňkové náklady</t>
  </si>
  <si>
    <t>C</t>
  </si>
  <si>
    <t>Náklady na umístění stavby (NUS)</t>
  </si>
  <si>
    <t>HSV</t>
  </si>
  <si>
    <t>Dodávky</t>
  </si>
  <si>
    <t>Práce přesčas</t>
  </si>
  <si>
    <t>Zařízení staveniště</t>
  </si>
  <si>
    <t>Montáž</t>
  </si>
  <si>
    <t>Bez pevné podl.</t>
  </si>
  <si>
    <t>Mimostav. doprava</t>
  </si>
  <si>
    <t>PSV</t>
  </si>
  <si>
    <t>Kulturní památka</t>
  </si>
  <si>
    <t>Územní vlivy</t>
  </si>
  <si>
    <t>Provozní vlivy</t>
  </si>
  <si>
    <t>"M"</t>
  </si>
  <si>
    <t>Ostatní</t>
  </si>
  <si>
    <t>NUS z rozpočtu</t>
  </si>
  <si>
    <t>Ostatní materiál</t>
  </si>
  <si>
    <t>Přesun hmot a sutí</t>
  </si>
  <si>
    <t>ZRN celkem</t>
  </si>
  <si>
    <t>DN celkem</t>
  </si>
  <si>
    <t>NUS celkem</t>
  </si>
  <si>
    <t>DN celkem z obj.</t>
  </si>
  <si>
    <t>NUS celkem z obj.</t>
  </si>
  <si>
    <t>VORN celkem</t>
  </si>
  <si>
    <t>VORN celkem z obj.</t>
  </si>
  <si>
    <t>Základ 0%</t>
  </si>
  <si>
    <t>Základ 12%</t>
  </si>
  <si>
    <t>DPH 12%</t>
  </si>
  <si>
    <t>Celkem bez DPH</t>
  </si>
  <si>
    <t>Základ 21%</t>
  </si>
  <si>
    <t>DPH 21%</t>
  </si>
  <si>
    <t>Celkem včetně DPH</t>
  </si>
  <si>
    <t>Projektant</t>
  </si>
  <si>
    <t>Objednatel</t>
  </si>
  <si>
    <t>Zhotovitel</t>
  </si>
  <si>
    <t>Datum, razítko a podpis</t>
  </si>
  <si>
    <t>Poznámka:</t>
  </si>
  <si>
    <t>Vedlejší a ostatní rozpočtové náklady</t>
  </si>
  <si>
    <t>Vedlejší rozpočtové náklady VRN</t>
  </si>
  <si>
    <t>Doplňkové náklady DN</t>
  </si>
  <si>
    <t>Kč</t>
  </si>
  <si>
    <t>%</t>
  </si>
  <si>
    <t>Základna</t>
  </si>
  <si>
    <t>Celkem DN</t>
  </si>
  <si>
    <t>Celkem NUS</t>
  </si>
  <si>
    <t>Celkem VRN</t>
  </si>
  <si>
    <t>Vedlejší a ostatní rozpočtové náklady VORN</t>
  </si>
  <si>
    <t>Ostatní rozpočtové náklady (VORN)</t>
  </si>
  <si>
    <t>Průzkumy, geodetické a projektové práce</t>
  </si>
  <si>
    <t>Příprava staveniště</t>
  </si>
  <si>
    <t>Inženýrské činnosti</t>
  </si>
  <si>
    <t>Finanční náklady</t>
  </si>
  <si>
    <t>Náklady na pracovníky</t>
  </si>
  <si>
    <t>Ostatní náklady</t>
  </si>
  <si>
    <t>Vlastní VORN</t>
  </si>
  <si>
    <t>Celkem VORN</t>
  </si>
  <si>
    <t>Slepý stavební rozpočet</t>
  </si>
  <si>
    <t>Rekonstrukce ORL-Nemocnice Nymburk</t>
  </si>
  <si>
    <t>Doba výstavby:</t>
  </si>
  <si>
    <t xml:space="preserve"> </t>
  </si>
  <si>
    <t> </t>
  </si>
  <si>
    <t>Rekonstrukce ORL</t>
  </si>
  <si>
    <t>nemocnice Nymburk</t>
  </si>
  <si>
    <t>Zpracováno dne:</t>
  </si>
  <si>
    <t>Č</t>
  </si>
  <si>
    <t>Objekt</t>
  </si>
  <si>
    <t>Kód</t>
  </si>
  <si>
    <t>Zkrácený popis</t>
  </si>
  <si>
    <t>MJ</t>
  </si>
  <si>
    <t>Množství</t>
  </si>
  <si>
    <t>Cena/MJ</t>
  </si>
  <si>
    <t>Náklady (Kč)</t>
  </si>
  <si>
    <t>Hmotnost (t)</t>
  </si>
  <si>
    <t>Cenová</t>
  </si>
  <si>
    <t>ISWORK</t>
  </si>
  <si>
    <t>GROUPCODE</t>
  </si>
  <si>
    <t>VATTAX</t>
  </si>
  <si>
    <t>Rozměry</t>
  </si>
  <si>
    <t>(Kč)</t>
  </si>
  <si>
    <t>Celkem</t>
  </si>
  <si>
    <t>Demont.</t>
  </si>
  <si>
    <t>Jednot.</t>
  </si>
  <si>
    <t>soustava</t>
  </si>
  <si>
    <t>Přesuny</t>
  </si>
  <si>
    <t>Typ skupiny</t>
  </si>
  <si>
    <t>HSV mat</t>
  </si>
  <si>
    <t>HSV prac</t>
  </si>
  <si>
    <t>PSV mat</t>
  </si>
  <si>
    <t>PSV prac</t>
  </si>
  <si>
    <t>Mont mat</t>
  </si>
  <si>
    <t>Mont prac</t>
  </si>
  <si>
    <t>Ostatní mat.</t>
  </si>
  <si>
    <t>MAT</t>
  </si>
  <si>
    <t>WORK</t>
  </si>
  <si>
    <t>CELK</t>
  </si>
  <si>
    <t>Nezařazeno</t>
  </si>
  <si>
    <t>17</t>
  </si>
  <si>
    <t>Konstrukce ze zemin</t>
  </si>
  <si>
    <t>1</t>
  </si>
  <si>
    <t>174101102R00</t>
  </si>
  <si>
    <t>Zásyp ruční se zhutněním</t>
  </si>
  <si>
    <t>m3</t>
  </si>
  <si>
    <t>RTS I / 2024</t>
  </si>
  <si>
    <t>17_</t>
  </si>
  <si>
    <t>_1_</t>
  </si>
  <si>
    <t>_</t>
  </si>
  <si>
    <t>63,04*0,8*0,8</t>
  </si>
  <si>
    <t>RTS komentář:</t>
  </si>
  <si>
    <t>Položka obsahuje přemístění materiálu pro zásyp ze vzdálenosti do 15 m od hrany zasypávaného prostoru - bez použití strojů. Položka je určena pro sypané konstrukce vyplňující prostor pod úrovní terénu v prostorách, kde není možné použít těžkou mechanizaci</t>
  </si>
  <si>
    <t>2</t>
  </si>
  <si>
    <t>583423631</t>
  </si>
  <si>
    <t>Kamenivo drcené 0/63</t>
  </si>
  <si>
    <t>t</t>
  </si>
  <si>
    <t>(63,04*0,6*0,8)*1,6</t>
  </si>
  <si>
    <t>kamenivo pro úpravu stavebních plání, pro obsypy, zásypy, zahradní architekturu apod</t>
  </si>
  <si>
    <t>3</t>
  </si>
  <si>
    <t>979095</t>
  </si>
  <si>
    <t>Doprava kameniva s naložením a složením</t>
  </si>
  <si>
    <t>kpl</t>
  </si>
  <si>
    <t>5</t>
  </si>
  <si>
    <t>31</t>
  </si>
  <si>
    <t>Zdi podpěrné a volné</t>
  </si>
  <si>
    <t>4</t>
  </si>
  <si>
    <t>317100011RAX</t>
  </si>
  <si>
    <t>Dodatečná montáž překladu, otvor šířky do 105 cm</t>
  </si>
  <si>
    <t>kus</t>
  </si>
  <si>
    <t>31_</t>
  </si>
  <si>
    <t>_3_</t>
  </si>
  <si>
    <t>vybourání rýhy, osazení překladu</t>
  </si>
  <si>
    <t>A.001-A.002</t>
  </si>
  <si>
    <t>V položce není kalkulována dodávka překladu a poplatek za skládku pro vybouranou suť. Tyto náklady se oceňují individuálně podle místních podmínek, Orientační hmotnost vybouraných konstrukcí je 0,064 t/kus konstrukce</t>
  </si>
  <si>
    <t>59321898</t>
  </si>
  <si>
    <t>Překlad pórobetonový NEP 100-1250 nenosný, 1250 x 100 x 249 mm</t>
  </si>
  <si>
    <t>Pórobetonový prvek P4,4-600 vyztužený konstrukční výztuží pro překlenutí otvorů v nenosných dělicích příčkách a ve výplňových nenosných stěnách.  Je zakázané překlady zkracovat a jinak upravovat jejich průřezy. Potřebná menší světlost otvoru se dosáhne větším uložením překladu. Překlady se kladou do maltového lože (Ytong zdicí malta)</t>
  </si>
  <si>
    <t>6</t>
  </si>
  <si>
    <t>3112711</t>
  </si>
  <si>
    <t>Zazdívka otvorů z tvárnic termoizolačních tl.375</t>
  </si>
  <si>
    <t>m2</t>
  </si>
  <si>
    <t>vč.nerezové výztuže do spár, původní a novodobé zdivo</t>
  </si>
  <si>
    <t>2,06*1,49*4</t>
  </si>
  <si>
    <t xml:space="preserve"> zazdívka okna 4ks</t>
  </si>
  <si>
    <t>V položce jsou započteny i náklady na pomocné lešení o výšce podlahy do 1,90 m a pro zatížení do 1,5 kPa.</t>
  </si>
  <si>
    <t>7</t>
  </si>
  <si>
    <t>317120010RAI</t>
  </si>
  <si>
    <t>Osazení překladů L-profil, otvor šířky do 125 cm</t>
  </si>
  <si>
    <t>bez dodávky - překlad ve specifikaci</t>
  </si>
  <si>
    <t>14</t>
  </si>
  <si>
    <t>PŘ.06</t>
  </si>
  <si>
    <t>PŘ.07</t>
  </si>
  <si>
    <t>8</t>
  </si>
  <si>
    <t>15411695</t>
  </si>
  <si>
    <t>Profil L rovnoramenný S235JR 40/40 x 4 mm</t>
  </si>
  <si>
    <t>14*1,4*2,42/1000</t>
  </si>
  <si>
    <t>2*1,7*2,42/1000</t>
  </si>
  <si>
    <t>Profilová ocel tvářená za studena otevřeného tvaru L dle ČSN 42 6949, ČSN 42 0121, ČSN 41 1373.0  S235JR (1.0038) dle EN 10025-2 Obdobná: 11 375  hmotnost 2,42 kg/m</t>
  </si>
  <si>
    <t>9</t>
  </si>
  <si>
    <t>346481111RT2</t>
  </si>
  <si>
    <t>Zaplentování rýh, nosníků rabicovým pletivem</t>
  </si>
  <si>
    <t>s použitím suché maltové směsi</t>
  </si>
  <si>
    <t>(0,12+0,05+0,12+0,05+0,05)*1,4*14</t>
  </si>
  <si>
    <t>V položce jsou zakalkulovány i náklady na pomocné lešení o výšce do 1,9 m a pro zatížení do 1,5 kPa</t>
  </si>
  <si>
    <t>10</t>
  </si>
  <si>
    <t>317120033RA0</t>
  </si>
  <si>
    <t>Překlad nenosný</t>
  </si>
  <si>
    <t>11</t>
  </si>
  <si>
    <t>59321899</t>
  </si>
  <si>
    <t>Překlad pórobetonový 125-2500 nenosný, 2500 x 125 x 249 mm</t>
  </si>
  <si>
    <t>34</t>
  </si>
  <si>
    <t>Stěny a příčky</t>
  </si>
  <si>
    <t>12</t>
  </si>
  <si>
    <t>34227004</t>
  </si>
  <si>
    <t>Příčka z desek pórobetonových, tloušťka 150 mm</t>
  </si>
  <si>
    <t>34_</t>
  </si>
  <si>
    <t>7,19*2,9-0,7*1,97</t>
  </si>
  <si>
    <t>A.001-A.002abc příčka</t>
  </si>
  <si>
    <t>8,29*2,9</t>
  </si>
  <si>
    <t>A.05a,b příčka 150</t>
  </si>
  <si>
    <t>7,13*2,9</t>
  </si>
  <si>
    <t>A.08a,b příčka 150</t>
  </si>
  <si>
    <t>2,71*2,9</t>
  </si>
  <si>
    <t>A.014 příčka 150</t>
  </si>
  <si>
    <t>13</t>
  </si>
  <si>
    <t>342270043RAA</t>
  </si>
  <si>
    <t>Příčka z desek pórobeton., tloušťka 125 mm</t>
  </si>
  <si>
    <t>11,25*2,9-1*1,97</t>
  </si>
  <si>
    <t>A.010-A.010a,A.011-příčka 125</t>
  </si>
  <si>
    <t>0,85*2,9</t>
  </si>
  <si>
    <t>A.012 příčka 125</t>
  </si>
  <si>
    <t>5,03*2,9-1*1,97</t>
  </si>
  <si>
    <t>A.014 příčka 125</t>
  </si>
  <si>
    <t>6,93*2,9</t>
  </si>
  <si>
    <t>A.028a-A.028b příčka 125</t>
  </si>
  <si>
    <t>342270041RA0</t>
  </si>
  <si>
    <t>Příčka z desek pórobetonových, tloušťka 7,5 cm</t>
  </si>
  <si>
    <t>0,89*2,9</t>
  </si>
  <si>
    <t>A.02b stoupačka</t>
  </si>
  <si>
    <t>15</t>
  </si>
  <si>
    <t>342948112R00</t>
  </si>
  <si>
    <t>Ukotvení příček</t>
  </si>
  <si>
    <t>m</t>
  </si>
  <si>
    <t>8,02</t>
  </si>
  <si>
    <t>A.02a,b,c-ukotvení příček</t>
  </si>
  <si>
    <t>5,30</t>
  </si>
  <si>
    <t>A.004 akustická příčka 120</t>
  </si>
  <si>
    <t>8,29</t>
  </si>
  <si>
    <t>7,13</t>
  </si>
  <si>
    <t>4,98</t>
  </si>
  <si>
    <t>A.009 akustická příčka 120 PU.1</t>
  </si>
  <si>
    <t>11,25</t>
  </si>
  <si>
    <t>0,85</t>
  </si>
  <si>
    <t>5,03</t>
  </si>
  <si>
    <t>2,71</t>
  </si>
  <si>
    <t>4,90</t>
  </si>
  <si>
    <t>A.028 akustická příčka 120</t>
  </si>
  <si>
    <t>6,93</t>
  </si>
  <si>
    <t>V položkách jsou zakalkulovány náklady na kotvu z nerez oceli a osazení kotvy.</t>
  </si>
  <si>
    <t>16</t>
  </si>
  <si>
    <t>34224817</t>
  </si>
  <si>
    <t>Příčky porobeton akustické, tl. 120 mm</t>
  </si>
  <si>
    <t>5,56*2,9-1*1,97</t>
  </si>
  <si>
    <t>A.002-A.003 akustická příčka 120 - oboustran.om.</t>
  </si>
  <si>
    <t>5,30*2,9-1*1,97</t>
  </si>
  <si>
    <t>5,57*2,9-1*1,97</t>
  </si>
  <si>
    <t>A.006-A.005 příčka akustická PU.1</t>
  </si>
  <si>
    <t>A.007-A.08 akustická příčka PU.1</t>
  </si>
  <si>
    <t>4,98*2,9-1*1,97</t>
  </si>
  <si>
    <t>4,90*2,9</t>
  </si>
  <si>
    <t>Položky obsahují náklady na očištění podkladu pro zdivo, navlhčení podkladu a tvárnic vodou, položení zakládací malty pod ložnou plochu s použitím nivelačního přístroje a vyrovnávací soupravy, kladení tvárnic na pero a drážku včetně maltování ložné spáry tenkovrstvou maltou, krácení tvárnic, provážení svisle olovnicí, dotažení příček pod stropní konstrukci. Ztratné cihel je kalkulováno ve výši 2 %</t>
  </si>
  <si>
    <t>34224116</t>
  </si>
  <si>
    <t>Zazdívka cihel plných pálených 290 mm,  tl. 65 mm</t>
  </si>
  <si>
    <t>1,79*2,55</t>
  </si>
  <si>
    <t>A.02b-zazdívka plná cihla</t>
  </si>
  <si>
    <t>1,10*2,65</t>
  </si>
  <si>
    <t>A.004-A.005 do A.026 zazdívka plná cihla</t>
  </si>
  <si>
    <t>1,1*2,65</t>
  </si>
  <si>
    <t>A.08a zazdívka plná cihla</t>
  </si>
  <si>
    <t>2,18*0,89</t>
  </si>
  <si>
    <t>A.009-A.010 zazdívka</t>
  </si>
  <si>
    <t>1*2</t>
  </si>
  <si>
    <t>A.012 zazdívka</t>
  </si>
  <si>
    <t>0,9*2</t>
  </si>
  <si>
    <t>A.014 zazdívka</t>
  </si>
  <si>
    <t>1,21*2,15</t>
  </si>
  <si>
    <t>A.028b zazdívka</t>
  </si>
  <si>
    <t>V položce jsou zakalkulovány náklady na pomocné pracovní lešení o výšce podlahy do 1900 mm a pro zatížení do 1,5 kPa</t>
  </si>
  <si>
    <t>18</t>
  </si>
  <si>
    <t>342013226R00</t>
  </si>
  <si>
    <t>Příčka SDK tl.125 mm,ocel.kce,2x oplášť.,MAI 12,5 mm</t>
  </si>
  <si>
    <t>5,30*2,9</t>
  </si>
  <si>
    <t>A.003 omítka PU.4+SDK-příčka</t>
  </si>
  <si>
    <t>5,27*2,9</t>
  </si>
  <si>
    <t>A.006-A.007 SDK příčka PU.4</t>
  </si>
  <si>
    <t>Příčka sádrokartonová Rigips, systém SK14 (odpovídá W112), jednoduchá ocelová konstrukce, 2x opláštěná, tl. 127 mm, s minerální izolací tl. 80 mm, desky akustické protipožární impregnované MAI (DFH2)  tl. 12,5 mm. Požární odolnost EI 90. Vzduchová neprůzvučnost Rw 60 dB. Maximální výška stěny v kategorii A je 5800 mm, v kat. C a D 5200 mm.  3.40.05 M</t>
  </si>
  <si>
    <t>60</t>
  </si>
  <si>
    <t>Omítky ze suchých směsí</t>
  </si>
  <si>
    <t>19</t>
  </si>
  <si>
    <t>60202110</t>
  </si>
  <si>
    <t>Přednástřik stěn cement.100 % krytí, ručně</t>
  </si>
  <si>
    <t>60_</t>
  </si>
  <si>
    <t>_6_</t>
  </si>
  <si>
    <t>varianta 25mm</t>
  </si>
  <si>
    <t>-2*0,97-0,8*1,97</t>
  </si>
  <si>
    <t>A.001-vstup+A.001-A.02a vstup</t>
  </si>
  <si>
    <t>17,62*2,65-8,75*2,65-2,4*0,6</t>
  </si>
  <si>
    <t>A.001-(-sanační systém)</t>
  </si>
  <si>
    <t>4,00*2,65-1,1*2</t>
  </si>
  <si>
    <t>A.003-omítka  PU.2</t>
  </si>
  <si>
    <t>3,87-1,1*2</t>
  </si>
  <si>
    <t>A.004 PU.2</t>
  </si>
  <si>
    <t>15,79*2,55-1*1,97*2</t>
  </si>
  <si>
    <t>A.05a,b PU.3</t>
  </si>
  <si>
    <t>3,80*2,65-1,1*2</t>
  </si>
  <si>
    <t>A.006 PU2</t>
  </si>
  <si>
    <t>4,57*2,65-1,1*2</t>
  </si>
  <si>
    <t>A.007 PU.2</t>
  </si>
  <si>
    <t>9,13*2,65-1,1*2</t>
  </si>
  <si>
    <t>A.009 PU.2</t>
  </si>
  <si>
    <t>8,99*2,65-1,1*2</t>
  </si>
  <si>
    <t>A.010 PU.2</t>
  </si>
  <si>
    <t>6,99*2,65-1*1,97</t>
  </si>
  <si>
    <t>A.010a PU.3</t>
  </si>
  <si>
    <t>5,88*2,65-0,8*2</t>
  </si>
  <si>
    <t>A.011 PU.2</t>
  </si>
  <si>
    <t>13,96*2,65-0,8*2</t>
  </si>
  <si>
    <t>A.012 PU.3</t>
  </si>
  <si>
    <t>(22,04-5,11)*2,65-1,1*1,97*2</t>
  </si>
  <si>
    <t>A.013 PU.2</t>
  </si>
  <si>
    <t>9,42*2,55-1*0,97</t>
  </si>
  <si>
    <t>A.014 obvod, plocha</t>
  </si>
  <si>
    <t>116,11*2,2-24*1*2</t>
  </si>
  <si>
    <t>A.026 obvod, plocha chodba</t>
  </si>
  <si>
    <t>8,68*2,55-1*1,97</t>
  </si>
  <si>
    <t>A.019 PU3, PU2</t>
  </si>
  <si>
    <t>12,05*2,55-1*1,97</t>
  </si>
  <si>
    <t>A.021 obvod, plocha</t>
  </si>
  <si>
    <t>8,91*2,65-1*1,97</t>
  </si>
  <si>
    <t>A0.22 PU.2</t>
  </si>
  <si>
    <t>5,79*2,55-0,8*1,97</t>
  </si>
  <si>
    <t>A.032 obvod, plocha PU.3</t>
  </si>
  <si>
    <t>5,21*2,55-0,8*1,97</t>
  </si>
  <si>
    <t>A.025 PU3</t>
  </si>
  <si>
    <t>8,72*2,65-1,3*2,15</t>
  </si>
  <si>
    <t>A.0.28 PU.2</t>
  </si>
  <si>
    <t>8,90*2,55-0,8*1,97</t>
  </si>
  <si>
    <t>A.028a obvod, plocha PU.3</t>
  </si>
  <si>
    <t>8,85*2,55-0,8*1,97</t>
  </si>
  <si>
    <t>A.028b obvod, plocha PU.3</t>
  </si>
  <si>
    <t>16,29*2,65-2*0,8*1,97-1,2*2</t>
  </si>
  <si>
    <t>A.029 PU.2</t>
  </si>
  <si>
    <t>15,26*2,65-08*1,97-1,2*2,15</t>
  </si>
  <si>
    <t>A.030 PU.2 odečíst obklad</t>
  </si>
  <si>
    <t>Přednástřik ze suché omítkové směsi. Materiál je vhodný pro vnitřní i vnější použití. Slouží jako podkladní vrstva pod minerální omítky a vyrovnává nasákavost podkladu, na suché i vlhké solemi zatížené minerální podklady. V položce nejsou zakalkulovány náklady na pomocné lešení. V položce nejsou zakalkulovány náklady na použití rohových lišt a armovací skelné tkaniny.</t>
  </si>
  <si>
    <t>20</t>
  </si>
  <si>
    <t>60202111</t>
  </si>
  <si>
    <t>Omítka jádrová, zrno 1-2 mm, vnitřní</t>
  </si>
  <si>
    <t>tloušťka vrstvy 10 mm</t>
  </si>
  <si>
    <t>A.001-vstup</t>
  </si>
  <si>
    <t>17,62*8,75-2,65*2,65-2,4*0,6</t>
  </si>
  <si>
    <t>7,16*2,55-0,7*1,97-0,8*1,97</t>
  </si>
  <si>
    <t>A.02a obklad+podhled</t>
  </si>
  <si>
    <t>6,08*2,55-0,7*1,97</t>
  </si>
  <si>
    <t>A.02b obklad+podhled</t>
  </si>
  <si>
    <t>9,43*2,55-1*1,97</t>
  </si>
  <si>
    <t>A.02c obklad+podhled</t>
  </si>
  <si>
    <t>5,62*2,65-1*1,97</t>
  </si>
  <si>
    <t>A.003 omítka PU.1</t>
  </si>
  <si>
    <t>3,87*2,65-1,1*2</t>
  </si>
  <si>
    <t>5,30*2,65-1*1,97</t>
  </si>
  <si>
    <t>A.004 PU.1</t>
  </si>
  <si>
    <t>5,57*2,65-1*1,97</t>
  </si>
  <si>
    <t>16,50*2,55-1*1,97*2</t>
  </si>
  <si>
    <t>A.08a,b PU.3</t>
  </si>
  <si>
    <t>4,98*2,65-1*1,97</t>
  </si>
  <si>
    <t>5,27*2,65-1*1,97</t>
  </si>
  <si>
    <t>A.010 PU.1</t>
  </si>
  <si>
    <t>5,47*2,65</t>
  </si>
  <si>
    <t>A.011 PU.1</t>
  </si>
  <si>
    <t>5,11*2,65</t>
  </si>
  <si>
    <t>A.013 PU.1 1xdveře odečteny v PU.2</t>
  </si>
  <si>
    <t>12,05*2,65-1*1,97</t>
  </si>
  <si>
    <t>4,88*2,65</t>
  </si>
  <si>
    <t>A.028 PU.1</t>
  </si>
  <si>
    <t>Omítka ze suché směsi. Materiál je vhodný pro vnitřní i vnější použití.  Položka je kalkulována jako jedna z vrstev omítkové skladby. Položky za jednotlivé požadované vrstvy se sčítají.  V položce nejsou zakalkulovány náklady na pomocné lešení. V položce nejsou zakalkulovány náklady na použití rohových lišt a armovací skelné tkaniny.</t>
  </si>
  <si>
    <t>21</t>
  </si>
  <si>
    <t>610452105R00</t>
  </si>
  <si>
    <t>Vnitřní omítka cem-příplatek za další 1 cm-dle skutečnosti</t>
  </si>
  <si>
    <t>6,99*2,55-1*1,97</t>
  </si>
  <si>
    <t>8,68*2,4-1,97</t>
  </si>
  <si>
    <t>22</t>
  </si>
  <si>
    <t>602016193R00</t>
  </si>
  <si>
    <t>Penetrace hloubková stěn</t>
  </si>
  <si>
    <t>17,62*2,65-2,64*2,65-2,4*0,6</t>
  </si>
  <si>
    <t>zazdívka okna 4ks</t>
  </si>
  <si>
    <t>A.013 PU.1</t>
  </si>
  <si>
    <t>Materiál. Penetrační nátěr. Položka je kalkulována jako jedna z vrstev omítkové skladby. Položky za jednotlivé požadované vrstvy se sčítají.  V položce nejsou zakalkulovány náklady na pomocné lešení.</t>
  </si>
  <si>
    <t>23</t>
  </si>
  <si>
    <t>60202114</t>
  </si>
  <si>
    <t>Štuk na stěnách vnitřní</t>
  </si>
  <si>
    <t>tloušťka vrstvy 3 mm</t>
  </si>
  <si>
    <t>17,62*2,65-8,75*2,65</t>
  </si>
  <si>
    <t>-2,4*0,6</t>
  </si>
  <si>
    <t>A.001 obklad</t>
  </si>
  <si>
    <t>3,65*2,55-0,8*1,97-0,7*1,97</t>
  </si>
  <si>
    <t>A.02a omítka</t>
  </si>
  <si>
    <t>8,68*0,15</t>
  </si>
  <si>
    <t>12,05*(2,65-0,6)-1*1,97</t>
  </si>
  <si>
    <t>-5,08*0,6</t>
  </si>
  <si>
    <t>A.030 obklad pruh linka</t>
  </si>
  <si>
    <t>Omítka ze suché směs. Materiál je vhodný pro vnitřní použití. Jedná se o jemnou vápennou štukovou omítku se zpomalenou zpracovatelností na minerální jádrové omítky. Položka je kalkulována jako jedna z vrstev omítkové skladby. Položky za jednotlivé požadované vrstvy se sčítají.  V položce nejsou zakalkulovány náklady na pomocné lešení. V položce nejsou zakalkulovány náklady na použití rohových lišt a armovací skelné tkaniny.</t>
  </si>
  <si>
    <t>24</t>
  </si>
  <si>
    <t>602021118RT5</t>
  </si>
  <si>
    <t>Omítka jádrová, zrno 1-2 mm, ručně-vnější</t>
  </si>
  <si>
    <t>tloušťka vrstvy 20 mm</t>
  </si>
  <si>
    <t>(2,06*1,49+((2,06+1,49+1,49)*0,25))*4</t>
  </si>
  <si>
    <t>25</t>
  </si>
  <si>
    <t>602021174R00</t>
  </si>
  <si>
    <t>Štuk na stěnách vnější tl.4 mm, ručně, 2 x nanášený</t>
  </si>
  <si>
    <t xml:space="preserve">Omítka ze suché směsi, vhodná pro vnější použití.  Položka je kalkulována jako jedna z vrstev omítkové skladby. Položky za jednotlivé požadované vrstvy se sčítají.  V položce nejsou zakalkulovány náklady na pomocné lešení, náklady na použití rohových lišt a armovací skelné tkaniny.  </t>
  </si>
  <si>
    <t>61</t>
  </si>
  <si>
    <t>Úprava povrchů vnitřní</t>
  </si>
  <si>
    <t>26</t>
  </si>
  <si>
    <t>612401918R00</t>
  </si>
  <si>
    <t>Příplatek za kropení podkladu omítky vnitřní stěn</t>
  </si>
  <si>
    <t>61_</t>
  </si>
  <si>
    <t>-2*1,97*0,8</t>
  </si>
  <si>
    <t>17,62*2,65</t>
  </si>
  <si>
    <t>A.001</t>
  </si>
  <si>
    <t>4,88*2,82</t>
  </si>
  <si>
    <t>A.003 sanační omítka</t>
  </si>
  <si>
    <t>4,97*2,65</t>
  </si>
  <si>
    <t>A.004 sanační systém</t>
  </si>
  <si>
    <t>2,10*2,55</t>
  </si>
  <si>
    <t>A.05b sanační systém</t>
  </si>
  <si>
    <t>4,54*2,65</t>
  </si>
  <si>
    <t>A.006 sanační systém</t>
  </si>
  <si>
    <t>4,61*2,65</t>
  </si>
  <si>
    <t>A.007 sanační systém</t>
  </si>
  <si>
    <t>2,03*2,55</t>
  </si>
  <si>
    <t>A.08b sanační systém</t>
  </si>
  <si>
    <t>4,29*2,65</t>
  </si>
  <si>
    <t>A.009 sanační systém</t>
  </si>
  <si>
    <t>4,08*2,65</t>
  </si>
  <si>
    <t>A.010 sanační systém</t>
  </si>
  <si>
    <t>2,73*2,55</t>
  </si>
  <si>
    <t>A.010a sanační systém</t>
  </si>
  <si>
    <t>3,73*2,65</t>
  </si>
  <si>
    <t>A.012 sanační systém</t>
  </si>
  <si>
    <t>13,96*2,65</t>
  </si>
  <si>
    <t>6,63*2,85</t>
  </si>
  <si>
    <t>A.013 sanační systém</t>
  </si>
  <si>
    <t>9,42*2,55-1*1,97</t>
  </si>
  <si>
    <t>6,38*3,06</t>
  </si>
  <si>
    <t>A.026 sanační systém</t>
  </si>
  <si>
    <t>3,85*2,82</t>
  </si>
  <si>
    <t>A.019-sanační systém</t>
  </si>
  <si>
    <t>3,26*2,82</t>
  </si>
  <si>
    <t>A.021 sanační systém</t>
  </si>
  <si>
    <t>3,93*2,82</t>
  </si>
  <si>
    <t>A.022 sanační systém</t>
  </si>
  <si>
    <t>6,86*2,95</t>
  </si>
  <si>
    <t>A.025 sanační systém</t>
  </si>
  <si>
    <t>14,04*2,82</t>
  </si>
  <si>
    <t>A.028 sanační systém</t>
  </si>
  <si>
    <t>4,14*2,82</t>
  </si>
  <si>
    <t>A.029 sanační systém</t>
  </si>
  <si>
    <t>3,14*2,82</t>
  </si>
  <si>
    <t>A.030 sanační systém</t>
  </si>
  <si>
    <t>27</t>
  </si>
  <si>
    <t>613473115R00</t>
  </si>
  <si>
    <t>Příplatek za zabudované rohovníky, stěny, sloupy a pilíře</t>
  </si>
  <si>
    <t>6*2,65</t>
  </si>
  <si>
    <t>2*2,65</t>
  </si>
  <si>
    <t>A.003</t>
  </si>
  <si>
    <t>1*2,65</t>
  </si>
  <si>
    <t>A.05b</t>
  </si>
  <si>
    <t>3*2,65</t>
  </si>
  <si>
    <t>A.006</t>
  </si>
  <si>
    <t>5*2,65</t>
  </si>
  <si>
    <t>A.007</t>
  </si>
  <si>
    <t>A.009</t>
  </si>
  <si>
    <t>A.010</t>
  </si>
  <si>
    <t>A.013</t>
  </si>
  <si>
    <t>7*2,85</t>
  </si>
  <si>
    <t>A.019,A.021, A.022</t>
  </si>
  <si>
    <t>A.028</t>
  </si>
  <si>
    <t>měří se v metrech délky hran</t>
  </si>
  <si>
    <t>28</t>
  </si>
  <si>
    <t>612434114RT1</t>
  </si>
  <si>
    <t>Omítkový sanační systém, vnitřní, čtyřvrstvý</t>
  </si>
  <si>
    <t>sanační postřik, jádrová sanační omítky 2x, štuková sanační omítka</t>
  </si>
  <si>
    <t>8,75*2,65</t>
  </si>
  <si>
    <t>2,24*2,55</t>
  </si>
  <si>
    <t>A.02c - omítka sanační</t>
  </si>
  <si>
    <t>6,63*2,84</t>
  </si>
  <si>
    <t>Sanační systém je určen pro střední až vysoké zasolení. Systém je tvořen sanačním podhozem tl. 5 mm, jádrovou omítkou tl. 20 mm, druhou jádrovou omítkou tl. 30 mm a štukovou omítkou tl. 2,5 mm. Na systém je možné aplikovat povrchovou úpravu (penetraci a nátěr). Systém splňuje požadavky WTA</t>
  </si>
  <si>
    <t>29</t>
  </si>
  <si>
    <t>776995</t>
  </si>
  <si>
    <t>Lepení rohových profilů</t>
  </si>
  <si>
    <t>54</t>
  </si>
  <si>
    <t>30</t>
  </si>
  <si>
    <t>55342946</t>
  </si>
  <si>
    <t>Ochranný rohový nerezový profil - 45x45 tl.0,8</t>
  </si>
  <si>
    <t>62</t>
  </si>
  <si>
    <t>Úprava povrchů vnější</t>
  </si>
  <si>
    <t>622326163R00</t>
  </si>
  <si>
    <t>Zateplovací systém, parapet, XPS tl. 20-30 mm</t>
  </si>
  <si>
    <t>62_</t>
  </si>
  <si>
    <t>1,82*0,185*4</t>
  </si>
  <si>
    <t>Položka obsahuje řezání desek, nanesení lepicího tmelu na izolační desky, nalepení desek, natažení stěrky, vtlačení výztužné tkaniny (1,68 m2), osazení parapetní lišty (5m/m2) a přehlazení stěrky. Součinitel tepelné vodivosti izolantu 0,035 W/m K Včetně dodávek materiálu</t>
  </si>
  <si>
    <t>32</t>
  </si>
  <si>
    <t>622412223R00</t>
  </si>
  <si>
    <t>Nátěr stěn vnějších, slož. 3-4 , PCI-paropropustný</t>
  </si>
  <si>
    <t>Penetrace podkladu v jedné vrstvě a nátěr silikonový ve dvou vrstvách. Vhodný pro zateplovací systémy. Bez nákladů na lešení</t>
  </si>
  <si>
    <t>63</t>
  </si>
  <si>
    <t>Podlahy a podlahové konstrukce</t>
  </si>
  <si>
    <t>33</t>
  </si>
  <si>
    <t>63241512</t>
  </si>
  <si>
    <t>Potěr samonivelační ručně tl. 25 mm vč.dilatačního pásku</t>
  </si>
  <si>
    <t>63_</t>
  </si>
  <si>
    <t>podkladový</t>
  </si>
  <si>
    <t>15,79</t>
  </si>
  <si>
    <t>A.001 nivelační hmota, SDK podhled</t>
  </si>
  <si>
    <t>2,61</t>
  </si>
  <si>
    <t>A.02a dlažba+podhled</t>
  </si>
  <si>
    <t>1,89</t>
  </si>
  <si>
    <t>A.02b dlažba+podhled</t>
  </si>
  <si>
    <t>5,20</t>
  </si>
  <si>
    <t>A.02c dlažba+podhled</t>
  </si>
  <si>
    <t>4,73</t>
  </si>
  <si>
    <t>A.05a obvod, plocha</t>
  </si>
  <si>
    <t>4,42</t>
  </si>
  <si>
    <t>A.05b obvod, plocha</t>
  </si>
  <si>
    <t>5,34</t>
  </si>
  <si>
    <t>A.08a plocha+obvod</t>
  </si>
  <si>
    <t>5,21</t>
  </si>
  <si>
    <t>A.08b plocha+obvod</t>
  </si>
  <si>
    <t>5,63</t>
  </si>
  <si>
    <t>A.010a obvod a plocha</t>
  </si>
  <si>
    <t>16,84</t>
  </si>
  <si>
    <t>A.012 obvod a plocha</t>
  </si>
  <si>
    <t>9,55</t>
  </si>
  <si>
    <t>A.019 obvod, plocha</t>
  </si>
  <si>
    <t>8,50</t>
  </si>
  <si>
    <t>1,86</t>
  </si>
  <si>
    <t>6,51</t>
  </si>
  <si>
    <t>A.025 obvod, plocha</t>
  </si>
  <si>
    <t>4,93</t>
  </si>
  <si>
    <t>4,87</t>
  </si>
  <si>
    <t xml:space="preserve"> A.028b obvod, plocha PU.3</t>
  </si>
  <si>
    <t xml:space="preserve">Položka obsahuje jednonásobnou penetraci podkladu, rozmíchání suché směsi s vodou podle receptury výrobce a rozprostření směsi. </t>
  </si>
  <si>
    <t>632415120</t>
  </si>
  <si>
    <t>Potěr  samonivelační ručně tl. 20 mm vč.dilatačního pásku</t>
  </si>
  <si>
    <t>22,20</t>
  </si>
  <si>
    <t>A.003 plocha+obvod</t>
  </si>
  <si>
    <t>21,64</t>
  </si>
  <si>
    <t>A.004 obvod plocha</t>
  </si>
  <si>
    <t>20,81</t>
  </si>
  <si>
    <t>A.006 obvod a plocha</t>
  </si>
  <si>
    <t>21,75</t>
  </si>
  <si>
    <t>A.007 obvod+plocha</t>
  </si>
  <si>
    <t>19,22</t>
  </si>
  <si>
    <t>A.009 obvod, plocha</t>
  </si>
  <si>
    <t>20,36</t>
  </si>
  <si>
    <t>A.010 obvod a plocha</t>
  </si>
  <si>
    <t>7,30</t>
  </si>
  <si>
    <t>A.011 obvod, plocha</t>
  </si>
  <si>
    <t>29,33</t>
  </si>
  <si>
    <t>A.013 obvod, plocha</t>
  </si>
  <si>
    <t>154,38</t>
  </si>
  <si>
    <t>36,67</t>
  </si>
  <si>
    <t>A.028 obvod, plocha</t>
  </si>
  <si>
    <t>25,08</t>
  </si>
  <si>
    <t>A.029 obvod, plocha</t>
  </si>
  <si>
    <t>18,89</t>
  </si>
  <si>
    <t>A.030 obvod, plocha</t>
  </si>
  <si>
    <t>35</t>
  </si>
  <si>
    <t>632415104RT2</t>
  </si>
  <si>
    <t>Potěr samonivelační ručně tl. 3 mm</t>
  </si>
  <si>
    <t>vyrovnávací</t>
  </si>
  <si>
    <t>36</t>
  </si>
  <si>
    <t>631313711RT7</t>
  </si>
  <si>
    <t>Mazanina betonová tl. 8 - 12 cm C 25/30-doplnění podlahy ležaté potrubí</t>
  </si>
  <si>
    <t>s rozptýlenou výztuží 20 kg/m3</t>
  </si>
  <si>
    <t>63,04*0,6*0,1</t>
  </si>
  <si>
    <t>Stupeň vlivu prostředí X0, XC1, XC2, XC3. Frakce kameniva Dmax 22. Čerpatelnost S3. V položce jsou zakalkulovány i náklady na vytvoření dilatačních spár v mazanině bez zaplnění. Tyto náklady se oceňují položkami souboru 63460 Zaplnění dilatačních spár v mazaninách.</t>
  </si>
  <si>
    <t>37</t>
  </si>
  <si>
    <t>634601111R00</t>
  </si>
  <si>
    <t>Zaplnění dilatačních spár mazanin asfaltem,š.10 mm</t>
  </si>
  <si>
    <t>63,04*2</t>
  </si>
  <si>
    <t>Položka je určena pro zaplnění dilatačních spár v mazaninách tl. do 100 mm (50 % zasypání pískem a 50% zalití asfaltem).</t>
  </si>
  <si>
    <t>38</t>
  </si>
  <si>
    <t>63245106</t>
  </si>
  <si>
    <t>Potěr pískocementový, min. 25 MPa, tl. 95 mm</t>
  </si>
  <si>
    <t>63,04</t>
  </si>
  <si>
    <t>Položka je určena pro potěr pískocementový na mazaninách nebo betonových podkladech běžný (krycí nášlapný) anebo pod tenkovrstvé podlahoviny hlazený ocelovým hladítkem nebo litý (samonivelační). V položkách litých potěrů (dvouvrstvých) pískocementových s plastifikátory, anhydritových apod. je zakalkulováno utěsnění spár v podkladu, trhlin (fólií), prostupů (např. hrázkami z písku) a odstranění nerovností (výčnělků) nad rovinu potěru. Není zakalkulována případná izolační vrstva (PSV), krycí podložka (PSV), vyztužující pletivo (63248) nebo síť (41136) pokud byly projektovány pod plovoucí potěr.</t>
  </si>
  <si>
    <t>39</t>
  </si>
  <si>
    <t>631313621RM25</t>
  </si>
  <si>
    <t>Mazanina betonová tl. 8 - 12 cm C 20/25-rychletuhnoucí, přísada pro vysychání</t>
  </si>
  <si>
    <t>z betonu rychletuhnoucího s přísadou pro rychlé vysychání</t>
  </si>
  <si>
    <t>510*0,09</t>
  </si>
  <si>
    <t>Položka je určena pro mazaninu hlazenou dřevěným hladítkem a to pro mazaninu krycí, popř. podkladní nebo vyrovnávací nebo plovoucí, pod potěry, vlýsky do asfaltu, pod podlahy. Položka je určena i pro betonový okapový chodníček budovy. Jeho podloží se oceňuje samostatně. V položce jsou zakalkulovány i náklady na vytvoření dilatačních spár v mazanině bez zaplnění. Tyto náklady se oceňují položkami souboru 63460 Zaplnění dilatačních spár v mazaninách</t>
  </si>
  <si>
    <t>40</t>
  </si>
  <si>
    <t>713121118RU1</t>
  </si>
  <si>
    <t>Montáž dilatačního pásku podél stěn</t>
  </si>
  <si>
    <t>včetně dodávky</t>
  </si>
  <si>
    <t>474,15</t>
  </si>
  <si>
    <t>dilatace</t>
  </si>
  <si>
    <t>41</t>
  </si>
  <si>
    <t>736322411R00</t>
  </si>
  <si>
    <t>Podkladní kari síť 100x100x6</t>
  </si>
  <si>
    <t>510</t>
  </si>
  <si>
    <t>64</t>
  </si>
  <si>
    <t>Výplně otvorů</t>
  </si>
  <si>
    <t>42</t>
  </si>
  <si>
    <t>642944121RU4</t>
  </si>
  <si>
    <t>Osazení ocelových zárubní dodatečně do 2,5 m2</t>
  </si>
  <si>
    <t>64_</t>
  </si>
  <si>
    <t>včetně dodávky zárubně 800 x 1970</t>
  </si>
  <si>
    <t>A.001-A.030</t>
  </si>
  <si>
    <t>A.001-A.002a</t>
  </si>
  <si>
    <t>43</t>
  </si>
  <si>
    <t>642942111RT3</t>
  </si>
  <si>
    <t>Osazení zárubní dveřních ocelových, pl. do 2,5 m2</t>
  </si>
  <si>
    <t>včetně dodávky zárubně 700 x 1970 x 100 mm</t>
  </si>
  <si>
    <t>A.02a-A.02b</t>
  </si>
  <si>
    <t>Položka je určena pro osazování zárubní bez dveřních křídel na jakoukoliv cementovou maltu s vybetonováním prahu v zárubni a s osazením špalíků nebo latí pro dřevěný práh. Položka je určena také pro osazování zárubní a rámů do stěn z prefa dílců, které se provádí současně nebo bezprostředně po osazení stěnových dílců; podobně je určena pro konstrukce zděné nad 150 mm tloušťky, kde se osazování provádí převážně až po jejich vyzdění. Položka kryje vybetonování nadvýšeného prahu u balkónových dveří. V položce jsou zakalkulovány náklady na kotvení rámů do zdiva a platí pro jakýkoliv způsob provádění (např. bodovým přivařením k výztuži, uklínováním, zalitím pracen apod.). V položce jsou zakalkulovány i náklady na dodávku zárubní. Volba položky se řídí plochou otvoru.  12.10.2021 Změna v tloušťce zárubně ze 110 na 100 mm</t>
  </si>
  <si>
    <t>44</t>
  </si>
  <si>
    <t>642942111RT6</t>
  </si>
  <si>
    <t>včetně dodávky zárubně 1000-1200 x 1970 x 100 mm</t>
  </si>
  <si>
    <t>711</t>
  </si>
  <si>
    <t>Izolace proti vodě</t>
  </si>
  <si>
    <t>45</t>
  </si>
  <si>
    <t>711212015RT1</t>
  </si>
  <si>
    <t>Hydroizolační stěrka dvouvrstvá vč.penetrace</t>
  </si>
  <si>
    <t>711_</t>
  </si>
  <si>
    <t>_71_</t>
  </si>
  <si>
    <t>hydroizolace tl. 4 mm, penetrace</t>
  </si>
  <si>
    <t>Stěrka tl. 4 mm ve dvou vrstvách. Aplikace pomocí hladítka. Položka je určena pro izolaci proti stojaté prosakující vody a tlakové vodě.  Položka obsahuje penetraci podkladu z naředěné stěrkové hmoty vodou, 2 vrstvy stěrky.</t>
  </si>
  <si>
    <t>46</t>
  </si>
  <si>
    <t>711212601RT5</t>
  </si>
  <si>
    <t>Utěsnění detailů při stěrkových hydroizolacích, těsnicí pás do spoje podlaha - stěna</t>
  </si>
  <si>
    <t>šířka 120 mm</t>
  </si>
  <si>
    <t>18,08</t>
  </si>
  <si>
    <t>7,16</t>
  </si>
  <si>
    <t>6,08</t>
  </si>
  <si>
    <t>9,43</t>
  </si>
  <si>
    <t>8,84</t>
  </si>
  <si>
    <t>9,01</t>
  </si>
  <si>
    <t>9,29</t>
  </si>
  <si>
    <t>9,18</t>
  </si>
  <si>
    <t>9,70</t>
  </si>
  <si>
    <t>17,92</t>
  </si>
  <si>
    <t>12,65</t>
  </si>
  <si>
    <t>12,05</t>
  </si>
  <si>
    <t>5,79</t>
  </si>
  <si>
    <t>12,15</t>
  </si>
  <si>
    <t>8,90</t>
  </si>
  <si>
    <t>8,85</t>
  </si>
  <si>
    <t>47</t>
  </si>
  <si>
    <t>711212602RT2</t>
  </si>
  <si>
    <t>Utěsnění detailů při stěrkových hydroizolacích, těsnicí roh vnější, vnitřní do spoje podlaha-stěna</t>
  </si>
  <si>
    <t>A.001 vnitřní, vnější rohy</t>
  </si>
  <si>
    <t>A.02a,b,c</t>
  </si>
  <si>
    <t>A.05a,b</t>
  </si>
  <si>
    <t>A.08a,b</t>
  </si>
  <si>
    <t>A.010a</t>
  </si>
  <si>
    <t>A.012</t>
  </si>
  <si>
    <t>A.019</t>
  </si>
  <si>
    <t>A.021</t>
  </si>
  <si>
    <t>A.032</t>
  </si>
  <si>
    <t>A.025</t>
  </si>
  <si>
    <t>A.028a,b</t>
  </si>
  <si>
    <t>48</t>
  </si>
  <si>
    <t>711212000RU1</t>
  </si>
  <si>
    <t>Penetrace podkladu pod hydroizolační hmoty, včetně dodávky</t>
  </si>
  <si>
    <t>3,50*1,8</t>
  </si>
  <si>
    <t>A.02a - obklad-hydroizlace</t>
  </si>
  <si>
    <t>6,09*2,55-0,7*1,97</t>
  </si>
  <si>
    <t>A.02b obklad-hydroizolace</t>
  </si>
  <si>
    <t>A.02c</t>
  </si>
  <si>
    <t>9,29*2,55-1*1,97</t>
  </si>
  <si>
    <t>9,18*2,55-1*1,97</t>
  </si>
  <si>
    <t>9,70*2,55-1*1,97</t>
  </si>
  <si>
    <t>17,92*2,65-0,8*2</t>
  </si>
  <si>
    <t>8,68*2,4-1*1,97</t>
  </si>
  <si>
    <t>12,15*2,55-0,8*1,97</t>
  </si>
  <si>
    <t>-18,12*2,55</t>
  </si>
  <si>
    <t>obklad sanační omítka odečet</t>
  </si>
  <si>
    <t>Penetrace podkladů pod hydroizolační nátěry</t>
  </si>
  <si>
    <t>49</t>
  </si>
  <si>
    <t>711212002RT3</t>
  </si>
  <si>
    <t>Stěrka hydroizolační, vč. dodávky HI hmoty</t>
  </si>
  <si>
    <t>tl. 2 mm</t>
  </si>
  <si>
    <t>Dvousložková hydroizolační stěrka proti vlhkosti. Aplikace pomocí stěrky v jedné vrstvě  tl. 2 mm.  Velmi pružná hydroizolační stěrka, která se používá k vodotěsnému ošetření a ochraně betonových konstrukcí vystavených nebezpečí vzniku trhlin. Do sprchový koutů, koupelen, betonových nádrží. Na opěrné zdi, sádrokartonové stěny, voděvzdorné překližky atd. Pro vnitřní a venkovní použití pod obklady a dlažb</t>
  </si>
  <si>
    <t>50</t>
  </si>
  <si>
    <t>711212611RT2</t>
  </si>
  <si>
    <t>Utěsnění detailů při stěrkových hydroizolacích, těsnicí pás do svislých koutů</t>
  </si>
  <si>
    <t>šířka 100 mm</t>
  </si>
  <si>
    <t>2*1,8</t>
  </si>
  <si>
    <t>A.02a</t>
  </si>
  <si>
    <t>4*2,55</t>
  </si>
  <si>
    <t>A.02b</t>
  </si>
  <si>
    <t>5*2,55</t>
  </si>
  <si>
    <t>10*2,55</t>
  </si>
  <si>
    <t>8*2,5</t>
  </si>
  <si>
    <t>6*2,55</t>
  </si>
  <si>
    <t>12*2,65</t>
  </si>
  <si>
    <t>A.014</t>
  </si>
  <si>
    <t>2*2,55</t>
  </si>
  <si>
    <t>8*2,55</t>
  </si>
  <si>
    <t>Položka je určena pro těsnicí pás umístěný ve svislém rohu</t>
  </si>
  <si>
    <t>51</t>
  </si>
  <si>
    <t>711111001RZ1</t>
  </si>
  <si>
    <t>Provedení izolace proti vlhkosti na ploše vodorovné, 1x asfaltovým penetračním nátěrem</t>
  </si>
  <si>
    <t>včetně dodávky asfaltového penetračního laku</t>
  </si>
  <si>
    <t>Plochy izolací jednotlivě menší než 10 m2 se oceňují s příplatkem položka číslo 711 19 - 9095. Při stanovení množství izolace se z celkového množství neodečítají otvory nebo neizolované plochy menší než 2 m2.  V položce jsou zakalkulovány i náklady na dodávku asfalt.penetrace v množství 0,33 kg/m2</t>
  </si>
  <si>
    <t>52</t>
  </si>
  <si>
    <t>711141559RT2</t>
  </si>
  <si>
    <t>Provedení izolace proti vlhkosti na ploše vodorovné, asfaltovými pásy přitavením</t>
  </si>
  <si>
    <t>2 vrstvy - pásy ve specifikaci</t>
  </si>
  <si>
    <t>63,04*1</t>
  </si>
  <si>
    <t>Plochy izolací jednotlivě menší než 10 m2 se oceňují s příplatkem položka číslo 711 19 - 9097.Při stanovení množství izolace se z celkového množství neodečítají otvory nebo neizolované plochy menší než 2 m2</t>
  </si>
  <si>
    <t>53</t>
  </si>
  <si>
    <t>62852254</t>
  </si>
  <si>
    <t>Pás z SBS modifikovaného asfaltu, nosná vložka z polyesterové rohože</t>
  </si>
  <si>
    <t>75</t>
  </si>
  <si>
    <t>;ztratné 10%; 58,5</t>
  </si>
  <si>
    <t xml:space="preserve">Pás special mineral - jako spodní asfaltový pás ve skladbách vícevrstvých vodotěsných izolací střech. Jednovrstvý proti zemní vlhkosti, nebo asfaltový pás ve vícevrstvých izolacích spodní stavby proti tlakové vodě i proti radonu. Možnost použít také jako parozábranu.  Horní povrch: jemnozrnný minerální posyp Nosná vložka: polyesterová 200 g/m2 (obal směs asfaltu modifikovaného SBS elastomery) Dolní povrch: spalitelná PE fólie  Typ S natavitelný plamenem hořáku, nebo mechanicky kotvený.  Balení: role 1 x 7,5 </t>
  </si>
  <si>
    <t>62852265</t>
  </si>
  <si>
    <t>Pás z SBS modifikovaného asfaltu, nosná vložka ze skleněné tkaniny natavovací, kotvicí</t>
  </si>
  <si>
    <t xml:space="preserve">Použití jako spodní asfaltový pás ve skladbách vícevrstvých vodotěsných izolací střech. (jako vrchní v případě, kdy je krytý dalšími vrstvami). Jako součást izolace spodní stavby proti zemní vlhkosti, gravitační i tlakové vodě (v kombinaci s jedním nebo dvěma dalšími pásy) a radonu. Možnost použít také jako parozábranu.  Horní povrch: jemnozrnný minerální posyp Nosná vložka: skleněná tkanina 200 g/m2 (obal směs asfaltu modifikovaného SBS elastomery) Dolní povrch: spalitelná PE fólie  Pás se bodově nebo celoplošně natavuje na podklad, případně se kotví.  Balení: role 1 x 7,5 </t>
  </si>
  <si>
    <t>55</t>
  </si>
  <si>
    <t>711212000RW5</t>
  </si>
  <si>
    <t>Penetrace podkladu pod minerální hydroizolační hmoty, včetně dodávky</t>
  </si>
  <si>
    <t xml:space="preserve"> adhézní můstek</t>
  </si>
  <si>
    <t>56</t>
  </si>
  <si>
    <t>711212002RW4</t>
  </si>
  <si>
    <t>Stěrka minerální hydroizolační, vč. dodávky HI hmoty</t>
  </si>
  <si>
    <t>odolnost proti solím, 3mm</t>
  </si>
  <si>
    <t>Aplikace ve dvou vrstvách. Prašné a solí poškozené podklady je nutné opatřit penetrací. Položka neobsahuje přípravu podkladu</t>
  </si>
  <si>
    <t>57</t>
  </si>
  <si>
    <t>998711101R00</t>
  </si>
  <si>
    <t>Přesun hmot pro izolace proti vodě, výšky do 6 m</t>
  </si>
  <si>
    <t>713</t>
  </si>
  <si>
    <t>Izolace tepelné</t>
  </si>
  <si>
    <t>58</t>
  </si>
  <si>
    <t>713552131R08</t>
  </si>
  <si>
    <t>Protipožární trubní ucpávka, ve stěně nebo stropu, požární odolnost EI 90, průměr do D 158 mm</t>
  </si>
  <si>
    <t>713_</t>
  </si>
  <si>
    <t>Prostup kovového potrubí max. průměru 150 mm otvorem max. průměru 168 mm ve stěnách nebo stropech s požární odolností EI 90. Katalogový list 502.10 (detail C). Otvor je utěsněn minerální vlnou. Potrubí v úseku 250 mm před a za prostupem je obaleno minerální vlnou tl. 30 mm. Prostup i potrubí před a za prostupem je opatřeno protipožární stěrkou Promastop U</t>
  </si>
  <si>
    <t>728</t>
  </si>
  <si>
    <t>Vzduchotechnika</t>
  </si>
  <si>
    <t>59</t>
  </si>
  <si>
    <t>728415113R00</t>
  </si>
  <si>
    <t>Montáž mřížky větrací nebo ventilační do 0,15 m2</t>
  </si>
  <si>
    <t>728_</t>
  </si>
  <si>
    <t>_72_</t>
  </si>
  <si>
    <t>4287150005</t>
  </si>
  <si>
    <t>Mřížka větrací nerezová 150x150</t>
  </si>
  <si>
    <t>762</t>
  </si>
  <si>
    <t>Konstrukce tesařské</t>
  </si>
  <si>
    <t>76242113</t>
  </si>
  <si>
    <t>Montáž obložení stěn proti oděru deskami tl.do 50mm</t>
  </si>
  <si>
    <t>bm</t>
  </si>
  <si>
    <t>762_</t>
  </si>
  <si>
    <t>_76_</t>
  </si>
  <si>
    <t>42,3</t>
  </si>
  <si>
    <t>607151532</t>
  </si>
  <si>
    <t>Panel MDF 250x50 mm</t>
  </si>
  <si>
    <t>;ztratné 0%; 0</t>
  </si>
  <si>
    <t>998762102R00</t>
  </si>
  <si>
    <t>Přesun hmot pro tesařské konstrukce</t>
  </si>
  <si>
    <t>764</t>
  </si>
  <si>
    <t>Konstrukce klempířské</t>
  </si>
  <si>
    <t>764510410RAA</t>
  </si>
  <si>
    <t>Oplechování parapetů z TiZn plechu</t>
  </si>
  <si>
    <t>764_</t>
  </si>
  <si>
    <t>rš 250 mm</t>
  </si>
  <si>
    <t>1,82*4</t>
  </si>
  <si>
    <t>65</t>
  </si>
  <si>
    <t>998764101R00</t>
  </si>
  <si>
    <t>Přesun hmot pro klempířské konstr., výšky do 6 m</t>
  </si>
  <si>
    <t>766</t>
  </si>
  <si>
    <t>Konstrukce truhlářské</t>
  </si>
  <si>
    <t>66</t>
  </si>
  <si>
    <t>76666001</t>
  </si>
  <si>
    <t>Montáž dveří jednokřídlových šířky 60-120 cm-kování, dveřní zarážka</t>
  </si>
  <si>
    <t>766_</t>
  </si>
  <si>
    <t>Dodávka a montáž dveřní zarážky, montáž kování, bez dodávky dveří</t>
  </si>
  <si>
    <t>67</t>
  </si>
  <si>
    <t>611601203</t>
  </si>
  <si>
    <t>Dveře vnitřní  plné 1-křídlé 800 x 1970 mm vč.kování D8.1,2</t>
  </si>
  <si>
    <t>A.001-A.030   D8.2 a D8.1</t>
  </si>
  <si>
    <t>68</t>
  </si>
  <si>
    <t>611603316</t>
  </si>
  <si>
    <t>Dveře vnitřní hladké plné 700 x 1970 mm jednokřídlé vč.kování D7.1</t>
  </si>
  <si>
    <t>69</t>
  </si>
  <si>
    <t>6116033</t>
  </si>
  <si>
    <t>Dveře vnitřní hladké plné 1000 x 1970 mm  jednokřídlé-D.01</t>
  </si>
  <si>
    <t>D.01</t>
  </si>
  <si>
    <t>70</t>
  </si>
  <si>
    <t>61165605</t>
  </si>
  <si>
    <t>Dveře protipožární EI30 plné 1-křídlé 1000 x 1970 mm  vč.kování D0.2</t>
  </si>
  <si>
    <t xml:space="preserve">Dveře požárně odolné lze použít jako vchodové do bytu a všude tam, kde to z bezpečnostních důvodů požadují ČSN. Požární odolnost je EI30 (E30, EW30), to znamená, že odolají požáru 30 min.  </t>
  </si>
  <si>
    <t>71</t>
  </si>
  <si>
    <t>Dveře vnitřní hladké plné 1000 x 1970 mm jednokřídlé vč.kování D0.3</t>
  </si>
  <si>
    <t>72</t>
  </si>
  <si>
    <t>Dveře protipožární EI30 plné 1-křídlé 1100 x 1970 mm vč.kování D1.1</t>
  </si>
  <si>
    <t xml:space="preserve">Dveře požárně odolné lze použít jako vchodové do bytu a všude tam, kde to z bezpečnostních důvodů požadují ČSN. Požární odolnost je EI30 (E30, EW30), to znamená, že odolají požáru 30 min. </t>
  </si>
  <si>
    <t>73</t>
  </si>
  <si>
    <t>611656495</t>
  </si>
  <si>
    <t>Dveře protipožární EI45 plné 1-křídlé 1100 x 1970 mm RAL lak vč.kování D1.2</t>
  </si>
  <si>
    <t>Dveře požárně odolné lze použít jako vchodové do bytu a všude tam, kde to z bezpečnostních důvodů požadují ČSN. Požární odolnost je EI45 (E45, EW45), to znamená, že odolají požáru 45 min. lakované, 30 barev  Lakované, RAL Skupina A: bez příplatku 1013 perlová bílá, 1015 slonová kost světlá, 1018 zinková žlutá, 2002 rumělková, 2003 oranžová pastelová, 3005 vínová červená, 3011 čevenohnědá, 3020 dopravní červená, 4002 červenofalová, 5002 ultramarínová, 5005 signální modrá, 5007 brilantní modrá, 5015 nebeská modrá, 5024 pastelová modrá, 6000 zelená patina, 6005 mechová zelená, 6021 bledě zelená, 7004 sinální šedá, 7016 Antracitová šedá, 7032 štěrková šedá, 7043 dopravní šedá, 7047 televizní šedá 3, 8004 měděná hnědá, 8022 černohnědá, 8028 zemní hnědá, 9001 krémová, 9003 signální bílá, 9006 bílý hliník, 9010 bílá, 9016 dopravní bílá</t>
  </si>
  <si>
    <t>74</t>
  </si>
  <si>
    <t>6116034</t>
  </si>
  <si>
    <t>Dveře vnitřní hladké plné 1100 x 1970 mm  jednokřídlé vč.kování D1.3</t>
  </si>
  <si>
    <t>6116035</t>
  </si>
  <si>
    <t>Dveře vnitřní hladké plné 1200 x 2000 mm  jednokřídlé vč.kování D2.1</t>
  </si>
  <si>
    <t>76</t>
  </si>
  <si>
    <t>766810010RAE</t>
  </si>
  <si>
    <t>Kuchyňské linky dodávka a montáž N12a, N12b</t>
  </si>
  <si>
    <t>linka 240 cm</t>
  </si>
  <si>
    <t>77</t>
  </si>
  <si>
    <t>900001VD</t>
  </si>
  <si>
    <t>Lednice malá</t>
  </si>
  <si>
    <t>ks</t>
  </si>
  <si>
    <t>78</t>
  </si>
  <si>
    <t>900002VD</t>
  </si>
  <si>
    <t>Mikrovlná trouba</t>
  </si>
  <si>
    <t>79</t>
  </si>
  <si>
    <t>55149032</t>
  </si>
  <si>
    <t>Koš odpadkový nerezový obsah 20 l</t>
  </si>
  <si>
    <t xml:space="preserve">Nerezový koš 20 l </t>
  </si>
  <si>
    <t>80</t>
  </si>
  <si>
    <t>766810010RAA</t>
  </si>
  <si>
    <t>Kuchyňské linky dodávka a montáž</t>
  </si>
  <si>
    <t>linka 125 cm</t>
  </si>
  <si>
    <t>81</t>
  </si>
  <si>
    <t>592891060</t>
  </si>
  <si>
    <t>Stůl nerezový v. 900 mm, 1700 x 700 mm</t>
  </si>
  <si>
    <t>82</t>
  </si>
  <si>
    <t>7668100</t>
  </si>
  <si>
    <t>Kuchyňské linky dodávka a montáž N12d</t>
  </si>
  <si>
    <t>linka 360 cm</t>
  </si>
  <si>
    <t>83</t>
  </si>
  <si>
    <t>615290104</t>
  </si>
  <si>
    <t>Instrumentační škříň - uzamykatelná, sklad opiátů</t>
  </si>
  <si>
    <t>84</t>
  </si>
  <si>
    <t>85</t>
  </si>
  <si>
    <t>86</t>
  </si>
  <si>
    <t>76662732</t>
  </si>
  <si>
    <t>Vnitřní dělící okno, pevné, čiré zasklení, hliník, bezpeč.sklo 1500x1500-V.1</t>
  </si>
  <si>
    <t>87</t>
  </si>
  <si>
    <t>732199100R00</t>
  </si>
  <si>
    <t>Montáž orientačního štítku</t>
  </si>
  <si>
    <t>soubor</t>
  </si>
  <si>
    <t>88</t>
  </si>
  <si>
    <t>28399901</t>
  </si>
  <si>
    <t>Orientační štítek</t>
  </si>
  <si>
    <t>kpl.</t>
  </si>
  <si>
    <t>89</t>
  </si>
  <si>
    <t>998766101R00</t>
  </si>
  <si>
    <t>Přesun hmot pro truhlářské konstr., výšky do 6 m</t>
  </si>
  <si>
    <t>767</t>
  </si>
  <si>
    <t>Konstrukce doplňkové stavební (zámečnické)</t>
  </si>
  <si>
    <t>90</t>
  </si>
  <si>
    <t>767130061RA0</t>
  </si>
  <si>
    <t>Podhled, desky akustické 600x600</t>
  </si>
  <si>
    <t>767_</t>
  </si>
  <si>
    <t>5,51</t>
  </si>
  <si>
    <t>10,40</t>
  </si>
  <si>
    <t>A.022 obvod, plocha</t>
  </si>
  <si>
    <t>91</t>
  </si>
  <si>
    <t>0000546</t>
  </si>
  <si>
    <t>Příplatek za snížení podhledu do 4m2</t>
  </si>
  <si>
    <t>92</t>
  </si>
  <si>
    <t>767640122RAA</t>
  </si>
  <si>
    <t>Dveře protipožární automaticé posuvné jednokřídlé šířky 140 cm vč.osazení DA.1</t>
  </si>
  <si>
    <t>výšky 197 cm, EI 30</t>
  </si>
  <si>
    <t>93</t>
  </si>
  <si>
    <t>998767101R00</t>
  </si>
  <si>
    <t>Přesun hmot pro zámečnické konstr., výšky do 6 m</t>
  </si>
  <si>
    <t>771</t>
  </si>
  <si>
    <t>Podlahy z dlaždic</t>
  </si>
  <si>
    <t>94</t>
  </si>
  <si>
    <t>771101210RT1</t>
  </si>
  <si>
    <t>Penetrace podkladu pod dlažby</t>
  </si>
  <si>
    <t>771_</t>
  </si>
  <si>
    <t>_77_</t>
  </si>
  <si>
    <t xml:space="preserve">Položka obsahuje montáž a dodávku penetračního nátěru pro zlepšení kontaktu s lepicím tmelem. </t>
  </si>
  <si>
    <t>95</t>
  </si>
  <si>
    <t>771570014RAI</t>
  </si>
  <si>
    <t>Dlažba z dlaždic keramických</t>
  </si>
  <si>
    <t>do tmele flexibilního vč.spárovací hmoty, dlažba ve specifikaci</t>
  </si>
  <si>
    <t>96</t>
  </si>
  <si>
    <t>597642030</t>
  </si>
  <si>
    <t>Dlažba keramická protiskluzná R10/B</t>
  </si>
  <si>
    <t>;ztratné 10%; 1,579</t>
  </si>
  <si>
    <t>protiskluz R10/B</t>
  </si>
  <si>
    <t>97</t>
  </si>
  <si>
    <t>771578014RT1</t>
  </si>
  <si>
    <t>Spára dilatační těsněná PE provazcem a silikonem</t>
  </si>
  <si>
    <t>přechod dlažba+obklad</t>
  </si>
  <si>
    <t>3,50</t>
  </si>
  <si>
    <t>A.02a - obklad, dilatace podlaha</t>
  </si>
  <si>
    <t>6,09-0,7</t>
  </si>
  <si>
    <t>A.02b obklad, dilatace</t>
  </si>
  <si>
    <t>9,43-1</t>
  </si>
  <si>
    <t>8,84-1</t>
  </si>
  <si>
    <t>9,01-1</t>
  </si>
  <si>
    <t>9,29-1</t>
  </si>
  <si>
    <t>9,18-1</t>
  </si>
  <si>
    <t>9,70-1</t>
  </si>
  <si>
    <t>17,92-0,8</t>
  </si>
  <si>
    <t>9,42-1</t>
  </si>
  <si>
    <t>12,65-1</t>
  </si>
  <si>
    <t>12,05-1</t>
  </si>
  <si>
    <t>5,79-0,8</t>
  </si>
  <si>
    <t>12,15-0,8</t>
  </si>
  <si>
    <t>8,90-0,8</t>
  </si>
  <si>
    <t>8,85-0,8</t>
  </si>
  <si>
    <t>98</t>
  </si>
  <si>
    <t>771101310R00</t>
  </si>
  <si>
    <t>Vyčištění keramické dlažby</t>
  </si>
  <si>
    <t xml:space="preserve">Položka je určena pro očištění a odmaštěšní keramické dlažby. Obsahuje nanesení čisticího přípravku, prokartáčování a umytí prostředku z povrchu dlažby včetně dodávky prostředku.. </t>
  </si>
  <si>
    <t>99</t>
  </si>
  <si>
    <t>771577113RT1</t>
  </si>
  <si>
    <t>Lišta hliníková přechodová, stejná výška dlaždic</t>
  </si>
  <si>
    <t>A001-A.010a</t>
  </si>
  <si>
    <t>0,8</t>
  </si>
  <si>
    <t>A.012-chodba</t>
  </si>
  <si>
    <t>A.014-A.013</t>
  </si>
  <si>
    <t>0,8*2</t>
  </si>
  <si>
    <t xml:space="preserve">Položka je určena pro dekorativní spojení podlah o stejné výšce např. dlažba/dlažba, dlažba/lamino, atd.  </t>
  </si>
  <si>
    <t>100</t>
  </si>
  <si>
    <t>998771101R00</t>
  </si>
  <si>
    <t>Přesun hmot pro podlahy z dlaždic, výšky do 6 m</t>
  </si>
  <si>
    <t>776</t>
  </si>
  <si>
    <t>Podlahy povlakové</t>
  </si>
  <si>
    <t>101</t>
  </si>
  <si>
    <t>776521100RT1</t>
  </si>
  <si>
    <t>Lepení povlak.podlah z pásů PVC na lepidlo</t>
  </si>
  <si>
    <t>776_</t>
  </si>
  <si>
    <t>pouze položení - PVC ve specifikaci</t>
  </si>
  <si>
    <t>102</t>
  </si>
  <si>
    <t>28412245</t>
  </si>
  <si>
    <t>Podlahovina PVC do interiéru pro nemocniční provoz</t>
  </si>
  <si>
    <t>;ztratné 15%; 3,33</t>
  </si>
  <si>
    <t>Skladba P.0.2-základní specifikace</t>
  </si>
  <si>
    <t>103</t>
  </si>
  <si>
    <t>776421100RU1</t>
  </si>
  <si>
    <t>Lepení podlahových soklíků z PVC a vinylu</t>
  </si>
  <si>
    <t>včetně dodávky soklíku PVC</t>
  </si>
  <si>
    <t>19,96-1-1,1</t>
  </si>
  <si>
    <t>19,48-1,1-1</t>
  </si>
  <si>
    <t>19,61-1,1-1</t>
  </si>
  <si>
    <t>19,64-1,1-1</t>
  </si>
  <si>
    <t>18,47-1,1-1</t>
  </si>
  <si>
    <t>18,61-1,1-1</t>
  </si>
  <si>
    <t>11,16-0,8</t>
  </si>
  <si>
    <t>28,65-1-1,1</t>
  </si>
  <si>
    <t>116,11</t>
  </si>
  <si>
    <t>28,14</t>
  </si>
  <si>
    <t>20,41</t>
  </si>
  <si>
    <t>18,34</t>
  </si>
  <si>
    <t>104</t>
  </si>
  <si>
    <t>998776101R00</t>
  </si>
  <si>
    <t>Přesun hmot pro podlahy povlakové, výšky do 6 m</t>
  </si>
  <si>
    <t>781</t>
  </si>
  <si>
    <t>Obklady (keramické)</t>
  </si>
  <si>
    <t>105</t>
  </si>
  <si>
    <t>781101210R00</t>
  </si>
  <si>
    <t>Penetrace podkladu pod obklady</t>
  </si>
  <si>
    <t>781_</t>
  </si>
  <si>
    <t>_78_</t>
  </si>
  <si>
    <t>2,4*0,6</t>
  </si>
  <si>
    <t>A.001 Kuchyňská linka</t>
  </si>
  <si>
    <t>3,5*2,55</t>
  </si>
  <si>
    <t>5,47*0,6</t>
  </si>
  <si>
    <t>A.021 PU3</t>
  </si>
  <si>
    <t>5,08*0,6</t>
  </si>
  <si>
    <t xml:space="preserve">Položka obsahuje provedení penetračního nátěru včetně dodávky materiálu. </t>
  </si>
  <si>
    <t>106</t>
  </si>
  <si>
    <t>781415013RT1</t>
  </si>
  <si>
    <t>Montáž obkladů stěn, porovin., do tmele, 15x15 cm</t>
  </si>
  <si>
    <t>flexibilní lepidlo, spárovací hmota bez dodávky obkladu</t>
  </si>
  <si>
    <t>107</t>
  </si>
  <si>
    <t>59781345</t>
  </si>
  <si>
    <t>Obkládačka 150 x 150 mm</t>
  </si>
  <si>
    <t>;ztratné 10%; 0,144</t>
  </si>
  <si>
    <t>glazované keramické obkladové prvk</t>
  </si>
  <si>
    <t>108</t>
  </si>
  <si>
    <t>781111115R00</t>
  </si>
  <si>
    <t>Otvor v obkladačce diamant.korunkou prům.do 30 mm</t>
  </si>
  <si>
    <t>A.030</t>
  </si>
  <si>
    <t>109</t>
  </si>
  <si>
    <t>781111116R00</t>
  </si>
  <si>
    <t>Otvor v obkladačce diamant.korunkou prům.do 90 mm</t>
  </si>
  <si>
    <t>A.001 kuchyňská linka</t>
  </si>
  <si>
    <t>2+2+2</t>
  </si>
  <si>
    <t>110</t>
  </si>
  <si>
    <t>781111131R00</t>
  </si>
  <si>
    <t>Vyplnění dilatačních spár tmelem, obklady</t>
  </si>
  <si>
    <t>A.02a - obklad, dilatace roh</t>
  </si>
  <si>
    <t>A.02b obklad, dilatace roh</t>
  </si>
  <si>
    <t>A.02c obkla dilatace roh</t>
  </si>
  <si>
    <t>A.02a - obklad, dilatace strop</t>
  </si>
  <si>
    <t>6,09</t>
  </si>
  <si>
    <t>A.02b obklad, dilatace strop</t>
  </si>
  <si>
    <t>A.02c obklad dilatace strop</t>
  </si>
  <si>
    <t>9*2,55</t>
  </si>
  <si>
    <t>A.05a,b dilatace roh</t>
  </si>
  <si>
    <t>A.08a,b dilatace roh</t>
  </si>
  <si>
    <t>A.05a,b PU.3strop dilatace</t>
  </si>
  <si>
    <t>16,50</t>
  </si>
  <si>
    <t>A.08a,b PU.3 strop dilatace</t>
  </si>
  <si>
    <t>6,99</t>
  </si>
  <si>
    <t>A.010a PU.3 strop dilatace</t>
  </si>
  <si>
    <t>A.010a dilatace roh</t>
  </si>
  <si>
    <t>8*2,65</t>
  </si>
  <si>
    <t>A.012 dilatace roh</t>
  </si>
  <si>
    <t>A.012 dilatace strop</t>
  </si>
  <si>
    <t>A.014 dilatace roh</t>
  </si>
  <si>
    <t>9,42</t>
  </si>
  <si>
    <t>A.014 dilatace strop</t>
  </si>
  <si>
    <t>4*2,4</t>
  </si>
  <si>
    <t>A.019 dilatace rohy</t>
  </si>
  <si>
    <t>5,47</t>
  </si>
  <si>
    <t>A.032 rohy</t>
  </si>
  <si>
    <t>7*2,55</t>
  </si>
  <si>
    <t>A.025 rohy</t>
  </si>
  <si>
    <t>A.028a,b rohy</t>
  </si>
  <si>
    <t>111</t>
  </si>
  <si>
    <t>781111121R00</t>
  </si>
  <si>
    <t>Montáž lišt rohových, ukončovacích</t>
  </si>
  <si>
    <t>PVC lišty</t>
  </si>
  <si>
    <t>2*2,25</t>
  </si>
  <si>
    <t>3*2,5</t>
  </si>
  <si>
    <t>0,6*2</t>
  </si>
  <si>
    <t>1*2,55</t>
  </si>
  <si>
    <t>2,55</t>
  </si>
  <si>
    <t>4*2,65</t>
  </si>
  <si>
    <t>8,68</t>
  </si>
  <si>
    <t>112</t>
  </si>
  <si>
    <t>781101310R00</t>
  </si>
  <si>
    <t>Vyčištění keramického obkladu</t>
  </si>
  <si>
    <t xml:space="preserve">Položka je určena pro očištění a odmaštěšní keramického obkladu. Obsahuje nanesení čisticího přípravku, prokartáčování a umytí prostředku z povrchu dlažby včetně dodávky prostředku.. </t>
  </si>
  <si>
    <t>113</t>
  </si>
  <si>
    <t>998781101R00</t>
  </si>
  <si>
    <t>Přesun hmot pro obklady keramické, výšky do 6 m</t>
  </si>
  <si>
    <t>783</t>
  </si>
  <si>
    <t>Nátěry</t>
  </si>
  <si>
    <t>114</t>
  </si>
  <si>
    <t>78312513</t>
  </si>
  <si>
    <t>Nátěr zárubní 2x</t>
  </si>
  <si>
    <t>783_</t>
  </si>
  <si>
    <t>784</t>
  </si>
  <si>
    <t>Malby</t>
  </si>
  <si>
    <t>115</t>
  </si>
  <si>
    <t>784011121R00</t>
  </si>
  <si>
    <t>Broušení štuků a nových omítek</t>
  </si>
  <si>
    <t>784_</t>
  </si>
  <si>
    <t>8,45*2,65</t>
  </si>
  <si>
    <t>A.001 sanační systém</t>
  </si>
  <si>
    <t>Provádí se za účelem odstranění veškerých nepřilnavých povrchových zrn a shluků zrn písku</t>
  </si>
  <si>
    <t>116</t>
  </si>
  <si>
    <t>784111101R00</t>
  </si>
  <si>
    <t>Penetrace podkladu nátěrem  1 x</t>
  </si>
  <si>
    <t>-2*0,97</t>
  </si>
  <si>
    <t>3,65*2,55-0,7*1,97-0,8*1,97</t>
  </si>
  <si>
    <t>19,96*2,65-1*1,97-1,1*2</t>
  </si>
  <si>
    <t>19,48*2,65-1,1*2-1*1,97</t>
  </si>
  <si>
    <t>19,61*2,65-1,1*2-1*1,97</t>
  </si>
  <si>
    <t>19,64*2,65-1,1*2-1*1,97</t>
  </si>
  <si>
    <t>18,47*2,65-1,1*2-1*1,97</t>
  </si>
  <si>
    <t>18,61*2,65-1*1,97-1,1*2</t>
  </si>
  <si>
    <t>11,16*2,65-0,8*2</t>
  </si>
  <si>
    <t>28,65*2,65-2*1,1*1,97</t>
  </si>
  <si>
    <t>14,09*2,65-1*1,97</t>
  </si>
  <si>
    <t>28,14*2,65-1,3*2,15</t>
  </si>
  <si>
    <t>Akrylátový základní nátěr na savé podklady</t>
  </si>
  <si>
    <t>117</t>
  </si>
  <si>
    <t>784165332R00</t>
  </si>
  <si>
    <t>Malba bílá, bez penetrace, 2x</t>
  </si>
  <si>
    <t>Interiérová malba Bílá malba (Bělost &gt;=95%), silikátová báze, Lesk dle ČSN EN 13300 – vysoce matná, vodou ředitelná, vysoká otěruvzdornost, nízký obsahem těkavých organických látek (VOC ?0,1g/l), bez změkčovadel, bez těžkých kovů, bez přídavku biocidů, formaldehydu či donorů formaldehydu, bez parfemace, bez foggingově aktivních substancí, minimálně dvě vrstvy</t>
  </si>
  <si>
    <t>Lešení a stavební výtahy</t>
  </si>
  <si>
    <t>118</t>
  </si>
  <si>
    <t>941955001R00</t>
  </si>
  <si>
    <t>Lešení lehké pomocné, výška podlahy do 1,2 m</t>
  </si>
  <si>
    <t>94_</t>
  </si>
  <si>
    <t>_9_</t>
  </si>
  <si>
    <t>Různé dokončovací konstrukce a práce na pozemních stavbách</t>
  </si>
  <si>
    <t>119</t>
  </si>
  <si>
    <t>952901111R00</t>
  </si>
  <si>
    <t>Vyčištění budov o výšce podlaží do 4 m</t>
  </si>
  <si>
    <t>95_</t>
  </si>
  <si>
    <t xml:space="preserve">Položka je určena pro vyčištění budov bytové nebo občanské výstavby - zametení a umytí podlah, dlažeb, obkladů, schodů v místnostech, chodbách a schodištích, vyčištění a umytí oken, dveří s rámy, zárubněmi, umytí a vyčistění jiných zasklených a natíraných ploch a zařizovacích předmětů před předáním do užívání. </t>
  </si>
  <si>
    <t>H01</t>
  </si>
  <si>
    <t>Budovy občanské výstavby</t>
  </si>
  <si>
    <t>120</t>
  </si>
  <si>
    <t>998011001R00</t>
  </si>
  <si>
    <t>Přesun hmot pro budovy zděné</t>
  </si>
  <si>
    <t>H01_</t>
  </si>
  <si>
    <t>M21</t>
  </si>
  <si>
    <t>Elektromontáže-VZT-ZTI-ÚT</t>
  </si>
  <si>
    <t>121</t>
  </si>
  <si>
    <t>000000001EL.Sil</t>
  </si>
  <si>
    <t>Elektroinstalace silnoproud - dle samostatného výkazu</t>
  </si>
  <si>
    <t>RTS II / 2020</t>
  </si>
  <si>
    <t>M21_</t>
  </si>
  <si>
    <t>122</t>
  </si>
  <si>
    <t>000000002EL.Sla</t>
  </si>
  <si>
    <t>Elektroinstalace slaboproud SSK, STA, SP - dle samostatného výkazu</t>
  </si>
  <si>
    <t>RTS II / 2016</t>
  </si>
  <si>
    <t>123</t>
  </si>
  <si>
    <t>000000003EL.EPS</t>
  </si>
  <si>
    <t>Elektroinstalace slaboproud EPS - dle samostatného výkazu</t>
  </si>
  <si>
    <t>124</t>
  </si>
  <si>
    <t>000000004VZT</t>
  </si>
  <si>
    <t>VZT - dle samostatného výkazu</t>
  </si>
  <si>
    <t>125</t>
  </si>
  <si>
    <t>000000005UT</t>
  </si>
  <si>
    <t>ÚT - dle samostatného výkazu</t>
  </si>
  <si>
    <t>126</t>
  </si>
  <si>
    <t>000000006ZTI</t>
  </si>
  <si>
    <t>ZTI - dle samostatného výkazu</t>
  </si>
  <si>
    <t>VORN</t>
  </si>
  <si>
    <t>01VRN</t>
  </si>
  <si>
    <t>Dokumentace</t>
  </si>
  <si>
    <t>127</t>
  </si>
  <si>
    <t>013002VRN</t>
  </si>
  <si>
    <t>Dokumentace skutečného provedení stavby</t>
  </si>
  <si>
    <t>Soubor</t>
  </si>
  <si>
    <t>01VRN_</t>
  </si>
  <si>
    <t>_Â _</t>
  </si>
  <si>
    <t>03VRN</t>
  </si>
  <si>
    <t>128</t>
  </si>
  <si>
    <t>030001VRN</t>
  </si>
  <si>
    <t>03VRN_</t>
  </si>
  <si>
    <t>06VRN</t>
  </si>
  <si>
    <t>129</t>
  </si>
  <si>
    <t>065002VRN</t>
  </si>
  <si>
    <t>Mimostaveništní doprava</t>
  </si>
  <si>
    <t>06VRN_</t>
  </si>
  <si>
    <t>08VRN</t>
  </si>
  <si>
    <t>130</t>
  </si>
  <si>
    <t>081002VRN</t>
  </si>
  <si>
    <t>Doprava zaměstnanců</t>
  </si>
  <si>
    <t>08VRN_</t>
  </si>
  <si>
    <t>09VRN</t>
  </si>
  <si>
    <t>131</t>
  </si>
  <si>
    <t>090001VRN</t>
  </si>
  <si>
    <t>Ostatní náklady-vysušení objektu po realizaci mokrých procesů</t>
  </si>
  <si>
    <t>09VRN_</t>
  </si>
  <si>
    <t>vysušení objektu po realizaci mokrých procesů (omítky, podlaha-betonáže) za pomoci vysoušečů</t>
  </si>
  <si>
    <t>Č.p.</t>
  </si>
  <si>
    <t>Popis položky</t>
  </si>
  <si>
    <t>druh MJ</t>
  </si>
  <si>
    <t>Množství
dle PD</t>
  </si>
  <si>
    <t>cena za m.j.</t>
  </si>
  <si>
    <t>cena celkem</t>
  </si>
  <si>
    <t>materiál</t>
  </si>
  <si>
    <t>montáž</t>
  </si>
  <si>
    <t>ROZVADĚČE</t>
  </si>
  <si>
    <t>1.1</t>
  </si>
  <si>
    <r>
      <t xml:space="preserve">Rozvaděč </t>
    </r>
    <r>
      <rPr>
        <i/>
        <sz val="10"/>
        <rFont val="Arial"/>
        <family val="2"/>
        <charset val="238"/>
      </rPr>
      <t>RH (stávající)</t>
    </r>
  </si>
  <si>
    <t>Doplnění přístrojové náplně:</t>
  </si>
  <si>
    <t>● jistič 100A/3P/B - 1x (část "MDO")</t>
  </si>
  <si>
    <t>● jistič 80A/3P/B - 1x (část "MDO")</t>
  </si>
  <si>
    <t>● jistič 63A/3P/B - 1x (část DO)</t>
  </si>
  <si>
    <t>● jistič 50A/3P/B - 1x (část DO)</t>
  </si>
  <si>
    <t>Kompletní dodávka, včetně pomocného materiálu pro montáž a propojení (svorky)</t>
  </si>
  <si>
    <t>1.2</t>
  </si>
  <si>
    <t>Nový rozvaděč R01A.ort</t>
  </si>
  <si>
    <r>
      <t>Oceloplechový, nástěnný, s dveřmi, IP 50/20, EI30-S200 (i</t>
    </r>
    <r>
      <rPr>
        <sz val="10"/>
        <rFont val="Symbol"/>
        <family val="1"/>
        <charset val="2"/>
      </rPr>
      <t>®</t>
    </r>
    <r>
      <rPr>
        <sz val="10"/>
        <rFont val="Arial"/>
        <family val="2"/>
        <charset val="238"/>
      </rPr>
      <t>o)</t>
    </r>
  </si>
  <si>
    <t>Přístrojová náplň dle výkresové části PD</t>
  </si>
  <si>
    <t>Kompletní dodávka rozvaděče, včetně pomocného materiálu pro montáž a propojení, výrobní dokumentace sestavy (vnitřní zapojení rozvaděče) a protokolech o zkoušce</t>
  </si>
  <si>
    <t>1.3</t>
  </si>
  <si>
    <t>Nový rozvaděč R01B.ort</t>
  </si>
  <si>
    <t>SVÍTIDLA</t>
  </si>
  <si>
    <t>2.1</t>
  </si>
  <si>
    <t>S1: Přisazené/vestavné svítidlo do čistých prostorů, symetrická vyzařovací charakteristika, světelný tok ze svítidla 2200lm, příkon svítidla 17W, náhradní teplota chromatičnosti 4000K, index podání barev Ra&gt;80, kvalita LED L80 90.000h při teplotě 40°C, tělo svítidla z ocelového plechu, práškově lakováno bílou barvou, třída ochrany I, krytí IP65, odolnost proti nárazu IK04, s elektronickým stmívatelným předřadníkem DALI</t>
  </si>
  <si>
    <t>2.2</t>
  </si>
  <si>
    <t>S2: Vestavné LED svítidlo s translucentním difuzorem, středně široká vyzařovací charakteristika, světelný tok ze svítidla 1100lm, příkon svítidla 9,5W, index podání barev Ra&gt;80, náhradní teplota chromatičnosti 4000K, kvalita LED L80 100.000h při teplotě 25°C, třída ochrany II, krytí ze směru místnosti IP54, s elektronickým předřadníkem</t>
  </si>
  <si>
    <t>2.3</t>
  </si>
  <si>
    <t>S3: Vestavné LED svítidlo s translucentním difuzorem, středně široká vyzařovací charakteristika, světelný tok ze svítidla 2200lm, příkon svítidla 19W, index podání barev Ra&gt;80, náhradní teplota chromatičnosti 4000K, kvalita LED L80 100.000h při teplotě 25°C, třída ochrany II, krytí ze směru místnosti IP54, s elektronickým předřadníkem</t>
  </si>
  <si>
    <t>2.4</t>
  </si>
  <si>
    <t>S4: Vestavné LED svítidlo s translucentním difuzorem, středně široká vyzařovací charakteristika, světelný tok ze svítidla 2171lm, příkon svítidla 19,2W, index podání barev Ra&gt;80, náhradní teplota chromatičnosti 4000K, kvalita LED L80 100.000h při teplotě 25°C, třída ochrany II, krytí ze směru místnosti IP54, s elektronickým předřadníkem</t>
  </si>
  <si>
    <t>2.5</t>
  </si>
  <si>
    <t>S5: Nástěné LED svítidlo s translucentním difuzorem, středně široká vyzařovací charakteristika, světelný tok ze svítidla 2200lm, příkon svítidla 20W, index podání barev Ra&gt;80, náhradní teplota chromatičnosti 4000K, kvalita LED L80 100.000h při teplotě 25°C, třída ochrany II, krytí ze směru místnosti IP54, s elektronickým předřadníkem</t>
  </si>
  <si>
    <t>2.6</t>
  </si>
  <si>
    <t>S6: Přisazené/vestavné svítidlo do čistých prostorů, symetrická vyzařovací charakteristika, světelný tok ze svítidla 3600lm, příkon svítidla 26W, náhradní teplota chromatičnosti 4000K, index podání barev Ra&gt;80, kvalita LED L80 90.000h při teplotě 40°C, tělo svítidla z ocelového plechu, práškově lakováno bílou barvou, třída ochrany I, krytí IP65, odolnost proti nárazu IK04, s elektronickým stmívatelným předřadníkem DALI</t>
  </si>
  <si>
    <t>2.7</t>
  </si>
  <si>
    <t>S7: Přisazené/vestavné svítidlo do čistých prostorů, symetrická vyzařovací charakteristika, světelný tok ze svítidla 3593lm, příkon svítidla 26W, náhradní teplota chromatičnosti 4000K, index podání barev Ra&gt;80, kvalita LED L80 90.000h při teplotě 40°C, tělo svítidla z ocelového plechu, práškově lakováno bílou barvou, třída ochrany I, krytí IP65, odolnost proti nárazu IK04, s elektronickým stmívatelným předřadníkem DALI, integrovaný nouzový modul 3h</t>
  </si>
  <si>
    <t>2.8</t>
  </si>
  <si>
    <t>N1: Přisazené nouzové svítidlo s piktogramem vyznačujícím směr úniku, viditelnost piktogramu 25m, 185lm, autotest, s vlastním akumulátorem s autonomií 1h, IP65</t>
  </si>
  <si>
    <t>2.9</t>
  </si>
  <si>
    <t>N2: Vestavné nouzové svítidlo, 185lm, autotest, s autonomií 1h, IP65</t>
  </si>
  <si>
    <t>2.10</t>
  </si>
  <si>
    <t>N3: Vestavné/přisazené nouzové svítidlo, 185lm, autotest, s autonomií 1h, IP20</t>
  </si>
  <si>
    <t>Poznámka: svítidla budou dodána komplet, včetně montážní sady, závěsů a zdrojů</t>
  </si>
  <si>
    <t>KONCOVÉ PRVKY</t>
  </si>
  <si>
    <t>3.1</t>
  </si>
  <si>
    <t xml:space="preserve">Jednopólový vypínač, zapuštěná montáž, vč. popisky, příslušenství, instalační krabice, kompletní dodávka </t>
  </si>
  <si>
    <t>3.2</t>
  </si>
  <si>
    <t xml:space="preserve">Jednopólový vypínač, vyšší krytí, zapuštěná montáž, vč. popisky, příslušenství, instalační krabice, kompletní dodávka </t>
  </si>
  <si>
    <t>3.3</t>
  </si>
  <si>
    <t xml:space="preserve">Sériový vypínač, zapuštěná montáž, vč. popisky, příslušenství, instalační krabice, kompletní dodávka </t>
  </si>
  <si>
    <t>3.4</t>
  </si>
  <si>
    <t xml:space="preserve">Schodišťový přepínač, zapuštěná montáž, vč. popisky, příslušenství, instalační krabice, kompletní dodávka </t>
  </si>
  <si>
    <t>3.5</t>
  </si>
  <si>
    <t xml:space="preserve">Tlačítkový spínač, zapuštěná montáž, vč. popisky, příslušenství, instalační krabice, kompletní dodávka </t>
  </si>
  <si>
    <t>3.6</t>
  </si>
  <si>
    <t>Pohybové čidlo PIR, přisazená montáž, úhel pokrytí 120°, vč. popisky, příslušenství, instalační krabice, kompletní dodávka</t>
  </si>
  <si>
    <t>3.7</t>
  </si>
  <si>
    <t>Zásuvka 230V/16A, zapuštěná montáž, vč. popisky, příslušenství, instalační krabice, kompletní dodávka, barevné rozlišení podle použité napájecí soustavy a zdravotnické technologie</t>
  </si>
  <si>
    <t>3.8</t>
  </si>
  <si>
    <t>Zásuvka 230V/16A, vyšší krytí, zapuštěná montáž, vč. popisky, příslušenství, instalační krabice, kompletní dodávka, barevné rozlišení podle použité napájecí soustavy a zdravotnické technologie</t>
  </si>
  <si>
    <t>3.9</t>
  </si>
  <si>
    <t xml:space="preserve">Zásuvka 230V/16A s doplňkovým 3. stupněm ochrany proti přepětí, zapuštěná montáž, vč. popisky, příslušenství, instalační krabice, kompletní dodávka </t>
  </si>
  <si>
    <t>3.10</t>
  </si>
  <si>
    <t xml:space="preserve">Skříňka pro vyrovnání potenciálů MX s přípojnicí ochranného pospojování PA a ochranného uzemnění PE, zapuštěná montáž, ), vč. popisek, příslušenství, kompletní dodávka </t>
  </si>
  <si>
    <t>3.11</t>
  </si>
  <si>
    <t>Trojpólový spínač 16A, přisazená montáž, vyšší krytí, kompletní dodávka</t>
  </si>
  <si>
    <t>3.12</t>
  </si>
  <si>
    <t>Vícerámečky pro přístroje (zásuvky, vypínače) – dle použitých typů přístrojů a řešení interiéru, kordinovat se slaboproudem</t>
  </si>
  <si>
    <t>sada</t>
  </si>
  <si>
    <t>KABELY</t>
  </si>
  <si>
    <t>4.1</t>
  </si>
  <si>
    <t>Kabel 1-CXKH-R 5x50, B2ca,s1,d1, kompletní dodávka</t>
  </si>
  <si>
    <t>4.2</t>
  </si>
  <si>
    <t>Kabel 1-CXKH-R 5x35, B2ca,s1,d1, kompletní dodávka</t>
  </si>
  <si>
    <t>4.3</t>
  </si>
  <si>
    <t>Kabel 1-CXKH-R 5x25, B2ca,s1,d1, kompletní dodávka</t>
  </si>
  <si>
    <t>4.4</t>
  </si>
  <si>
    <t>Kabel 1-CXKH-R 5x16, B2ca,s1,d1, kompletní dodávka</t>
  </si>
  <si>
    <t>4.5</t>
  </si>
  <si>
    <t>Kabel 1-CXKH-R 5x2,5, B2ca,s1,d1, kompletní dodávka</t>
  </si>
  <si>
    <t>4.6</t>
  </si>
  <si>
    <t>Kabel 1-CXKH-R 5x1,5, B2ca,s1,d1, kompletní dodávka</t>
  </si>
  <si>
    <t>4.7</t>
  </si>
  <si>
    <t>Kabel 1-CXKH-R 3x2,5, B2ca,s1,d1, kompletní dodávka</t>
  </si>
  <si>
    <t>4.8</t>
  </si>
  <si>
    <t>Kabel 1-CXKH-R 3x1,5, B2ca,s1,d1, kompletní dodávka</t>
  </si>
  <si>
    <t>4.9</t>
  </si>
  <si>
    <t>Vodič CYA 35 zž, kompletní dodávka</t>
  </si>
  <si>
    <t>4.10</t>
  </si>
  <si>
    <t>Vodič CYA 25 zž, kompletní dodávka</t>
  </si>
  <si>
    <t>4.11</t>
  </si>
  <si>
    <t>Vodič CYA 16 zž, kompletní dodávka</t>
  </si>
  <si>
    <t>4.12</t>
  </si>
  <si>
    <t>Vodič CYA 6 zž, kompletní dodávka</t>
  </si>
  <si>
    <t>4.13</t>
  </si>
  <si>
    <t>Vodič CYA 4 zž, kompletní dodávka</t>
  </si>
  <si>
    <t>4.14</t>
  </si>
  <si>
    <t>Ukončení veškeré výše uvedené kabeláže, kompletní dodávka</t>
  </si>
  <si>
    <t>4.15</t>
  </si>
  <si>
    <t>Popis a přehledné označení kabelů a vodičů (popisovací štítky), kompletní dodávka</t>
  </si>
  <si>
    <t>KABELOVÉ TRASY</t>
  </si>
  <si>
    <t>5.1</t>
  </si>
  <si>
    <t>Mřížový kabelový žlab 400/100, vč. příslušenství, nosného materiálu, kompletní dodávka</t>
  </si>
  <si>
    <t>5.2</t>
  </si>
  <si>
    <t>Mřížový kabelový žlab 200/100, vč. příslušenství, nosného materiálu, kompletní dodávka</t>
  </si>
  <si>
    <t>5.3</t>
  </si>
  <si>
    <t>Mřížový kabelový žlab 50/50, vč. příslušenství, nosného materiálu, kompletní dodávka</t>
  </si>
  <si>
    <t>5.4</t>
  </si>
  <si>
    <r>
      <t xml:space="preserve">Kabelová příchytka pro svazek </t>
    </r>
    <r>
      <rPr>
        <sz val="10"/>
        <rFont val="Symbol"/>
        <family val="1"/>
        <charset val="2"/>
      </rPr>
      <t>Ć</t>
    </r>
    <r>
      <rPr>
        <sz val="10"/>
        <rFont val="Arial"/>
        <family val="2"/>
        <charset val="238"/>
      </rPr>
      <t xml:space="preserve"> 8÷30 mm, vč. příslušenství, kompletní dodávka</t>
    </r>
  </si>
  <si>
    <t>5.5</t>
  </si>
  <si>
    <t>Požární ucpávky kabelové trasy 200x60mm, stavební přípomoce, kompletní dodávka</t>
  </si>
  <si>
    <t>5.6</t>
  </si>
  <si>
    <r>
      <t xml:space="preserve">Jádrové vrtání do </t>
    </r>
    <r>
      <rPr>
        <sz val="10"/>
        <rFont val="Symbol"/>
        <family val="1"/>
        <charset val="2"/>
      </rPr>
      <t>Ć</t>
    </r>
    <r>
      <rPr>
        <sz val="10"/>
        <rFont val="Arial"/>
        <family val="2"/>
        <charset val="238"/>
      </rPr>
      <t xml:space="preserve"> 125</t>
    </r>
  </si>
  <si>
    <t>5.7</t>
  </si>
  <si>
    <t>Identifikace kabelových tras</t>
  </si>
  <si>
    <t>NÁHRADNÍ ZDROJE EL. ENERGIE</t>
  </si>
  <si>
    <t>nejsou</t>
  </si>
  <si>
    <t>OSTATNÍ MATERIÁL A MONTÁŽNÍ PRÁCE</t>
  </si>
  <si>
    <t>7.1</t>
  </si>
  <si>
    <t>Odpojení, demontáž a ekologická likvidace veškerého rozvodu v 1.PP:
  - kabelová vedení a trasy NN
  - elektroinstalace (osvětlení, zásuvky, kabeláž, vnitřní uzemnění)</t>
  </si>
  <si>
    <t>7.2</t>
  </si>
  <si>
    <t>Kovové konstrukce všeobecně vč. nátěrů</t>
  </si>
  <si>
    <t>kg</t>
  </si>
  <si>
    <t>7.3</t>
  </si>
  <si>
    <t>Stavební přípomocné práce (prostupy, drážky pro kabely...), stavební připravenost</t>
  </si>
  <si>
    <t>7.4</t>
  </si>
  <si>
    <t>Koordinační poplatky, spojené s montáží externě dodaných svítidel</t>
  </si>
  <si>
    <t>7.5</t>
  </si>
  <si>
    <t>Kompletace, oživení, provozní zkoušky, zaškolení obsluhy</t>
  </si>
  <si>
    <t>7.6</t>
  </si>
  <si>
    <t>Podružný materiál ( wago svorky, vruty, sádra, rozbočovací krabice, krycí víčka aj.)</t>
  </si>
  <si>
    <t>INŽENÝRSKÁ ČINNOST</t>
  </si>
  <si>
    <t>8.1</t>
  </si>
  <si>
    <t>Dodavatelská a dílenská dokumentace</t>
  </si>
  <si>
    <t>8.2</t>
  </si>
  <si>
    <t>Dokumentace skutečného provedení</t>
  </si>
  <si>
    <t>8.3</t>
  </si>
  <si>
    <t>Předkolaudační přejímky, konzultace (TIČR, HZS, …)</t>
  </si>
  <si>
    <t>8.4</t>
  </si>
  <si>
    <t>Autorský dozor</t>
  </si>
  <si>
    <t>hod</t>
  </si>
  <si>
    <t>8.5</t>
  </si>
  <si>
    <t>Komplexní provozní zkoušky</t>
  </si>
  <si>
    <t>8.6</t>
  </si>
  <si>
    <t>Výchozí revize elektro</t>
  </si>
  <si>
    <t>CELKEM</t>
  </si>
  <si>
    <t>Dodávka akce se předpokládá včetně kompletní montáže, dopravy, vnitrostaveništní manipulace, veškerého souvisejícího doplňkového, podružného a montážního materiálu tak, aby celé zařízení bylo funkční a splňovalo všechny předpisy, které se na ně vztahují.</t>
  </si>
  <si>
    <t>Při zpracování nabídky je nutné vycházet ze všech částí dokumentace (textové i grafické části, všech schémat a specifikace materiálu).</t>
  </si>
  <si>
    <t>Povinností dodavatele je překontrolovat specifikaci materiálu a případný chybějící materiál nebo výkony doplnit a ocenit.</t>
  </si>
  <si>
    <t>Součástí ceny musí být veškeré náklady, aby cena byla konečná a zahrnovala celou dodávku a montáž akce.</t>
  </si>
  <si>
    <t>Všechny použité výrobky musí mít osvědčení o schválení k provozu v České republice.</t>
  </si>
  <si>
    <t>V průběhu provádění prací budou respektovány všechny příslušné platné předpisy a požadavky BOZP. Náklady vyplývající z jejich dodržení jsou součástí jednotkové ceny a nebudou zvlášť hrazeny.</t>
  </si>
  <si>
    <t>Veškeré práce budou provedeny úhledně, řádně a kvalitně řemeslným způsobem.</t>
  </si>
  <si>
    <t>Zařízení bude uvedeno do provozu až po provedení všech výchozích zkouškách (revizích) el. instalace. O provedených zkouškách budou vystaveny protokoly.</t>
  </si>
  <si>
    <t>Položka č</t>
  </si>
  <si>
    <t>Název</t>
  </si>
  <si>
    <t>Jednotka</t>
  </si>
  <si>
    <t>Ceny</t>
  </si>
  <si>
    <t>STAVEBNÍ ÚPRAVY 1.PP
 PAVILONU A V areálu Nemocnice Nymburk
D.1.4e - SLA - 08/2024</t>
  </si>
  <si>
    <t>mj.</t>
  </si>
  <si>
    <t>ks/m/kpl</t>
  </si>
  <si>
    <t>za jednotku</t>
  </si>
  <si>
    <t>Při naceňování je nutné brát v úvahu celkovou projektovou dokumentaci!!! Jedná se o orientační výkazy výměr, které je nutno ověřit dodavatelskou firmou. V případě nesrovnalostí je nutné kontaktovat projektanta.</t>
  </si>
  <si>
    <t>Výměry jsou vykázány bez prořezů a vzájemných přesahů materiálu.</t>
  </si>
  <si>
    <t xml:space="preserve">Součástí nabídkové ceny musí být veškeré náklady, aby cena byla konečná a zahrnovala celou dodávku a montáž. Dodávky a montáže uvedené v nabídce musí být, včetně veškerého souvisejícího doplňkového, podružného a montážního materiálu tak, aby celé zařízení bylo funkční a splňovalo všechny předpisy, které se na ně vztahují.   </t>
  </si>
  <si>
    <t xml:space="preserve">Každá uchazečem vyplněná položka musí obsahovat veškeré technicky a logicky dovoditélné součásti dodávky a montáže (včetně údajů o podmínkách a úhradě licencí potřebných SW). </t>
  </si>
  <si>
    <t>Označení výrobků konkrétním výrobcem v projektu stavby vyjadřuje standard požadované kvality. Pokud uchazeč nabídne produkt od jiného výrobce je povinen dodržet standard a zároveň, přejímá odpovědnost za správnost náhrady - splnění všech parametrů a koordinaci se všemi navazujícími profesemi, eventuelní nutnost úpravy projektu pro výběr zhotovitele půjde k tíží uchazeče (vybraného dodavatele).</t>
  </si>
  <si>
    <t>Položky níže vykázané je nutné nacenit včetně přívozu, odvozu, složení, naložení, zhutnění, skládkovného atp.</t>
  </si>
  <si>
    <t>Slaboproudé instalace - SSK, STA, SP</t>
  </si>
  <si>
    <t>datové rozvaděče a aktivní prvky jsou předmětem dodávky uživatele</t>
  </si>
  <si>
    <t>SP - systém sestra pacient, referenční model Visocall IP, systémový mangement server pro 1000 IP zařízení, 19", 1U, včetně SW</t>
  </si>
  <si>
    <t>SP - systém sestra pacient, referenční model Visocall IP, systémový switch, 2 kruhové linky, 8x LAN port, 1x GB uplink, 24V, multicast, QoS</t>
  </si>
  <si>
    <t>SP, napájecí zdroj 24V/120W/5A pro switch jednotky</t>
  </si>
  <si>
    <t>SP, systémový terminál, dotykový TFT 6,5 display</t>
  </si>
  <si>
    <t>SP, systémová zásuvka pro sesterský terminál</t>
  </si>
  <si>
    <t>SP, pokojové signalizační světlo, 5 barevných stavů dle normy VDE0834</t>
  </si>
  <si>
    <t>SP, nouzové tlačítko, membránová klávesnice, orientační a zpětnovazební LED</t>
  </si>
  <si>
    <t>SP, nouzové táhlo do vlhka, orientační a zpětnovazební LED</t>
  </si>
  <si>
    <t>SP, potvrzovací tlačítko, mebránová klávesnice, orientační a zpětnovazební LED</t>
  </si>
  <si>
    <t>SSK - modulární dvojzásuvka RJ-45/2 cat.6A</t>
  </si>
  <si>
    <t>STA - zesilovač STA pro 11 koncových zásuvek TV-R</t>
  </si>
  <si>
    <t>STA - rozbočovač STA 1/12, včetně instalační krabice s průchodkami</t>
  </si>
  <si>
    <t>STA  - koncová zásuka STA (TV-R) model dle projektu silnoproudu</t>
  </si>
  <si>
    <t>SXKD-6A-STP-LSOH-B2ca Kabel U/FTP, kat.6A (pro SSK i systém SP)</t>
  </si>
  <si>
    <t>koaxiální kabel nehořlavý B2ca,  měděné jádro min 1,05 mm</t>
  </si>
  <si>
    <t>chránička pr.20mm samozhášivá</t>
  </si>
  <si>
    <t>chránička pr.25mm samozhášivá</t>
  </si>
  <si>
    <t>chránička pr.32mm samozhášivá</t>
  </si>
  <si>
    <t xml:space="preserve">oceloplechová příchytka pro jeden kabel pro.6-9mm, včetně nastřelovacího hřebu a nastřelení </t>
  </si>
  <si>
    <t xml:space="preserve">oceloplechová příchytka pro dva kabely pro.6-9mm, včetně nastřelovacího hřebu a nastřelení </t>
  </si>
  <si>
    <t>oceloplechový žlab 300x60, včetně spojek a uchycení žlabu ke stropu pomocí "C" profilu a závitových tyčí, po 80cm, komplet</t>
  </si>
  <si>
    <t>oceloplechový žlab 200x60, včetně spojek a uchycení žlabu ke stropu pomocí "C" profilu a závitových tyčí, po 80cm, komplet</t>
  </si>
  <si>
    <t>oceloplechový žlab 100x60, včetně spojek a uchycení žlabu ke stropu pomocí "C" profilu a závitových tyčí, po 80cm, komplet</t>
  </si>
  <si>
    <t>oceloplechový žlab 60x60, včetně spojek a uchycení žlabu ke stropu pomocí "C" profilu a závitových tyčí, po 80cm, komplet</t>
  </si>
  <si>
    <t>požární tmel 50l, pro utěsnění požárních prostupů</t>
  </si>
  <si>
    <t>Drobný nespecifikovaný materiál</t>
  </si>
  <si>
    <t>Dodavatelská dokumentace</t>
  </si>
  <si>
    <t xml:space="preserve">Montáž a zapojení </t>
  </si>
  <si>
    <t>Přípomocné práce - sekání, vrtání,  začišťování, zednické přípomoce</t>
  </si>
  <si>
    <t>Revize</t>
  </si>
  <si>
    <t>SLA - celkem Kč</t>
  </si>
  <si>
    <t xml:space="preserve">
DomusDesign
</t>
  </si>
  <si>
    <t>STAVEBNÍ ÚPRAVY 1.PP
 PAVILONU A V areálu Nemocnice Nymburk
D.1.4f - EPS, ER - 08/2024</t>
  </si>
  <si>
    <t>EPS a ER</t>
  </si>
  <si>
    <t xml:space="preserve">Ústředna EPS ESSER pro 1500 adresných hlásičů EPS, 10x výstup pro spouštění přednahranné zprávy ER, 10x výstup pro sirény EPS, výstup pro extrní ovládací panel EPS, výstup pro grafickou nadstavbu EPS, funkční komplet včetně záložních baterií </t>
  </si>
  <si>
    <t>Externí ovládací panel EPS - Esser</t>
  </si>
  <si>
    <t>PC určený pro 24h provoz (zvýšena odolnost celé sestavy pro minimální provoz 5 let) + 27" LCD monitor + klávesnice + myš pro grafickou nadstavbu EPS</t>
  </si>
  <si>
    <t>grafická nadstavba EPS</t>
  </si>
  <si>
    <t>opticko-kouřový hlásič EPS, Esser IQ8Quard, včetně patice</t>
  </si>
  <si>
    <t>paralelní signalzace EPS k hlaásiči EPS</t>
  </si>
  <si>
    <t>Tlačítkový adresný hlásič EPS Esser</t>
  </si>
  <si>
    <t>siréna EPS s blikačem</t>
  </si>
  <si>
    <t>šítky s označením adresy hlásiče a sirény</t>
  </si>
  <si>
    <t>kabel JE-H(St)H 12x2x0,8 (pro externí panel EPS)</t>
  </si>
  <si>
    <t>SXKD-6A-STP-LSOH-B2ca Kabel U/FTP, kat.6A  (pro PC s grafickou nadstavbu)</t>
  </si>
  <si>
    <t>kabel PRAFLaDUR 2x2,5 (pro sirény)</t>
  </si>
  <si>
    <t>JE-H(St)H 1x2x1 BdFE  180 PH 90 (kruhová linka pro hlásiče EPS), kabel s funkčností při požáru</t>
  </si>
  <si>
    <t xml:space="preserve">Ústředna ER - evakučního rozhlasu Honaeywell, pro 750 reprodutorů s možností rozdělení na 10 zón, výstup pro napojení 10 ovládacích panelů, přednahranou evakuační zprávu v ČJ/AJ/NJ, funkční komplet včetně vlastní aku baterií. </t>
  </si>
  <si>
    <t xml:space="preserve">Skříň pro ústřednu ER v 19" provedení, oceloplechová s dělenými prosklenými předními dveřmi, v-2000 x š-800 x h-800, zadní a boční stěny oceloplechové, vstupy pro kabeláž horem i spodem, řízení ventilace vlastním termostatem, v horní části 8 větracích ventilátorů  </t>
  </si>
  <si>
    <t>podhledový reproduktor evakuačního rozhlasu 3-6W / 100V</t>
  </si>
  <si>
    <t>nástěnný reproduktor evakuačního rozhlasu 3-6W / 100V</t>
  </si>
  <si>
    <t>mikrofonní LCD jednotka - pult pro 10  zón</t>
  </si>
  <si>
    <t>kabel PRAFLaDUR 2x2,5 (pro reproduktory)</t>
  </si>
  <si>
    <t xml:space="preserve">oceloplechová příchytka s funkční odolností  při požáru pro jeden kabel pro.6-9mm, včetně nastřelovacího hřebu a nastřelení </t>
  </si>
  <si>
    <t xml:space="preserve">oceloplechová příchytka s funkční odolností  při požáru pro dva kabely pro.6-9mm, včetně nastřelovacího hřebu a nastřelení </t>
  </si>
  <si>
    <t>EPS a ER - celkem Kč</t>
  </si>
  <si>
    <t>D.1.4.c.02  - Příloha 1 - Výpis základního materiálu vzduchotechniky včetně montáží</t>
  </si>
  <si>
    <t>!BAREVNÉ PROVEDENÍ JEDNOTLIVÝCH VZT KOMPONENT DLE INVESTORA ČI ARCHITEKTA!</t>
  </si>
  <si>
    <t>pozice</t>
  </si>
  <si>
    <t>název položky</t>
  </si>
  <si>
    <t>mn.</t>
  </si>
  <si>
    <t>poznámka</t>
  </si>
  <si>
    <t>cena za j.n.</t>
  </si>
  <si>
    <t xml:space="preserve">Poznámka:   </t>
  </si>
  <si>
    <t xml:space="preserve">Veškeré tvarovky na kruhovém potrubí budou s pozinkovaného plechu v těsném provedení (2 - břité těsnění připevněné nerezovou páskou) pokud nebude uvedeno v poznámce nebo na výkrese jinak.                                                                                                                                                                                                          </t>
  </si>
  <si>
    <r>
      <t xml:space="preserve">Porubní diagonální ventilátor s nastavitelným doběhem, </t>
    </r>
    <r>
      <rPr>
        <sz val="11"/>
        <rFont val="Calibri"/>
        <family val="2"/>
        <charset val="238"/>
      </rPr>
      <t>Ø</t>
    </r>
    <r>
      <rPr>
        <sz val="11"/>
        <rFont val="Calibri"/>
        <family val="2"/>
        <charset val="238"/>
      </rPr>
      <t xml:space="preserve"> 125 mm, vzduchové množství 150 m3/h při 80 Pa</t>
    </r>
  </si>
  <si>
    <r>
      <t xml:space="preserve">Porubní diagonální ventilátor s nastavitelným doběhem, </t>
    </r>
    <r>
      <rPr>
        <sz val="11"/>
        <rFont val="Calibri"/>
        <family val="2"/>
        <charset val="238"/>
      </rPr>
      <t>Ø</t>
    </r>
    <r>
      <rPr>
        <sz val="11"/>
        <rFont val="Calibri"/>
        <family val="2"/>
        <charset val="238"/>
      </rPr>
      <t xml:space="preserve"> 100 mm, vzduchové množství 80 m3/h při 55 Pa</t>
    </r>
  </si>
  <si>
    <t>Zpětná klapka do potrubí Ø 100</t>
  </si>
  <si>
    <t>Zpětná klapka do potrubí Ø 125</t>
  </si>
  <si>
    <t>Protidešťová žaluzie Al, 200 x 200 mm s kruhovým připojením Ø 125 mm, volná plocha 0,018 m2, barevné provedení dle investora</t>
  </si>
  <si>
    <t>KL-OD1 (m.č. 1.12)</t>
  </si>
  <si>
    <t>Protidešťová žaluzie Al, 250 x 250 mm s kruhovým připojením Ø 200 mm, volná plocha 0,031 m2, barevné provedení dle investora</t>
  </si>
  <si>
    <t>KL-P2 (m.č. 1.39)</t>
  </si>
  <si>
    <t>Talířový ventil pro odvod vzduchu, kovový,  Ø 100, instalační rámeček</t>
  </si>
  <si>
    <t>Talířový ventil pro odvod vzduchu, kovový,  Ø 125, instalační rámeček</t>
  </si>
  <si>
    <t>Talířový ventil pro odvod vzduchu, kovový,  Ø 200, instalační rámeček</t>
  </si>
  <si>
    <t>KL-OD4 (m.č. 1.11)</t>
  </si>
  <si>
    <t xml:space="preserve">Spojka vnitřní  Ø 100 </t>
  </si>
  <si>
    <t>Cena zahrnuta v montážích</t>
  </si>
  <si>
    <t>Spojka vnitřní  Ø 125</t>
  </si>
  <si>
    <t>Spojka vnitřní  Ø 160</t>
  </si>
  <si>
    <t xml:space="preserve">Spojka vnější Ø 100 </t>
  </si>
  <si>
    <t>KL-OD3 (m.č. 1.14)</t>
  </si>
  <si>
    <t>Spojka vnější Ø 125</t>
  </si>
  <si>
    <t>Spojka vnější Ø 160</t>
  </si>
  <si>
    <t>CAV 02 (m.č. 1.12)</t>
  </si>
  <si>
    <t>Spojka vnější Ø 200</t>
  </si>
  <si>
    <t>CAV 01 (m.č. 1.12)</t>
  </si>
  <si>
    <t>Přechod, osový, Ø 100/125</t>
  </si>
  <si>
    <t>Přechod, osový, Ø 125/200</t>
  </si>
  <si>
    <t>(m.č. 1.11)</t>
  </si>
  <si>
    <t>Přechod, osový, Ø 160/200</t>
  </si>
  <si>
    <t>(m.č. 1.11, 1.13)</t>
  </si>
  <si>
    <t>(m.č. 1.01)</t>
  </si>
  <si>
    <t>Záslepka na tvarovku Ø 160</t>
  </si>
  <si>
    <t>(m.č. 1.40)</t>
  </si>
  <si>
    <t>Koleno 90°, Ø 100</t>
  </si>
  <si>
    <t>Koleno 45°, Ø 125</t>
  </si>
  <si>
    <t>Koleno 90°, Ø 125</t>
  </si>
  <si>
    <t>Kalhotový kus 45°, Ø 200/125-125</t>
  </si>
  <si>
    <t>Odbočka 90°, Ø 100/100</t>
  </si>
  <si>
    <t>Odbočka 90°, Ø 125/125</t>
  </si>
  <si>
    <t>Odbočka 90°, Ø 160/125</t>
  </si>
  <si>
    <t xml:space="preserve">Kruhové potrubí Spiro Ø 100 </t>
  </si>
  <si>
    <t>Kruhové potrubí Spiro Ø 125</t>
  </si>
  <si>
    <t>Kruhové potrubí Spiro Ø 160</t>
  </si>
  <si>
    <t>Kruhové potrubí Spiro Ø 200</t>
  </si>
  <si>
    <t>Kruhové flexibilní potrubí  Ø 100  s tepl. iz. 25 mm a AL folií</t>
  </si>
  <si>
    <t>Kruhové flexibilní potrubí  Ø 125  s tepl. iz. 25 mm a AL folií</t>
  </si>
  <si>
    <t>Kruhové flexibilní potrubí  Ø 200  s tepl. iz. 25 mm a AL folií</t>
  </si>
  <si>
    <t>Ostatní spojovací materiál, závěsy, hmoždinky, šrouby, vruty, tepelná izolace na dodatečné izolování tvarovek, svorky, těsnící páska, tmely, atd</t>
  </si>
  <si>
    <t>MONTÁŽE</t>
  </si>
  <si>
    <t>Montáž ventilátoru diagonálního nízkotlakého potrubního nevýbušného D do 100 mm</t>
  </si>
  <si>
    <t>Montáž ventilátoru diagonálního nízkotlakého potrubního nevýbušného D přes 100 do 200 mm</t>
  </si>
  <si>
    <t>Montáž škrtící klapky nebo zpětné klapky do plechového potrubí kruhové s přírubou D do 100 mm</t>
  </si>
  <si>
    <t>Montáž škrtící klapky nebo zpětné klapky do plechového potrubí kruhové s přírubou D přes 100 do 200 mm</t>
  </si>
  <si>
    <t>Montáž protidešťové žaluzie čtyřhranné do 0,150 m2</t>
  </si>
  <si>
    <t>Montáž talířového ventilu D do 100 mm</t>
  </si>
  <si>
    <t>Montáž talířového ventilu D přes 100 do 200 mm</t>
  </si>
  <si>
    <t>Zaregulování systému vzduchotechnického zařízení - 1 koncový (distribuční) prvek</t>
  </si>
  <si>
    <t>Montáž vzduchotechnického potrubí z pozinkovaného plechu kruhové spirálně vinutá trouba bez příruby D do 100 mm, včetně tvarovek</t>
  </si>
  <si>
    <t>Montáž vzduchotechnického potrubí z pozinkovaného plechu kruhové spirálně vinutá trouba bez příruby D přes 100 do 200 mm, včetně tvarovek</t>
  </si>
  <si>
    <t>Montáž potrubí kruhového ohebného tepelně a zvukově izolovaného Al hadice D do 100 mm</t>
  </si>
  <si>
    <t>Montáž potrubí kruhového ohebného tepelně a zvukově izolovaného Al hadice D přes 100 do 200 mm</t>
  </si>
  <si>
    <t>Uchycení potrubí kruhového pomocí závěsu kotveného do betonu, včetně kotvícího materiálu</t>
  </si>
  <si>
    <t>OSTATNÍ</t>
  </si>
  <si>
    <t>Uvedení VZT zažízení do provozu, zaregulování, proškolení obsluhy a předávací protokol</t>
  </si>
  <si>
    <t xml:space="preserve">Doprava a přesun hmot </t>
  </si>
  <si>
    <t>Dokumentace DoSP</t>
  </si>
  <si>
    <t>Poznámka: Dveřní mřížky nejsou součástí dodávky VZT</t>
  </si>
  <si>
    <t>Celkem (bez DPH)</t>
  </si>
  <si>
    <t>Rozpočet vytápění</t>
  </si>
  <si>
    <t>Položka</t>
  </si>
  <si>
    <t>Cena za MJ</t>
  </si>
  <si>
    <t>Cena celkem bezDPH</t>
  </si>
  <si>
    <t>Nově instalovaná otopná tělesa:</t>
  </si>
  <si>
    <t>Otopné článkové těleso o rozměrech (délka x výška x hloubka) 600x600x150 mm, spodní pravé připojení pomocí sdružené armatury, termostatický ventil umístěn vpravo nad připojením OT, barva RAL 9016, včetně odvzdušňovacího ventilu a uchycení na stěnu</t>
  </si>
  <si>
    <t>Otopné trubkové těleso o rozměrech (délka x výška) 600x1220 mm, středové připojení pomocí sdružené armatury, termostatický ventil spoučástí středové armatury, včetně odvzdušňovacího ventilu a uchycení na stěnu</t>
  </si>
  <si>
    <t>Termostatická hlavice</t>
  </si>
  <si>
    <t>Montáž otopného článkového tělesa včetně odvzdušňovacího ventilu a připojení včetně osazení termostatické hlavice</t>
  </si>
  <si>
    <t>Montáž otopného trubkového tělesa včetně odvzdušňovacího ventilu a připojení, včetně instalace elektropatrony s vestavěným regulátorem teploty a osazení termostatické hlavice</t>
  </si>
  <si>
    <t>Demontovaná stávající otopná tělesa:</t>
  </si>
  <si>
    <t>Stávající otopné článkové těleso o rozměrech (délka x výška x hloubka) 750x600x150 mm, pravé připojení shora/dolů, termostatický ventil umístěn vpravo nahoře a uchyceno na stěně</t>
  </si>
  <si>
    <t>Stávající otopné článkové těleso o rozměrech (délka x výška x hloubka) 880x600x150 mm, pravé připojení shora/dolů, termostatický ventil umístěn vpravo nahoře a uchyceno na stěně</t>
  </si>
  <si>
    <t>Stávající otopné článkové těleso o rozměrech (délka x výška x hloubka) 1500x600x150 mm, pravé připojení shora/dolů, termostatický ventil umístěn vpravo nahoře a uchyceno na stěně</t>
  </si>
  <si>
    <t>Přesun/opětovná instalace stávajícího otopného tělesa:</t>
  </si>
  <si>
    <t>Stávající otopné článkové těleso o rozměrech (délka x výška x hloubka) 880x600x150 mm, pravé připojení shora/dolů, termostatický ventil umístěn vpravo nahoře a uchyceno na stěně, případně bude upraven počet článků!!!</t>
  </si>
  <si>
    <t>Nové ocelové potrubí:</t>
  </si>
  <si>
    <t>Ocelové potrubí Ø15 x 1,2 mm, pozinkované, spojováno svařováním, opatřeno nátěrem dle stávajících rozvodů</t>
  </si>
  <si>
    <t>Montážní materiál (objímky, hmoždinky, atd.)</t>
  </si>
  <si>
    <t>dle potřeby</t>
  </si>
  <si>
    <t>Demontáž ocelového potrubí:</t>
  </si>
  <si>
    <t>Vypuštění stávající části rozvodu ÚT</t>
  </si>
  <si>
    <t xml:space="preserve">Úprava stávajících rozvodů ÚT </t>
  </si>
  <si>
    <t>Napuštění řešené části rozvodu ÚT</t>
  </si>
  <si>
    <t>Tlakové zaregulování</t>
  </si>
  <si>
    <t>Tlaková zkouška</t>
  </si>
  <si>
    <t>Topná zkouška</t>
  </si>
  <si>
    <t>Cena celkem bez DPH:</t>
  </si>
  <si>
    <t>Zakázka:</t>
  </si>
  <si>
    <t>Stav.objekt:</t>
  </si>
  <si>
    <t>Obor:</t>
  </si>
  <si>
    <t>Část:</t>
  </si>
  <si>
    <t>ZTI - zdravotně technické instalace</t>
  </si>
  <si>
    <t>CENÍK:     800-721  Zdravotně technické instalace</t>
  </si>
  <si>
    <t>Část:         B-01-05  Demontážní a přípravné práce</t>
  </si>
  <si>
    <t>číslo</t>
  </si>
  <si>
    <t>m.j.</t>
  </si>
  <si>
    <t>množ.</t>
  </si>
  <si>
    <t>jednotková cena</t>
  </si>
  <si>
    <t>cena</t>
  </si>
  <si>
    <t>jedn.</t>
  </si>
  <si>
    <t xml:space="preserve">celková </t>
  </si>
  <si>
    <t>položky</t>
  </si>
  <si>
    <t>celkem</t>
  </si>
  <si>
    <t>hmotn.(t)</t>
  </si>
  <si>
    <t>721 11  Demontáž potrubí kameninového</t>
  </si>
  <si>
    <t>11-0806</t>
  </si>
  <si>
    <t>do DN 200</t>
  </si>
  <si>
    <t xml:space="preserve">m </t>
  </si>
  <si>
    <t>721 14  Demontáž potrubí litinového (kanalizace)</t>
  </si>
  <si>
    <t>14-0802</t>
  </si>
  <si>
    <t>do DN 100</t>
  </si>
  <si>
    <t>721 17  Demontáž plastového potrubí PVC (kanal.)</t>
  </si>
  <si>
    <t>17-1808</t>
  </si>
  <si>
    <t>do D-110</t>
  </si>
  <si>
    <t>722 17  Demontáž plastového potrubí (vodovod)</t>
  </si>
  <si>
    <t>17-0804</t>
  </si>
  <si>
    <t>do DN 50</t>
  </si>
  <si>
    <t>722 18  Demontáž plstěných pasů</t>
  </si>
  <si>
    <t>18-1812</t>
  </si>
  <si>
    <t>z trub do DN 50</t>
  </si>
  <si>
    <t>722 22 Demontáž armatur závitových</t>
  </si>
  <si>
    <t>22-0851</t>
  </si>
  <si>
    <t xml:space="preserve">vodovodních s jedním závitem do G3/4" </t>
  </si>
  <si>
    <t>22-0864</t>
  </si>
  <si>
    <t>vodovodních 2-závitových do G2"</t>
  </si>
  <si>
    <t>725 11  Demontáž záchodových mís</t>
  </si>
  <si>
    <t>11-0811</t>
  </si>
  <si>
    <t>klozety splachovací</t>
  </si>
  <si>
    <t>soub</t>
  </si>
  <si>
    <t>725 21  Demontáž umyvadel</t>
  </si>
  <si>
    <t>21-0821</t>
  </si>
  <si>
    <t>umyvadla diturvitová</t>
  </si>
  <si>
    <t>725 24  Demontáž sprch a sprchových kabin</t>
  </si>
  <si>
    <t>24-0811</t>
  </si>
  <si>
    <t>sprchová kabina</t>
  </si>
  <si>
    <t>725 31  Demontáž dřezů</t>
  </si>
  <si>
    <t>31-0823</t>
  </si>
  <si>
    <t>jednodílných v kuch.sestavách</t>
  </si>
  <si>
    <t>725 33  Demontáž výlevek</t>
  </si>
  <si>
    <t>33-0820</t>
  </si>
  <si>
    <t>výlevka diturvitová</t>
  </si>
  <si>
    <t>725 82  Demontáž baterií</t>
  </si>
  <si>
    <t>82-0801</t>
  </si>
  <si>
    <t>baterie nástěnné</t>
  </si>
  <si>
    <t>82-0802</t>
  </si>
  <si>
    <t>baterie stojánkové do 1 otvoru</t>
  </si>
  <si>
    <t>84-0850</t>
  </si>
  <si>
    <t xml:space="preserve">baterií sprchových </t>
  </si>
  <si>
    <t>725 86  Demontáž zápachových uzávěrů</t>
  </si>
  <si>
    <t>86-0811</t>
  </si>
  <si>
    <t>jednodílných</t>
  </si>
  <si>
    <t>Vnitřní kanalizace mezisoučet</t>
  </si>
  <si>
    <t>721 29  Přesun hmot demontážní práce</t>
  </si>
  <si>
    <t>29-0821</t>
  </si>
  <si>
    <t>kanalizace v objektech výšky do 6 m</t>
  </si>
  <si>
    <t>PŘÍPRAVNÉ A PRŮZKUMNÉ PRÁCE</t>
  </si>
  <si>
    <t>0105-001</t>
  </si>
  <si>
    <t>prověření polohy a umístění stáv.svislých svodů</t>
  </si>
  <si>
    <t>vnitřní kanalizace pod stropem 1PP, ověření</t>
  </si>
  <si>
    <t>materiálového provedení a profilu potrubí</t>
  </si>
  <si>
    <t>0105-002</t>
  </si>
  <si>
    <t>kopaná sonda v podlaze 1.PP rozm.1,0x1,0m, hl.1,5m</t>
  </si>
  <si>
    <t>pro určení polohy trasování stáv.ležaté kanalizace,</t>
  </si>
  <si>
    <t>pro určení hloubky a profilu stáv.potrubí, vč.odstranění</t>
  </si>
  <si>
    <t>dlažžby, betonu, všech podkl.vrstev a výkop.prací</t>
  </si>
  <si>
    <t>0105-003</t>
  </si>
  <si>
    <t>kopaná sonda v prostranství před obj. na potr.venkovní</t>
  </si>
  <si>
    <t>ležaté kanalizace pro určení polohy stáv.potrubí, určení</t>
  </si>
  <si>
    <t>hloubky uložení, materiálového provedení a dimenze</t>
  </si>
  <si>
    <t>potrubí (kompl.zemní práce ve zpevněném povrchu</t>
  </si>
  <si>
    <t>areálu nemocnice, rozmjámy 2,0x2,0x3,0)</t>
  </si>
  <si>
    <t>0105-004</t>
  </si>
  <si>
    <t>průzkumné práce pro ověření polohy vedení stáv.</t>
  </si>
  <si>
    <t xml:space="preserve">podstropních rozvodů vody, ověření materiálového </t>
  </si>
  <si>
    <t>provedení, profilu potrubí a návaznosti na ostatní podl.</t>
  </si>
  <si>
    <t>0105-005</t>
  </si>
  <si>
    <t>příprava napojení nových rozvodů - výřez stáv.potrubí</t>
  </si>
  <si>
    <t xml:space="preserve">a dodatečné vysazení odbočné napojovací tvarovky </t>
  </si>
  <si>
    <t>na stávajícím plastovém potrubí do PPR63</t>
  </si>
  <si>
    <t>Demontážní a přípravné práce celkem</t>
  </si>
  <si>
    <t>Část:         A-01  Vnitřní kanalizace</t>
  </si>
  <si>
    <t>721 17 - Plastové hrdlové potrubí z tvrdého</t>
  </si>
  <si>
    <t>PVC typ KG-systém, opatřené v naformovaném</t>
  </si>
  <si>
    <t>nástrčném hrdle manžetovým těsnícím kroužkem</t>
  </si>
  <si>
    <t>17-1109</t>
  </si>
  <si>
    <t>DN 100</t>
  </si>
  <si>
    <t>17-1111</t>
  </si>
  <si>
    <t>DN 125</t>
  </si>
  <si>
    <t>17-1112</t>
  </si>
  <si>
    <t>DN 150</t>
  </si>
  <si>
    <t>17-1113</t>
  </si>
  <si>
    <t>DN 200</t>
  </si>
  <si>
    <t>17-4213</t>
  </si>
  <si>
    <t>Tvarovka čistící KGRE 150</t>
  </si>
  <si>
    <t>17-4214</t>
  </si>
  <si>
    <t>Tvarovka čistící KGRE 200</t>
  </si>
  <si>
    <t>Specifikace 721 17</t>
  </si>
  <si>
    <t>Plastové tvarovky kanalizačního PVC potrubí</t>
  </si>
  <si>
    <t xml:space="preserve">typ KG-systém, opatřené v naformovaném </t>
  </si>
  <si>
    <t>17-001</t>
  </si>
  <si>
    <t>oblouk KGB 100/15°</t>
  </si>
  <si>
    <t>17-002</t>
  </si>
  <si>
    <t>oblouk KGB 100/45°</t>
  </si>
  <si>
    <t>8a</t>
  </si>
  <si>
    <t>17-002a</t>
  </si>
  <si>
    <t>oblouk KGB 100/87°</t>
  </si>
  <si>
    <t>17-003</t>
  </si>
  <si>
    <t>oblouk KGB 125/45°</t>
  </si>
  <si>
    <t>17-004</t>
  </si>
  <si>
    <t>oblouk KGB 150/45°</t>
  </si>
  <si>
    <t>17-005</t>
  </si>
  <si>
    <t>oblouk KGB 200/30°</t>
  </si>
  <si>
    <t>17-006</t>
  </si>
  <si>
    <t>odbočka KGEA 100/100/45°</t>
  </si>
  <si>
    <t>17-007</t>
  </si>
  <si>
    <t>odbočka KGEA 125/100/45°</t>
  </si>
  <si>
    <t>17-008</t>
  </si>
  <si>
    <t>odbočka KGEA 125/125/45°</t>
  </si>
  <si>
    <t>17-009</t>
  </si>
  <si>
    <t>odbočka KGEA 150/125/45°</t>
  </si>
  <si>
    <t>17-010</t>
  </si>
  <si>
    <t>odbočka KGEA 200/100/45°</t>
  </si>
  <si>
    <t>17-011</t>
  </si>
  <si>
    <t>odbočka KGEA 200/125/45°</t>
  </si>
  <si>
    <t>17-012</t>
  </si>
  <si>
    <t>odbočka KGEA 200/150/45°</t>
  </si>
  <si>
    <t>17-013</t>
  </si>
  <si>
    <t>redukce KGR 100/125</t>
  </si>
  <si>
    <t>17-014</t>
  </si>
  <si>
    <t>redukce KGR 125/150</t>
  </si>
  <si>
    <t>721 17 - Plastové PP potrubí pro horkou odpadní vodu typ HT-systém, těsněné v hrdle</t>
  </si>
  <si>
    <t>manžetovým těsnícím kroužkem</t>
  </si>
  <si>
    <t>17-4101</t>
  </si>
  <si>
    <t>HT 40x1,8 mm</t>
  </si>
  <si>
    <t>17-4102</t>
  </si>
  <si>
    <t>HT 50x1,8 mm</t>
  </si>
  <si>
    <t>17-4103</t>
  </si>
  <si>
    <t>HT 75x1,9 mm</t>
  </si>
  <si>
    <t>17-4104</t>
  </si>
  <si>
    <t>HT 110x2,7 mm</t>
  </si>
  <si>
    <t>17-4112</t>
  </si>
  <si>
    <t>montáž čistící tvarovky HT-ČK 110</t>
  </si>
  <si>
    <t>Specifikace  721 17</t>
  </si>
  <si>
    <t>Ostatní plastové tvarovky</t>
  </si>
  <si>
    <t>17-101</t>
  </si>
  <si>
    <t>dvojité připoj.koleno HTDSW 40/50/40</t>
  </si>
  <si>
    <t>17-102</t>
  </si>
  <si>
    <t>paralelní odbočka HTPA 100/100 /15°</t>
  </si>
  <si>
    <t>17-103</t>
  </si>
  <si>
    <t>dvojitá odbočka HTDA 75/75/67°</t>
  </si>
  <si>
    <t>17-104</t>
  </si>
  <si>
    <t>dvojitá rohová odbočka HTED 100/100/67°</t>
  </si>
  <si>
    <t>17-105</t>
  </si>
  <si>
    <t>redukce HTR 40/50</t>
  </si>
  <si>
    <t>17-106</t>
  </si>
  <si>
    <t>redukce HTR 50/75</t>
  </si>
  <si>
    <t>17-107</t>
  </si>
  <si>
    <t>redukce HTR 50/110</t>
  </si>
  <si>
    <t>17-108</t>
  </si>
  <si>
    <t>redukce HTR 75/110</t>
  </si>
  <si>
    <t>17-109</t>
  </si>
  <si>
    <t>čistící kus HTRE 110</t>
  </si>
  <si>
    <t xml:space="preserve">722 18 - Ochrana potrubí </t>
  </si>
  <si>
    <t>18-1114</t>
  </si>
  <si>
    <t>DN 40 (jednou vrstvou plstěnými pásy)</t>
  </si>
  <si>
    <t>18-1116</t>
  </si>
  <si>
    <t>DN 50 a DN 65 (jednou vrstvou plstěnými pásy)</t>
  </si>
  <si>
    <t>18-1117</t>
  </si>
  <si>
    <t>DN 80 (jednou vrstvou plstěnými pásy)</t>
  </si>
  <si>
    <t>18-1118</t>
  </si>
  <si>
    <t>DN 100 (jednou vrstvou plstěnými pásy)</t>
  </si>
  <si>
    <t>721 19 - Zřízení přípojek na potrubí</t>
  </si>
  <si>
    <t>19-4104</t>
  </si>
  <si>
    <t>vyvedení odpadních výpustek 40x1,8 mm</t>
  </si>
  <si>
    <t>19-4105</t>
  </si>
  <si>
    <t>vyvedení odpadních výpustek 50x1,8 mm</t>
  </si>
  <si>
    <t>19-4109</t>
  </si>
  <si>
    <t>vyvedení odpadních výpustek 110x2,7 mm</t>
  </si>
  <si>
    <t>721 21 - Podlahové vpustě a dvorní vtoky</t>
  </si>
  <si>
    <t>21-2303</t>
  </si>
  <si>
    <t>montáž vpustě prádelní do DN 70 (koupelny)</t>
  </si>
  <si>
    <t>21-2305</t>
  </si>
  <si>
    <t>montáž vpustě prádelní do DN 100</t>
  </si>
  <si>
    <t>Specifikace 721 21</t>
  </si>
  <si>
    <t>21-001</t>
  </si>
  <si>
    <t>podlahová vpust (čistící místnost) se svislým odtokem</t>
  </si>
  <si>
    <t xml:space="preserve">DN100, průtok Q=0,50 l/s, opatřená zápachovou </t>
  </si>
  <si>
    <t>uzávěrkou typ PrimusBlue, nerez.vtoková mřížka</t>
  </si>
  <si>
    <t>provedení HL310Prblue-3000</t>
  </si>
  <si>
    <t>21-002</t>
  </si>
  <si>
    <t>podlahová vpust (asistované mytí) se svislým odtokem</t>
  </si>
  <si>
    <t xml:space="preserve">DN100, velkoprůtok Q=0,80 l/s, opatřená zápachovou </t>
  </si>
  <si>
    <t>uzávěrkou typ Primus, nerez.vtoková mřížka</t>
  </si>
  <si>
    <t>provedení HL3100Pr</t>
  </si>
  <si>
    <t>721 22 - Zápachové uzávěrky</t>
  </si>
  <si>
    <t>22-1201</t>
  </si>
  <si>
    <t>uzávěrka zápachová  DN 40 (montáž)</t>
  </si>
  <si>
    <t>46a</t>
  </si>
  <si>
    <t>22-1305</t>
  </si>
  <si>
    <t>uzávěrka DN 100 (montáž)</t>
  </si>
  <si>
    <t>721 - Revizní šachty RŠ a ostatní objekty</t>
  </si>
  <si>
    <t>721-001</t>
  </si>
  <si>
    <t>obdélníková revizní šachta pro ČK ležaté kanalizace,</t>
  </si>
  <si>
    <t>zděná nebo betonovaná na místě realizace,</t>
  </si>
  <si>
    <t>vnitř.rozm.: 80x120 cm, hloubka do 1,50 m, zakrytá</t>
  </si>
  <si>
    <t>v úrovni podlahy 1.PP zádlažbovým poklopem rozm.</t>
  </si>
  <si>
    <t>80x120 cm tř.A15 kN (kompl.dodávka mater.a prací)</t>
  </si>
  <si>
    <t>721-002</t>
  </si>
  <si>
    <t>kruhová revizní šachta z betonových kruh.prefabrikátů</t>
  </si>
  <si>
    <t>vnitřního průměru 1,0m, opatřená ve spodní částí</t>
  </si>
  <si>
    <t>typovým šachtovým dnem pro potrubí DN200, zakrytá</t>
  </si>
  <si>
    <t>litin.poklopem tř.D400 kN, výška sestavy do 2,50m</t>
  </si>
  <si>
    <t>(kompletní dodávka materiálu a prací)</t>
  </si>
  <si>
    <t>721 29 - Ostatní</t>
  </si>
  <si>
    <t>29-0111</t>
  </si>
  <si>
    <t>zkouška těsnosti kanalizace vodou do DN 125</t>
  </si>
  <si>
    <t>29-0112</t>
  </si>
  <si>
    <t>zkouška těsnosti kanalizace vodou DN 150 do DN 200</t>
  </si>
  <si>
    <t>721 - Ostatní vícenáklady</t>
  </si>
  <si>
    <t>Vybourání otvorů plch.do 0,09 m2</t>
  </si>
  <si>
    <t xml:space="preserve">Vysekání rýh ve zdi cihelné 10 x 20 cm </t>
  </si>
  <si>
    <t xml:space="preserve">Hrubá výplň rýh ve stěnách maltou z SMS </t>
  </si>
  <si>
    <t>Svislá doprava suti a vybouraných hmot (podlaží)</t>
  </si>
  <si>
    <t>Svislá doprava suti a vybouraných hmot (ZKD podlaží)</t>
  </si>
  <si>
    <t>Odvoz suti a vybouraných hmot na skládku do 1 km</t>
  </si>
  <si>
    <t>Odvoz suti a vybour.hmt na skld. ZKD 1 km pčes 1 km</t>
  </si>
  <si>
    <t>Vnitrostaveništní doprava suti a vybour.hmot do 10 m</t>
  </si>
  <si>
    <t>Vnitro.doprava suti a vybour.hmot ZKD 5m přes 10 m</t>
  </si>
  <si>
    <t>Nakládání suti a vybour.hmot</t>
  </si>
  <si>
    <t>Uložení suti na skládku s hrubým urovnáním</t>
  </si>
  <si>
    <t>poplatek za uložení suti na skládku</t>
  </si>
  <si>
    <t>721-102</t>
  </si>
  <si>
    <t>kamerová prohlídka stáv.kanaliz.přípojky (odhad)</t>
  </si>
  <si>
    <t>998 72 - Přesun hmot</t>
  </si>
  <si>
    <t>72-1101</t>
  </si>
  <si>
    <t>kanalizace vnitřní v objektech výšky do 6 m</t>
  </si>
  <si>
    <t>Kanalizace celkem</t>
  </si>
  <si>
    <t>CENÍK:     800-722  Zdravotně technické instalace</t>
  </si>
  <si>
    <t>Část:         A-02  Vnitřní vodovod</t>
  </si>
  <si>
    <t>722 17 - Plastové polypropylenové potrubí EVO</t>
  </si>
  <si>
    <t>typové řady 4, materiál PP-RCT PN22</t>
  </si>
  <si>
    <t>17-1432</t>
  </si>
  <si>
    <t>PP-RCT trubka EVO d-20 mm</t>
  </si>
  <si>
    <t>17-1435</t>
  </si>
  <si>
    <t>PP-RCT trubka EVO d-25 mm</t>
  </si>
  <si>
    <t>17-1438</t>
  </si>
  <si>
    <t>PP-RCT trubka EVO d-32 mm</t>
  </si>
  <si>
    <t>722 16 - Potrubí Cu tvrdé spojované pájením</t>
  </si>
  <si>
    <t>13-0233</t>
  </si>
  <si>
    <t>DN 25 (G1")</t>
  </si>
  <si>
    <t>722 17 - Pevné body plast.potr., upevnění potrubí</t>
  </si>
  <si>
    <t>17-1482</t>
  </si>
  <si>
    <t>upevnění plast. potrubí PPR 20 (tepl.média 60°C)</t>
  </si>
  <si>
    <t>17-1483</t>
  </si>
  <si>
    <t>upevnění plast. potrubí PPR 25 (tepl.média 60°C)</t>
  </si>
  <si>
    <t>17-1484</t>
  </si>
  <si>
    <t>upevnění plast. potrubí PPR 32 (tepl.média 60°C)</t>
  </si>
  <si>
    <t>upevnění ostatních trubních rozvodů DN25</t>
  </si>
  <si>
    <t>722 18 - Ochrana potrubí</t>
  </si>
  <si>
    <t>Termoizolačními pásy bez samolepícího uzávěru</t>
  </si>
  <si>
    <t>montáž do DN 25</t>
  </si>
  <si>
    <t>Specifikace 722 18</t>
  </si>
  <si>
    <t>Termoizolační pásy tl. stěny 6 mm</t>
  </si>
  <si>
    <t>18-001</t>
  </si>
  <si>
    <t>hadice 22/6 mm</t>
  </si>
  <si>
    <t>18-002</t>
  </si>
  <si>
    <t>hadice 28/6 mm</t>
  </si>
  <si>
    <t>18-003</t>
  </si>
  <si>
    <t>hadice 35/6 mm</t>
  </si>
  <si>
    <t>Termoizolační pásy tl.stěny 13 mm</t>
  </si>
  <si>
    <t>18-101</t>
  </si>
  <si>
    <t>hadice 22/13 mm</t>
  </si>
  <si>
    <t>18-102</t>
  </si>
  <si>
    <t>hadice 28/13 mm</t>
  </si>
  <si>
    <t>18-103</t>
  </si>
  <si>
    <t>hadice 35/13 mm</t>
  </si>
  <si>
    <t>722 19 - Přípojky ke strojům a zařízením</t>
  </si>
  <si>
    <t>19-0401</t>
  </si>
  <si>
    <t>vyvedení a upevnění výústek DN 15</t>
  </si>
  <si>
    <t>722 22 - Armatury závitové (s jedním závitem)</t>
  </si>
  <si>
    <t>22-0111</t>
  </si>
  <si>
    <t>nástěnka G1/2"</t>
  </si>
  <si>
    <t>722 23 - Armatury závitové (se dvěma závity)</t>
  </si>
  <si>
    <t>Kulové kohouty (oboustranný vnitřní závit)</t>
  </si>
  <si>
    <t>23-0211</t>
  </si>
  <si>
    <t>R 250D G1/2"</t>
  </si>
  <si>
    <t>23-0212</t>
  </si>
  <si>
    <t>R 250D G3/4"</t>
  </si>
  <si>
    <t>23-0213</t>
  </si>
  <si>
    <t>R 250D G1"</t>
  </si>
  <si>
    <t>722 25 - Hydranty</t>
  </si>
  <si>
    <t>skříň hydrantová vnitřní s tvarově stálou hadicí</t>
  </si>
  <si>
    <t>25-4134</t>
  </si>
  <si>
    <t>typ 25/30 - montáž</t>
  </si>
  <si>
    <t>Specifikace 722 25</t>
  </si>
  <si>
    <t>25-001</t>
  </si>
  <si>
    <t>skříň hydrantová provedení "B" do výklenku ve zdi</t>
  </si>
  <si>
    <t xml:space="preserve">typ B 25/30 s tvarově stálou hadicí dl. 30 m, </t>
  </si>
  <si>
    <t>a proudnicí prům.25 mm pro průtok 1,10 l/s</t>
  </si>
  <si>
    <t>722 29 - Ostatní</t>
  </si>
  <si>
    <t>29-0226</t>
  </si>
  <si>
    <t>tlaková zkouška potr. závitového do DN 50</t>
  </si>
  <si>
    <t>29-0234</t>
  </si>
  <si>
    <t>proplach a desinfekce potrubí do DN 80</t>
  </si>
  <si>
    <t>Vnitřní vodovod mezisoučet</t>
  </si>
  <si>
    <t>722 - Ostatní specifikace</t>
  </si>
  <si>
    <t>Vybourání otvorů v ŽB stropech plch.do 0,09 m2</t>
  </si>
  <si>
    <t xml:space="preserve">Vysekání rýh ve zdi cihelné 7 x 20 cm </t>
  </si>
  <si>
    <t>72-2101</t>
  </si>
  <si>
    <t>vodovod vnitřní v objektech výšky do 6 m</t>
  </si>
  <si>
    <t>Vodovod celkem</t>
  </si>
  <si>
    <t>CENÍK:     800-725  Zdravotně technické instalace</t>
  </si>
  <si>
    <t>Část:         A-05  Zařizovací předměty</t>
  </si>
  <si>
    <t>Specifikace 725</t>
  </si>
  <si>
    <t>typový rozpis jednotlivých míst spotřeby</t>
  </si>
  <si>
    <t>(viz.samostatná příloha standardů) bude</t>
  </si>
  <si>
    <t>v projektové dokumentaci použit v následujícím počtu:</t>
  </si>
  <si>
    <t>725-001</t>
  </si>
  <si>
    <t>A1</t>
  </si>
  <si>
    <t>725-002</t>
  </si>
  <si>
    <t>A2</t>
  </si>
  <si>
    <t>725-003</t>
  </si>
  <si>
    <t>B1</t>
  </si>
  <si>
    <t>725-004</t>
  </si>
  <si>
    <t>B2</t>
  </si>
  <si>
    <t>725-005</t>
  </si>
  <si>
    <t>C1</t>
  </si>
  <si>
    <t>725-006</t>
  </si>
  <si>
    <t>C2</t>
  </si>
  <si>
    <t>725-007</t>
  </si>
  <si>
    <t>D1</t>
  </si>
  <si>
    <t>725-008</t>
  </si>
  <si>
    <t>D2</t>
  </si>
  <si>
    <t>725-009</t>
  </si>
  <si>
    <t>D3</t>
  </si>
  <si>
    <t>725-010</t>
  </si>
  <si>
    <t>E1</t>
  </si>
  <si>
    <t>725-011</t>
  </si>
  <si>
    <t>F1</t>
  </si>
  <si>
    <t>11a</t>
  </si>
  <si>
    <t>725-012</t>
  </si>
  <si>
    <t>z1</t>
  </si>
  <si>
    <t>11b</t>
  </si>
  <si>
    <t>725-013</t>
  </si>
  <si>
    <t>z2</t>
  </si>
  <si>
    <t>Specifikace zařizovací předměty mezisoučet</t>
  </si>
  <si>
    <t>725 11 - Klozety</t>
  </si>
  <si>
    <t xml:space="preserve"> 11-9305</t>
  </si>
  <si>
    <t>mont.klozetů diturvit. komplet ostatních typů</t>
  </si>
  <si>
    <t>725 21 - Umyvadla</t>
  </si>
  <si>
    <t>21-9201</t>
  </si>
  <si>
    <t>montáž umyvadel ostatních typů</t>
  </si>
  <si>
    <t>725 24 - Sprchy</t>
  </si>
  <si>
    <t>24-9101</t>
  </si>
  <si>
    <t>montáž sprch ostatních typů</t>
  </si>
  <si>
    <t>725 31 - Dřezy</t>
  </si>
  <si>
    <t>31-9101</t>
  </si>
  <si>
    <t>montáž dřezů jednodílných</t>
  </si>
  <si>
    <t>32-9101</t>
  </si>
  <si>
    <t>montáž dřezů dvojdílných</t>
  </si>
  <si>
    <t>725 33 - Výlevky</t>
  </si>
  <si>
    <t>33-2330</t>
  </si>
  <si>
    <t>výlevka diturvitová - montáž</t>
  </si>
  <si>
    <t>725 81 - Nástěnné ventily</t>
  </si>
  <si>
    <t>81-9201</t>
  </si>
  <si>
    <t>montáž ventilů nást. G1/2" ostat.typů</t>
  </si>
  <si>
    <t>81-9401</t>
  </si>
  <si>
    <t>montáž ventilů rohových ost.typů G1/2" (s trubičkou)</t>
  </si>
  <si>
    <t>81-9402</t>
  </si>
  <si>
    <t>montáž ventilů rohových ost.typů G1/2" (bez trubičky)</t>
  </si>
  <si>
    <t>725 82 - Baterie umyvadlové a dřezové</t>
  </si>
  <si>
    <t>82-9301</t>
  </si>
  <si>
    <t>montáž bat.stojánkových ost.typů</t>
  </si>
  <si>
    <t>82-x9301</t>
  </si>
  <si>
    <t>montáž bat.nástěnných G1/2x150 ost.typů</t>
  </si>
  <si>
    <t>725 84 - Baterie sprchové</t>
  </si>
  <si>
    <t>84-9200</t>
  </si>
  <si>
    <t xml:space="preserve">mont.baterií sprch.nástěnných ost.typů G1/2x150 </t>
  </si>
  <si>
    <t>s nastavitelnou výškou sprchy</t>
  </si>
  <si>
    <t>725 86 - Ostatní zápachové uzávěrky</t>
  </si>
  <si>
    <t>86-9101</t>
  </si>
  <si>
    <t>mont.zápach uzávěrky umyvadlové do DN 40</t>
  </si>
  <si>
    <t>86-9204</t>
  </si>
  <si>
    <t>mont.zápach uzávěrky do DN 50 (sprchové)</t>
  </si>
  <si>
    <t>mont.zápach uzávěrky dřezové jednodílné do DN 50</t>
  </si>
  <si>
    <t>86-9214</t>
  </si>
  <si>
    <t>mont.zápach.uzávěrky dřezové dvojité do DN 50</t>
  </si>
  <si>
    <t>86-9218</t>
  </si>
  <si>
    <t>mont.U-sifonů</t>
  </si>
  <si>
    <t>725 98 - Dvířka</t>
  </si>
  <si>
    <t>98-0132</t>
  </si>
  <si>
    <t>dvířka kovová vanová nerez rozm. 15/30 cm</t>
  </si>
  <si>
    <t>98-x001</t>
  </si>
  <si>
    <t>speciální zákrytová dvířka s možností povrchové</t>
  </si>
  <si>
    <t>úpravy keram.obkladem rozm. 30/30 cm (magnetická)</t>
  </si>
  <si>
    <t>Zařizovací předměty mezisoučet</t>
  </si>
  <si>
    <t>72-5101</t>
  </si>
  <si>
    <t>zařizovací předměty v objektech výšky do 6 m</t>
  </si>
  <si>
    <t>Zařizovací předměty celkem</t>
  </si>
  <si>
    <t>POZNÁMKA</t>
  </si>
  <si>
    <t>Vypracováním nabídkového rozpočtu příslušný zhotovitel zároveň prohlašuje, že se řádně</t>
  </si>
  <si>
    <t>seznámil s projektovou dokumentací, všemi dostupnými prostředky si ověřil případné</t>
  </si>
  <si>
    <t>nejasnosti a tím plně pochopil požadovaný rozsah díla, montážních prací a dodávek materiálů</t>
  </si>
  <si>
    <t>tak, aby během realizace nevznikl nárok na žádné vícepráce</t>
  </si>
  <si>
    <t>TABULKA ZAŘIZOVACÍCH PŘEDMĚTŮ</t>
  </si>
  <si>
    <t>A VÝTOKOVÝCH ARMATUR - OBECNĚ ZÁVAZNÉ STANDARDY</t>
  </si>
  <si>
    <t>Akce:</t>
  </si>
  <si>
    <t xml:space="preserve"> STAVEBNÍ ÚPRAVY 1.PP - oddělení ortopedie</t>
  </si>
  <si>
    <t xml:space="preserve"> PAVILONU A v areálu Nemocnice Nymburk, SO 01</t>
  </si>
  <si>
    <t>Investor:</t>
  </si>
  <si>
    <t xml:space="preserve"> Nemocnice Nymburk s.r.o. (IČ: 28762886), Boleslavská třída 425/9, 288 01 Nymburk</t>
  </si>
  <si>
    <t>Gen.proj.:</t>
  </si>
  <si>
    <t xml:space="preserve"> ing.Jiří Marek Ph.D. - DomusDesign, (IČ: 72692049), Blanická 940/21, 120 00 Praha 2</t>
  </si>
  <si>
    <t xml:space="preserve"> INSTAL PROJEKT s.r.o., (IČ: 25150561), Raisova 1004, 386 01 Strakonice</t>
  </si>
  <si>
    <t xml:space="preserve"> 07/2024</t>
  </si>
  <si>
    <t xml:space="preserve">V níže uvedené tabulce jsou uvedeny a rozepsány standardy zařizovacích předmětů, výtokových </t>
  </si>
  <si>
    <t>armatur a příslušenství, instalovaných v jednotlivých místech spotřeby, označených v projektové</t>
  </si>
  <si>
    <t>dokumentaci ZTI</t>
  </si>
  <si>
    <t xml:space="preserve"> sestava pro umyvadlo se stojánkovou baterií</t>
  </si>
  <si>
    <t xml:space="preserve">    POPIS částí sestavy</t>
  </si>
  <si>
    <t>Výrobce</t>
  </si>
  <si>
    <t>výrobní řada</t>
  </si>
  <si>
    <t>CENA</t>
  </si>
  <si>
    <t xml:space="preserve"> - keramické umyvadlo s otvorem pro stojánkovou baterii a</t>
  </si>
  <si>
    <t xml:space="preserve">   přepadem, pravoúhlé provedení, barva bílá, rozměr 55x44 cm</t>
  </si>
  <si>
    <t xml:space="preserve"> - keramický polosloup pro umyvadlo 55 cm</t>
  </si>
  <si>
    <t xml:space="preserve"> - připevnění umyvadla / mont.příslušenství - šrouby</t>
  </si>
  <si>
    <t xml:space="preserve"> - umyvadlový sifon Ø40 s převlečnou maticí 5/4" bez ventilu,</t>
  </si>
  <si>
    <t xml:space="preserve">   provedení PVC</t>
  </si>
  <si>
    <t xml:space="preserve"> - umyvadlová výpust click/clack 5/4" celokovová, velká zátka</t>
  </si>
  <si>
    <t xml:space="preserve"> - 2 ks rohových ventilů DN15 s filtrem, válcovou rukojetí, provedení</t>
  </si>
  <si>
    <t xml:space="preserve">   chrom, G1/2" x G 3/8" Ø 10 mm, bez připojovací trubičky,</t>
  </si>
  <si>
    <t xml:space="preserve">   se samotěsnícím závitem</t>
  </si>
  <si>
    <t xml:space="preserve"> - 2 ks celonerezová připojovací hadice pro pitnou vodu dl. 80cm,</t>
  </si>
  <si>
    <t xml:space="preserve">   s oboustranným závitem G3/8" a maticí G</t>
  </si>
  <si>
    <t xml:space="preserve"> - umyvadlová jednopáková stojánková baterie s uzavřenou pákou,</t>
  </si>
  <si>
    <t xml:space="preserve">   keramickou kartuší s pojistkou proti opaření, Eco perlátorem, </t>
  </si>
  <si>
    <t xml:space="preserve">   bez odpadové soupravy, provedení chrom, třída hlučnosti I.</t>
  </si>
  <si>
    <t xml:space="preserve">POZNÁMKA: </t>
  </si>
  <si>
    <t xml:space="preserve"> - výška vodovodních výústek nad čistou podlahou:</t>
  </si>
  <si>
    <t>v=0,60 m</t>
  </si>
  <si>
    <r>
      <t xml:space="preserve"> </t>
    </r>
    <r>
      <rPr>
        <sz val="8"/>
        <rFont val="Arial"/>
        <family val="2"/>
        <charset val="238"/>
      </rPr>
      <t xml:space="preserve"> Cena celkem bez DPH</t>
    </r>
  </si>
  <si>
    <r>
      <t xml:space="preserve"> sestava pro umyvadlo se stojánkovou baterií </t>
    </r>
    <r>
      <rPr>
        <b/>
        <sz val="10"/>
        <rFont val="Arial"/>
        <family val="2"/>
        <charset val="238"/>
      </rPr>
      <t>BEZ BARIÉR</t>
    </r>
  </si>
  <si>
    <t xml:space="preserve"> - zdravotní keramické umyvadlo rozm.: 64x55 cm, uprostřed</t>
  </si>
  <si>
    <t xml:space="preserve">   s otvorem pro stojánkovou baterii, bez přepadu,  barva bílá,</t>
  </si>
  <si>
    <t xml:space="preserve"> - umyvadlový sifon šetřící místo, materiál mosaz, povrchová </t>
  </si>
  <si>
    <t xml:space="preserve">   úprava chrom, 1 1/4"-32 mm</t>
  </si>
  <si>
    <t xml:space="preserve">   povrchová úprava chrom</t>
  </si>
  <si>
    <t xml:space="preserve"> - 2 ks rohových ventilů DN 15, s válcovou rukojetí, chrom,</t>
  </si>
  <si>
    <t xml:space="preserve">   G 1/2" x G 3/8" Ø 10 mm, bez připojovací trubičky</t>
  </si>
  <si>
    <t xml:space="preserve">   s oboustranným závitem G3/8" a maticí</t>
  </si>
  <si>
    <t xml:space="preserve"> - umyvadlová jednopáková stojánková baterie, bez odpadové</t>
  </si>
  <si>
    <t xml:space="preserve">   soupravy, provedení chrom, průtok 5 l/min.</t>
  </si>
  <si>
    <t xml:space="preserve">   (v případě potřeby s možností výměny za lékařskou páku)</t>
  </si>
  <si>
    <t xml:space="preserve"> - lékařská páka pro stoj.baterii, provedení chrom</t>
  </si>
  <si>
    <t xml:space="preserve"> - 1x pevné madlo "U" k umyvadlu, dl. 60 cm, včetně montážní</t>
  </si>
  <si>
    <t xml:space="preserve">   sady, nerez ocel, vč.krytek vrutů</t>
  </si>
  <si>
    <t xml:space="preserve"> - 1x sklopné madlo k umyvadlu, dl. 60 cm, včetně montážní</t>
  </si>
  <si>
    <t>v=0,60m</t>
  </si>
  <si>
    <t xml:space="preserve"> sestava pro závěsné WC</t>
  </si>
  <si>
    <t xml:space="preserve"> - závěsný keramický záchod s hlubokým splachováním,</t>
  </si>
  <si>
    <t xml:space="preserve">   pravoúhlé provedení, bez splachovacího kruhu, barva bílá</t>
  </si>
  <si>
    <t xml:space="preserve"> - samonosný montážní prvek s podomítkovou splach.nádržkou</t>
  </si>
  <si>
    <t xml:space="preserve">   pro závěsné WC s čelním splachováním, bez ovládací desky, </t>
  </si>
  <si>
    <t xml:space="preserve">   včetně univerzál. připojení R1/2" s integr.rohovým ventilem</t>
  </si>
  <si>
    <t xml:space="preserve"> - ovládací tlačítko (ovládání zepředu), matný chrom</t>
  </si>
  <si>
    <t xml:space="preserve"> - klozetové sedátko s poklopem (tvrzený plast - duraplast)</t>
  </si>
  <si>
    <t xml:space="preserve">   pravoúhlé provedení s automat.pozvolným sklápěním</t>
  </si>
  <si>
    <t xml:space="preserve"> - držák toaletního papíru bez krytu (chrom)</t>
  </si>
  <si>
    <t xml:space="preserve"> - WC štětka válcová na postavení / zavěšení (chrom)</t>
  </si>
  <si>
    <t>v=1,05m</t>
  </si>
  <si>
    <r>
      <t xml:space="preserve"> sestava pro závěsné WC </t>
    </r>
    <r>
      <rPr>
        <b/>
        <sz val="10"/>
        <rFont val="Arial"/>
        <family val="2"/>
        <charset val="238"/>
      </rPr>
      <t>BEZ BARIÉR</t>
    </r>
  </si>
  <si>
    <t xml:space="preserve"> - závěsný keramický záchod s hlubokým splachováním, dl.70 cm</t>
  </si>
  <si>
    <t xml:space="preserve">   pro tělesně postižené, barva bílá, rozm.: 700x360x380 mm</t>
  </si>
  <si>
    <t xml:space="preserve">   bezbarierové provedení pro podpěry</t>
  </si>
  <si>
    <t xml:space="preserve"> - ovládací tlačítko WC (ovládání zepředu), bílá/lesklý chrom/bílá</t>
  </si>
  <si>
    <t xml:space="preserve">   v provedení dvojčinného ovládání</t>
  </si>
  <si>
    <t xml:space="preserve"> - klozetové sedátko bez poklopu (tvrzený plast - duraplast)</t>
  </si>
  <si>
    <t xml:space="preserve">   s antibakteriální úpravou, barva bílá</t>
  </si>
  <si>
    <t xml:space="preserve"> - 2x sklopné madlo k WC, dl. 80 cm, včetně montážní</t>
  </si>
  <si>
    <t xml:space="preserve"> - rozmístění jednotlivých prvků viz.návrh interieru</t>
  </si>
  <si>
    <t xml:space="preserve"> sestava pro sprchový kout s vaničkou a rohovou zástěnou</t>
  </si>
  <si>
    <t xml:space="preserve"> - sprchová vanička čtvercová, rozměr: 90x90cm, bílá</t>
  </si>
  <si>
    <t xml:space="preserve">   provedení z litého mramoru</t>
  </si>
  <si>
    <t xml:space="preserve"> - podpora (nožičky) pro sprchové vaničky </t>
  </si>
  <si>
    <t xml:space="preserve"> - odpad.souprava pro sprchové vaničky - základní </t>
  </si>
  <si>
    <t xml:space="preserve">   část s odnímatelným sifonem včetně vrchního dílu (chrom)</t>
  </si>
  <si>
    <t xml:space="preserve"> - nástěnná jednopáková baterie G1/2"x150 mm</t>
  </si>
  <si>
    <t xml:space="preserve">   pro sprchy, provedení chrom</t>
  </si>
  <si>
    <t xml:space="preserve"> - sprchová souprava s ruční sprchou, hadicí dl. 160cm</t>
  </si>
  <si>
    <t xml:space="preserve">   a sprchovou tyčí 90cm (chrom)</t>
  </si>
  <si>
    <t xml:space="preserve"> - sprchová zástěna čtvercová s rohovým vstupem rozm.:90x90cm</t>
  </si>
  <si>
    <t xml:space="preserve">   v provedení s hliníkovým pochromovaným rámem v kombinaci</t>
  </si>
  <si>
    <t xml:space="preserve">   s bezpečsnostním sklem  tl.5 mm (frost), posuvná křídla</t>
  </si>
  <si>
    <t xml:space="preserve">   zavěšená na ložiskových pojezdech, spodní kolečka </t>
  </si>
  <si>
    <t xml:space="preserve">   vycvakávací pro snazší údržbu, magnetická těsnění ve dveřích</t>
  </si>
  <si>
    <t xml:space="preserve"> - drátěná polička, provedení chrom, rozm.: 100x200x95 mm</t>
  </si>
  <si>
    <t>v=1,10m</t>
  </si>
  <si>
    <r>
      <t xml:space="preserve"> sestava pro sprchový kout </t>
    </r>
    <r>
      <rPr>
        <b/>
        <sz val="10"/>
        <rFont val="Arial"/>
        <family val="2"/>
        <charset val="238"/>
      </rPr>
      <t>BEZ BARIÉR</t>
    </r>
  </si>
  <si>
    <t xml:space="preserve"> - odvodnění sprchy podlahovou vpustí s velkým průtokem</t>
  </si>
  <si>
    <t xml:space="preserve">   svislý odtok DN50, min. průtok 1,25 l/s</t>
  </si>
  <si>
    <t xml:space="preserve"> - nástěnná sprchová termostatická baterie G1/2"x150 mm</t>
  </si>
  <si>
    <t xml:space="preserve">   provedení chrom, bez sprchové sady</t>
  </si>
  <si>
    <t xml:space="preserve"> - sprchová souprava s ruční sprchou a hadicí</t>
  </si>
  <si>
    <t xml:space="preserve">   (sprcha prům.100 mm, 3 funkce průtoku, sprchová tyč 700 mm,</t>
  </si>
  <si>
    <t xml:space="preserve">   sprchová hadice dl. 1,70m) kovové provedení nerez/chrom</t>
  </si>
  <si>
    <t xml:space="preserve"> - sklopné sprchové sedátko, provedení bílá / chrom, rozm.:</t>
  </si>
  <si>
    <t xml:space="preserve">   46,2x45,0x12 cm, vč.montážní sady pro upevnění</t>
  </si>
  <si>
    <t xml:space="preserve"> - 1x pevné lomené madlo do sprchy, nerezové provedení</t>
  </si>
  <si>
    <t xml:space="preserve">   vč.montážní sady a krytek vrutů, rozm.: 600x600 mm</t>
  </si>
  <si>
    <t xml:space="preserve">   (dle konkrétní koupelny volit levé / pravé provedení, viz.interier)</t>
  </si>
  <si>
    <t xml:space="preserve"> - 1x pevné madlo dl.60cm do sprchy, nerezové provedení</t>
  </si>
  <si>
    <t xml:space="preserve"> - univerzální tyč do sprchovacího koutu vč.2ks strop.držáků,</t>
  </si>
  <si>
    <t xml:space="preserve">   stříbrné lesklé provedení na míru konkrétního sprch.koutu</t>
  </si>
  <si>
    <t xml:space="preserve">   osazení tyče směrem dovnitř sprch.koutu,</t>
  </si>
  <si>
    <t xml:space="preserve">   prům.tyče 22 mm, min. rozm.100x140 cm, vč.montážní sady</t>
  </si>
  <si>
    <t xml:space="preserve"> - 1x sprchový závěs v=1800 mm, dl. 2,0 m bílé provedení</t>
  </si>
  <si>
    <t xml:space="preserve"> - 1x závěsové open kroužky s háčkem, stříbrné lesklé provedení </t>
  </si>
  <si>
    <t xml:space="preserve">   (základní sada 12ks)</t>
  </si>
  <si>
    <t xml:space="preserve"> sestava pro dřez</t>
  </si>
  <si>
    <t xml:space="preserve"> - nerezový dřez, jednodílný, rozm. 480x480mm bez odkap. plochy</t>
  </si>
  <si>
    <t xml:space="preserve">   pro instalaci do kuchyňské linky </t>
  </si>
  <si>
    <t xml:space="preserve"> - připevnění dřezu  / mont.příslušenství - šrouby</t>
  </si>
  <si>
    <t xml:space="preserve"> - dřezový jednodílný trubkový sifon DN50 s odpadním ventilem,</t>
  </si>
  <si>
    <t xml:space="preserve">   provedení PVC, s mřížkou výpusti z leštěného nerez. plechu</t>
  </si>
  <si>
    <t xml:space="preserve"> - dřezová jednopáková stojánková baterie, </t>
  </si>
  <si>
    <t xml:space="preserve">   otočné ramínko</t>
  </si>
  <si>
    <t xml:space="preserve"> - nerezový dřez, jednodílný, rozm. 330x470mm bez odkap. plochy</t>
  </si>
  <si>
    <t xml:space="preserve"> sestava pro dvoudřez </t>
  </si>
  <si>
    <t xml:space="preserve"> - nerezový dřez, dvoudílný rozm 800x450mm bez odkap. plochy</t>
  </si>
  <si>
    <t xml:space="preserve"> - dřezový dvoudílný sifon DN50 s odpadními ventily,</t>
  </si>
  <si>
    <t xml:space="preserve">   provedení PVC, s mřížkami výpustí z leštěného nerez. plechu</t>
  </si>
  <si>
    <t xml:space="preserve">   otočné ramínko s vyložením 260mm</t>
  </si>
  <si>
    <t xml:space="preserve"> sestava pro napojení myčky</t>
  </si>
  <si>
    <t xml:space="preserve"> - podomítková zápachová uzávěrka pro myčku</t>
  </si>
  <si>
    <t xml:space="preserve">   se zpětným uzávěrem a krycí deskou z nerezoceli</t>
  </si>
  <si>
    <t xml:space="preserve"> - myčkový ventil (studená voda), připojení 1/2", výstup 3/4"</t>
  </si>
  <si>
    <t xml:space="preserve"> - výška vodovodní výústky nad čistou podlahou:</t>
  </si>
  <si>
    <t xml:space="preserve"> sestava pro stacionární výlevku</t>
  </si>
  <si>
    <t xml:space="preserve"> - keramická výlevka (stacionární), barva bílá, se sklopnou</t>
  </si>
  <si>
    <t xml:space="preserve">   kovovou mříží, vodorovný odpad</t>
  </si>
  <si>
    <t xml:space="preserve"> - připevnění výlevky / mont.příslušenství - šrouby</t>
  </si>
  <si>
    <t xml:space="preserve"> - splachovací nádržka (vysokopoložená), plastová</t>
  </si>
  <si>
    <t xml:space="preserve">   vč.příslušenství a plovákového ventilu, připoj.potr.DN32</t>
  </si>
  <si>
    <t xml:space="preserve"> - 1 ks rohový ventil DN 15, s válcovou rukojetí, chrom,</t>
  </si>
  <si>
    <t xml:space="preserve"> - dřezová jednopáková nástěnná baterie, provedení chrom</t>
  </si>
  <si>
    <t xml:space="preserve">   třída hlučnosti I., G1/2"x150, otočné ramínko</t>
  </si>
  <si>
    <t>v=1,10 a 2,0m</t>
  </si>
  <si>
    <t>POZNÁMKA - barevnost polí</t>
  </si>
  <si>
    <t xml:space="preserve"> - pole pro doplnění osloveným zhotovitelem</t>
  </si>
  <si>
    <t xml:space="preserve"> - pole vyplněného výkazu výměr</t>
  </si>
  <si>
    <t xml:space="preserve"> - pole součtová v listu položek</t>
  </si>
  <si>
    <t xml:space="preserve"> - pole součtová v listu standardů</t>
  </si>
  <si>
    <t xml:space="preserve">722 17 - Lisovací tvarovky pro plastohliníkové </t>
  </si>
  <si>
    <t>trubky (PEX-AL)</t>
  </si>
  <si>
    <t xml:space="preserve">lisovací přechod přímý / vnější závit </t>
  </si>
  <si>
    <t>20-1/2" (vnější)</t>
  </si>
  <si>
    <t>20-3/4" (vnější)</t>
  </si>
  <si>
    <t>26-1/2" (vnější)</t>
  </si>
  <si>
    <t>26-3/4" (vnější)</t>
  </si>
  <si>
    <t>26-1" (vnější)</t>
  </si>
  <si>
    <t>32-1" (vnější)</t>
  </si>
  <si>
    <t>32-5/4" (vnější)</t>
  </si>
  <si>
    <t>40-5/4" (vnější)</t>
  </si>
  <si>
    <t>50-6/4" (vnější)</t>
  </si>
  <si>
    <t>63-2" (vnější)</t>
  </si>
  <si>
    <t xml:space="preserve">lisovací přechod přímý / vnitřní závit </t>
  </si>
  <si>
    <t>18-1/2" (vnitřní)</t>
  </si>
  <si>
    <t>18-3/4" (vnitřní)</t>
  </si>
  <si>
    <t>20-1/2" (vnitřní)</t>
  </si>
  <si>
    <t>20-3/4" (vnitřní)</t>
  </si>
  <si>
    <t>26-3/4" (vnitřní)</t>
  </si>
  <si>
    <t>26-1" (vnitřní)</t>
  </si>
  <si>
    <t>32-1" (vnitřní)</t>
  </si>
  <si>
    <t>32-5/4" (vnitřní)</t>
  </si>
  <si>
    <t>40-5/4" (vnitřní)</t>
  </si>
  <si>
    <t>50-6/4" (vnitřní)</t>
  </si>
  <si>
    <t xml:space="preserve">lisovací přímá spojka oboustranná </t>
  </si>
  <si>
    <t>18-18</t>
  </si>
  <si>
    <t>20-20</t>
  </si>
  <si>
    <t>26-26</t>
  </si>
  <si>
    <t>32-32</t>
  </si>
  <si>
    <t>40-40</t>
  </si>
  <si>
    <t>50-50</t>
  </si>
  <si>
    <t>63-63</t>
  </si>
  <si>
    <t>lisovací přímá spojka - redukovaná</t>
  </si>
  <si>
    <t>20/18</t>
  </si>
  <si>
    <t>26/20</t>
  </si>
  <si>
    <t>32/26</t>
  </si>
  <si>
    <t>40/26</t>
  </si>
  <si>
    <t>40/32</t>
  </si>
  <si>
    <t>50/32</t>
  </si>
  <si>
    <t>50/40</t>
  </si>
  <si>
    <t>63/40</t>
  </si>
  <si>
    <t>63/50</t>
  </si>
  <si>
    <t>Lisovací koleno oboustranné</t>
  </si>
  <si>
    <t>18x18</t>
  </si>
  <si>
    <t>20x20</t>
  </si>
  <si>
    <t>26x26</t>
  </si>
  <si>
    <t>32x32</t>
  </si>
  <si>
    <t>40x40</t>
  </si>
  <si>
    <t>50x50</t>
  </si>
  <si>
    <t>63x63</t>
  </si>
  <si>
    <t>lisovací koleno / vnější závit</t>
  </si>
  <si>
    <t>18-1/2" (vnější)</t>
  </si>
  <si>
    <t>18-3/4" (vnější)</t>
  </si>
  <si>
    <t>lisovací nástěnka s vnitřním závitem</t>
  </si>
  <si>
    <t>18-1/2"</t>
  </si>
  <si>
    <t>20/1/2"</t>
  </si>
  <si>
    <t>Lisovací T-kus jednoznačný</t>
  </si>
  <si>
    <t>18x18x18</t>
  </si>
  <si>
    <t>20x20x20</t>
  </si>
  <si>
    <t>26x26x26</t>
  </si>
  <si>
    <t>32x32x32</t>
  </si>
  <si>
    <t>40x40x40</t>
  </si>
  <si>
    <t>50x50x50</t>
  </si>
  <si>
    <t>63x63x63</t>
  </si>
  <si>
    <t>Lisovací T-kus redukovaný</t>
  </si>
  <si>
    <t>20x18x18</t>
  </si>
  <si>
    <t>20x18x20</t>
  </si>
  <si>
    <t>26x18x26</t>
  </si>
  <si>
    <t>26x20x26</t>
  </si>
  <si>
    <t>26x20x20</t>
  </si>
  <si>
    <t>32x20x32</t>
  </si>
  <si>
    <t>32x26x32</t>
  </si>
  <si>
    <t>32x26x26</t>
  </si>
  <si>
    <t>40x32x40</t>
  </si>
  <si>
    <t>40x32x32</t>
  </si>
  <si>
    <t>50x26x50</t>
  </si>
  <si>
    <t>50x32x50</t>
  </si>
  <si>
    <t>50x40x50</t>
  </si>
  <si>
    <t>63x26x63</t>
  </si>
  <si>
    <t>63x32x63</t>
  </si>
  <si>
    <t>63x40x63</t>
  </si>
  <si>
    <t>63x50x63</t>
  </si>
  <si>
    <t>Lisovací T-kus s vnějším závitem</t>
  </si>
  <si>
    <t>20x1/2"x20</t>
  </si>
  <si>
    <t>20x3/4"x20</t>
  </si>
  <si>
    <t>Lisovací T-kus s vnitřním závitem</t>
  </si>
  <si>
    <t>18x1/2"x18</t>
  </si>
  <si>
    <t>26x1/2"x26</t>
  </si>
  <si>
    <t>26x3/4"x26</t>
  </si>
  <si>
    <t>32x1/2"x32</t>
  </si>
  <si>
    <t>32x3/4"x32</t>
  </si>
  <si>
    <t>32x1"x32</t>
  </si>
  <si>
    <t>40x1"x40</t>
  </si>
  <si>
    <t>40x5/4"x40</t>
  </si>
  <si>
    <t>50x3/4"x50</t>
  </si>
  <si>
    <t>50x1"x50</t>
  </si>
  <si>
    <t>63x1"x63</t>
  </si>
  <si>
    <t>PAVILONU A v areálu Nemocnice Nymburk</t>
  </si>
  <si>
    <t>SO-01</t>
  </si>
  <si>
    <t>TECHNIKA PROSTŘEDÍ STAVEB</t>
  </si>
  <si>
    <t>STAVEBNÍ ÚPRAVY 1.PP - oddělení ortopedie        .</t>
  </si>
  <si>
    <t xml:space="preserve"> sestava technologického zařízení - drtičky</t>
  </si>
  <si>
    <t xml:space="preserve"> - drtička (macerátor), pro likvidaci papírových bažantů, nočníků </t>
  </si>
  <si>
    <t xml:space="preserve">   a mís včetně macerace lidského odpadu</t>
  </si>
  <si>
    <t xml:space="preserve">   Připojení na 1x vodovodní výústku SV, zakončenou kulovým ventilem G3/4"</t>
  </si>
  <si>
    <t xml:space="preserve">   a na 1x odpadní výpustku DN70, vyvedenou z podlahy</t>
  </si>
  <si>
    <t>v=0,848m</t>
  </si>
  <si>
    <t xml:space="preserve"> sestava technologického zařízení - sprchový panel s desinfekcí</t>
  </si>
  <si>
    <t xml:space="preserve"> - sprchový panel s desinfekcí pro asistované sprchování, jakož i</t>
  </si>
  <si>
    <t xml:space="preserve">   pro čistění a dezinfekci sprchových pomůcek</t>
  </si>
  <si>
    <t xml:space="preserve"> - 2x pračkový ventil G1/2" (SV, TV), výstup s vnějším závitem G3/4"</t>
  </si>
  <si>
    <t>v=1,0m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</si>
</sst>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0.0"/>
    <numFmt numFmtId="165" formatCode="#,##0.0\ _K_č"/>
    <numFmt numFmtId="166" formatCode="#,##0.0"/>
  </numFmts>
  <fonts count="91">
    <font>
      <sz val="11"/>
      <name val="Calibri"/>
      <charset val="1"/>
    </font>
    <font>
      <sz val="11"/>
      <color theme="1"/>
      <name val="Aptos Narrow"/>
      <family val="2"/>
      <charset val="238"/>
      <scheme val="minor"/>
    </font>
    <font>
      <sz val="18"/>
      <color rgb="FF000000"/>
      <name val="Arial"/>
      <charset val="238"/>
    </font>
    <font>
      <sz val="10"/>
      <color rgb="FF000000"/>
      <name val="Arial"/>
      <charset val="238"/>
    </font>
    <font>
      <b/>
      <sz val="10"/>
      <color rgb="FF000000"/>
      <name val="Arial"/>
      <charset val="238"/>
    </font>
    <font>
      <b/>
      <sz val="18"/>
      <color rgb="FF000000"/>
      <name val="Arial"/>
      <charset val="238"/>
    </font>
    <font>
      <b/>
      <sz val="20"/>
      <color rgb="FF000000"/>
      <name val="Arial"/>
      <charset val="238"/>
    </font>
    <font>
      <b/>
      <sz val="11"/>
      <color rgb="FF000000"/>
      <name val="Arial"/>
      <charset val="238"/>
    </font>
    <font>
      <b/>
      <sz val="12"/>
      <color rgb="FF000000"/>
      <name val="Arial"/>
      <charset val="238"/>
    </font>
    <font>
      <sz val="12"/>
      <color rgb="FF000000"/>
      <name val="Arial"/>
      <charset val="238"/>
    </font>
    <font>
      <i/>
      <sz val="8"/>
      <color rgb="FF000000"/>
      <name val="Arial"/>
      <charset val="238"/>
    </font>
    <font>
      <i/>
      <sz val="10"/>
      <color rgb="FF800000"/>
      <name val="Arial"/>
      <charset val="238"/>
    </font>
    <font>
      <i/>
      <sz val="10"/>
      <color rgb="FF646464"/>
      <name val="Arial"/>
      <charset val="238"/>
    </font>
    <font>
      <i/>
      <sz val="10"/>
      <color rgb="FF000000"/>
      <name val="Arial"/>
      <charset val="238"/>
    </font>
    <font>
      <sz val="10"/>
      <color rgb="FF0000FF"/>
      <name val="Arial"/>
      <charset val="238"/>
    </font>
    <font>
      <i/>
      <sz val="10"/>
      <color rgb="FF0000FF"/>
      <name val="Arial"/>
      <charset val="238"/>
    </font>
    <font>
      <sz val="11"/>
      <color rgb="FFFF0000"/>
      <name val="Aptos Narrow"/>
      <family val="2"/>
      <charset val="238"/>
      <scheme val="minor"/>
    </font>
    <font>
      <b/>
      <sz val="11"/>
      <color theme="1"/>
      <name val="Aptos Narrow"/>
      <family val="2"/>
      <charset val="238"/>
      <scheme val="minor"/>
    </font>
    <font>
      <sz val="10"/>
      <name val="Arial"/>
      <family val="2"/>
      <charset val="238"/>
    </font>
    <font>
      <sz val="10"/>
      <name val="Helv"/>
    </font>
    <font>
      <sz val="9"/>
      <name val="Arial"/>
      <family val="2"/>
      <charset val="238"/>
    </font>
    <font>
      <b/>
      <sz val="10"/>
      <name val="Arial"/>
      <family val="2"/>
      <charset val="238"/>
    </font>
    <font>
      <i/>
      <sz val="10"/>
      <name val="Arial"/>
      <family val="2"/>
      <charset val="238"/>
    </font>
    <font>
      <sz val="10"/>
      <color indexed="10"/>
      <name val="Arial"/>
      <family val="2"/>
      <charset val="238"/>
    </font>
    <font>
      <sz val="10"/>
      <name val="Symbol"/>
      <family val="1"/>
      <charset val="2"/>
    </font>
    <font>
      <sz val="10"/>
      <color theme="1"/>
      <name val="Aptos Narrow"/>
      <family val="2"/>
      <charset val="238"/>
      <scheme val="minor"/>
    </font>
    <font>
      <sz val="8"/>
      <name val="Arial"/>
      <family val="2"/>
      <charset val="238"/>
    </font>
    <font>
      <sz val="8"/>
      <color indexed="8"/>
      <name val="Arial"/>
      <family val="2"/>
      <charset val="238"/>
    </font>
    <font>
      <sz val="10"/>
      <name val="Arial CE"/>
      <family val="2"/>
      <charset val="238"/>
    </font>
    <font>
      <b/>
      <sz val="14"/>
      <name val="Arial CE"/>
      <charset val="238"/>
    </font>
    <font>
      <b/>
      <sz val="10"/>
      <name val="Arial CE"/>
      <family val="2"/>
      <charset val="238"/>
    </font>
    <font>
      <sz val="11"/>
      <name val="Arial CE"/>
      <family val="2"/>
      <charset val="238"/>
    </font>
    <font>
      <sz val="9"/>
      <name val="Arial CE"/>
      <family val="2"/>
      <charset val="238"/>
    </font>
    <font>
      <b/>
      <sz val="11"/>
      <color rgb="FFFF0000"/>
      <name val="Arial CE"/>
      <family val="2"/>
      <charset val="238"/>
    </font>
    <font>
      <b/>
      <sz val="12"/>
      <name val="Arial CE"/>
      <family val="2"/>
      <charset val="238"/>
    </font>
    <font>
      <sz val="8"/>
      <name val="Arial CE"/>
      <charset val="238"/>
    </font>
    <font>
      <b/>
      <sz val="14"/>
      <name val="Calibri"/>
      <family val="2"/>
      <charset val="238"/>
    </font>
    <font>
      <b/>
      <sz val="16"/>
      <name val="Calibri"/>
      <family val="2"/>
      <charset val="238"/>
    </font>
    <font>
      <b/>
      <sz val="12"/>
      <name val="Calibri"/>
      <family val="2"/>
      <charset val="238"/>
    </font>
    <font>
      <b/>
      <sz val="11"/>
      <name val="Calibri"/>
      <family val="2"/>
      <charset val="238"/>
    </font>
    <font>
      <b/>
      <i/>
      <sz val="11"/>
      <name val="Calibri"/>
      <family val="2"/>
      <charset val="238"/>
    </font>
    <font>
      <i/>
      <sz val="8"/>
      <name val="Calibri"/>
      <family val="2"/>
      <charset val="238"/>
    </font>
    <font>
      <sz val="8"/>
      <name val="Calibri"/>
      <family val="2"/>
      <charset val="238"/>
    </font>
    <font>
      <sz val="11"/>
      <name val="Aptos Narrow"/>
      <family val="2"/>
      <charset val="238"/>
      <scheme val="minor"/>
    </font>
    <font>
      <b/>
      <sz val="14"/>
      <color indexed="8"/>
      <name val="Calibri"/>
      <family val="2"/>
      <charset val="238"/>
    </font>
    <font>
      <sz val="11"/>
      <name val="Calibri"/>
      <family val="2"/>
      <charset val="238"/>
    </font>
    <font>
      <sz val="11"/>
      <color theme="0"/>
      <name val="Calibri"/>
      <family val="2"/>
      <charset val="238"/>
    </font>
    <font>
      <sz val="11"/>
      <color rgb="FF000000"/>
      <name val="Aptos Narrow"/>
      <family val="2"/>
      <charset val="238"/>
      <scheme val="minor"/>
    </font>
    <font>
      <b/>
      <sz val="12"/>
      <color indexed="8"/>
      <name val="Calibri"/>
      <family val="2"/>
      <charset val="238"/>
    </font>
    <font>
      <i/>
      <sz val="11"/>
      <color rgb="FF000000"/>
      <name val="Aptos Narrow"/>
      <family val="2"/>
      <charset val="238"/>
      <scheme val="minor"/>
    </font>
    <font>
      <b/>
      <sz val="14"/>
      <name val="Aptos Narrow"/>
      <family val="2"/>
      <charset val="238"/>
      <scheme val="minor"/>
    </font>
    <font>
      <b/>
      <sz val="12"/>
      <color rgb="FF000000"/>
      <name val="Aptos Narrow"/>
      <family val="2"/>
      <charset val="238"/>
      <scheme val="minor"/>
    </font>
    <font>
      <b/>
      <sz val="11"/>
      <name val="Aptos Narrow"/>
      <family val="2"/>
      <charset val="238"/>
      <scheme val="minor"/>
    </font>
    <font>
      <b/>
      <sz val="14"/>
      <color rgb="FF000000"/>
      <name val="Aptos Narrow"/>
      <family val="2"/>
      <charset val="238"/>
      <scheme val="minor"/>
    </font>
    <font>
      <b/>
      <sz val="16"/>
      <color indexed="8"/>
      <name val="Calibri"/>
      <family val="2"/>
      <charset val="238"/>
    </font>
    <font>
      <b/>
      <sz val="11"/>
      <color rgb="FF000000"/>
      <name val="Aptos Narrow"/>
      <family val="2"/>
      <charset val="238"/>
      <scheme val="minor"/>
    </font>
    <font>
      <sz val="12"/>
      <color rgb="FF000000"/>
      <name val="Aptos Narrow"/>
      <family val="2"/>
      <charset val="238"/>
      <scheme val="minor"/>
    </font>
    <font>
      <b/>
      <sz val="16"/>
      <color rgb="FF000000"/>
      <name val="Aptos Narrow"/>
      <family val="2"/>
      <charset val="238"/>
      <scheme val="minor"/>
    </font>
    <font>
      <b/>
      <sz val="22"/>
      <name val="Aptos Narrow"/>
      <family val="2"/>
      <charset val="238"/>
      <scheme val="minor"/>
    </font>
    <font>
      <b/>
      <sz val="16"/>
      <name val="Aptos Narrow"/>
      <family val="2"/>
      <charset val="238"/>
      <scheme val="minor"/>
    </font>
    <font>
      <b/>
      <sz val="10"/>
      <name val="Aptos Narrow"/>
      <family val="2"/>
      <charset val="238"/>
      <scheme val="minor"/>
    </font>
    <font>
      <i/>
      <u/>
      <sz val="11"/>
      <name val="Aptos Narrow"/>
      <family val="2"/>
      <charset val="238"/>
      <scheme val="minor"/>
    </font>
    <font>
      <sz val="10"/>
      <name val="Aptos Narrow"/>
      <family val="2"/>
      <charset val="238"/>
      <scheme val="minor"/>
    </font>
    <font>
      <i/>
      <sz val="11"/>
      <name val="Aptos Narrow"/>
      <family val="2"/>
      <charset val="238"/>
      <scheme val="minor"/>
    </font>
    <font>
      <b/>
      <sz val="14"/>
      <color theme="1"/>
      <name val="Aptos Narrow"/>
      <family val="2"/>
      <charset val="238"/>
      <scheme val="minor"/>
    </font>
    <font>
      <b/>
      <i/>
      <sz val="12"/>
      <name val="Aptos Narrow"/>
      <family val="2"/>
      <charset val="238"/>
      <scheme val="minor"/>
    </font>
    <font>
      <b/>
      <i/>
      <sz val="12"/>
      <color theme="1"/>
      <name val="Aptos Narrow"/>
      <family val="2"/>
      <charset val="238"/>
      <scheme val="minor"/>
    </font>
    <font>
      <i/>
      <sz val="11"/>
      <color theme="1"/>
      <name val="Aptos Narrow"/>
      <family val="2"/>
      <charset val="238"/>
      <scheme val="minor"/>
    </font>
    <font>
      <i/>
      <sz val="10"/>
      <color theme="1"/>
      <name val="Aptos Narrow"/>
      <family val="2"/>
      <charset val="238"/>
      <scheme val="minor"/>
    </font>
    <font>
      <sz val="10"/>
      <name val="Arial CE"/>
      <charset val="238"/>
    </font>
    <font>
      <sz val="12"/>
      <name val="Arial CE"/>
      <charset val="238"/>
    </font>
    <font>
      <b/>
      <sz val="12"/>
      <name val="Arial CE"/>
      <charset val="238"/>
    </font>
    <font>
      <b/>
      <sz val="10"/>
      <name val="Arial CE"/>
      <charset val="238"/>
    </font>
    <font>
      <b/>
      <i/>
      <sz val="12"/>
      <color indexed="17"/>
      <name val="Arial CE"/>
      <charset val="238"/>
    </font>
    <font>
      <b/>
      <i/>
      <sz val="10"/>
      <name val="Arial CE"/>
      <family val="2"/>
      <charset val="238"/>
    </font>
    <font>
      <sz val="10"/>
      <color indexed="12"/>
      <name val="Arial CE"/>
      <family val="2"/>
      <charset val="238"/>
    </font>
    <font>
      <sz val="10"/>
      <color indexed="12"/>
      <name val="Arial CE"/>
      <charset val="238"/>
    </font>
    <font>
      <b/>
      <i/>
      <sz val="14"/>
      <color indexed="18"/>
      <name val="Arial CE"/>
      <family val="2"/>
      <charset val="238"/>
    </font>
    <font>
      <b/>
      <i/>
      <sz val="12"/>
      <name val="Arial CE"/>
      <family val="2"/>
      <charset val="238"/>
    </font>
    <font>
      <b/>
      <i/>
      <u/>
      <sz val="10"/>
      <name val="Arial CE"/>
      <family val="2"/>
      <charset val="238"/>
    </font>
    <font>
      <b/>
      <i/>
      <u/>
      <sz val="12"/>
      <name val="Arial CE"/>
      <charset val="238"/>
    </font>
    <font>
      <sz val="10"/>
      <name val="Arial"/>
      <charset val="238"/>
    </font>
    <font>
      <b/>
      <sz val="16"/>
      <name val="Arial"/>
      <family val="2"/>
      <charset val="238"/>
    </font>
    <font>
      <b/>
      <sz val="8"/>
      <name val="Arial CE"/>
      <family val="2"/>
      <charset val="238"/>
    </font>
    <font>
      <sz val="10"/>
      <color indexed="8"/>
      <name val="Arial"/>
      <family val="2"/>
      <charset val="238"/>
    </font>
    <font>
      <b/>
      <sz val="16"/>
      <color indexed="12"/>
      <name val="Arial"/>
      <family val="2"/>
      <charset val="238"/>
    </font>
    <font>
      <b/>
      <sz val="8"/>
      <name val="Arial"/>
      <family val="2"/>
      <charset val="238"/>
    </font>
    <font>
      <b/>
      <sz val="10"/>
      <color indexed="10"/>
      <name val="Arial"/>
      <family val="2"/>
      <charset val="238"/>
    </font>
    <font>
      <b/>
      <i/>
      <u/>
      <sz val="18"/>
      <name val="Arial CE"/>
      <charset val="238"/>
    </font>
    <font>
      <b/>
      <i/>
      <sz val="12"/>
      <name val="Arial CE"/>
      <charset val="238"/>
    </font>
    <font>
      <i/>
      <u/>
      <sz val="12"/>
      <name val="Arial CE"/>
      <charset val="238"/>
    </font>
  </fonts>
  <fills count="17">
    <fill>
      <patternFill patternType="none"/>
    </fill>
    <fill>
      <patternFill patternType="gray125"/>
    </fill>
    <fill>
      <patternFill patternType="solid">
        <fgColor rgb="FFC0C0C0"/>
        <bgColor rgb="FFC0C0C0"/>
      </patternFill>
    </fill>
    <fill>
      <patternFill patternType="solid">
        <fgColor rgb="FFCCFFFF"/>
        <bgColor rgb="FFCCFFFF"/>
      </patternFill>
    </fill>
    <fill>
      <patternFill patternType="solid">
        <fgColor rgb="FFEAEAEA"/>
        <bgColor rgb="FFEAEAEA"/>
      </patternFill>
    </fill>
    <fill>
      <patternFill patternType="solid">
        <fgColor rgb="FFCCFFFF"/>
        <bgColor rgb="FFCCFFFF"/>
      </patternFill>
    </fill>
    <fill>
      <patternFill patternType="solid">
        <fgColor theme="0" tint="-0.14999847407452621"/>
        <bgColor indexed="64"/>
      </patternFill>
    </fill>
    <fill>
      <patternFill patternType="solid">
        <fgColor indexed="42"/>
        <bgColor indexed="27"/>
      </patternFill>
    </fill>
    <fill>
      <patternFill patternType="solid">
        <fgColor indexed="42"/>
        <bgColor indexed="64"/>
      </patternFill>
    </fill>
    <fill>
      <patternFill patternType="solid">
        <fgColor rgb="FFFFFF00"/>
        <bgColor indexed="64"/>
      </patternFill>
    </fill>
    <fill>
      <patternFill patternType="solid">
        <fgColor indexed="27"/>
        <bgColor indexed="41"/>
      </patternFill>
    </fill>
    <fill>
      <patternFill patternType="solid">
        <fgColor theme="0" tint="-0.499984740745262"/>
        <bgColor indexed="64"/>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s>
  <borders count="166">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bottom style="medium">
        <color rgb="FF000000"/>
      </bottom>
      <diagonal/>
    </border>
    <border>
      <left/>
      <right/>
      <top style="thin">
        <color rgb="FF000000"/>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style="thin">
        <color rgb="FF000000"/>
      </left>
      <right/>
      <top/>
      <bottom/>
      <diagonal/>
    </border>
    <border>
      <left/>
      <right style="thin">
        <color rgb="FF000000"/>
      </right>
      <top/>
      <bottom/>
      <diagonal/>
    </border>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8"/>
      </left>
      <right/>
      <top style="medium">
        <color indexed="8"/>
      </top>
      <bottom/>
      <diagonal/>
    </border>
    <border>
      <left style="thin">
        <color indexed="8"/>
      </left>
      <right/>
      <top style="medium">
        <color indexed="8"/>
      </top>
      <bottom/>
      <diagonal/>
    </border>
    <border>
      <left style="medium">
        <color indexed="8"/>
      </left>
      <right/>
      <top/>
      <bottom/>
      <diagonal/>
    </border>
    <border>
      <left style="thin">
        <color indexed="8"/>
      </left>
      <right/>
      <top/>
      <bottom/>
      <diagonal/>
    </border>
    <border>
      <left style="medium">
        <color indexed="8"/>
      </left>
      <right/>
      <top/>
      <bottom style="thin">
        <color indexed="8"/>
      </bottom>
      <diagonal/>
    </border>
    <border>
      <left/>
      <right/>
      <top/>
      <bottom style="thin">
        <color indexed="8"/>
      </bottom>
      <diagonal/>
    </border>
    <border>
      <left style="thin">
        <color indexed="8"/>
      </left>
      <right/>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style="medium">
        <color indexed="8"/>
      </top>
      <bottom style="hair">
        <color indexed="8"/>
      </bottom>
      <diagonal/>
    </border>
    <border>
      <left style="thin">
        <color indexed="8"/>
      </left>
      <right style="thin">
        <color indexed="8"/>
      </right>
      <top style="medium">
        <color indexed="8"/>
      </top>
      <bottom style="hair">
        <color indexed="8"/>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8"/>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top/>
      <bottom style="double">
        <color indexed="64"/>
      </bottom>
      <diagonal/>
    </border>
    <border>
      <left style="thin">
        <color indexed="64"/>
      </left>
      <right/>
      <top style="thin">
        <color indexed="64"/>
      </top>
      <bottom style="double">
        <color indexed="64"/>
      </bottom>
      <diagonal/>
    </border>
  </borders>
  <cellStyleXfs count="12">
    <xf numFmtId="0" fontId="0" fillId="0" borderId="0"/>
    <xf numFmtId="0" fontId="1" fillId="0" borderId="76"/>
    <xf numFmtId="0" fontId="19" fillId="0" borderId="76"/>
    <xf numFmtId="0" fontId="28" fillId="0" borderId="76"/>
    <xf numFmtId="9" fontId="28" fillId="0" borderId="76" applyFill="0" applyBorder="0" applyAlignment="0" applyProtection="0"/>
    <xf numFmtId="0" fontId="35" fillId="0" borderId="85"/>
    <xf numFmtId="44" fontId="35" fillId="0" borderId="76" applyFont="0" applyFill="0" applyBorder="0" applyAlignment="0" applyProtection="0"/>
    <xf numFmtId="166" fontId="26" fillId="0" borderId="85"/>
    <xf numFmtId="44" fontId="1" fillId="0" borderId="76" applyFont="0" applyFill="0" applyBorder="0" applyAlignment="0" applyProtection="0"/>
    <xf numFmtId="0" fontId="69" fillId="0" borderId="76"/>
    <xf numFmtId="0" fontId="81" fillId="0" borderId="76"/>
    <xf numFmtId="0" fontId="81" fillId="0" borderId="76"/>
  </cellStyleXfs>
  <cellXfs count="695">
    <xf numFmtId="0" fontId="0" fillId="0" borderId="0" xfId="0"/>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6" fillId="2" borderId="11" xfId="0" applyFont="1" applyFill="1" applyBorder="1" applyAlignment="1">
      <alignment horizontal="center" vertical="center"/>
    </xf>
    <xf numFmtId="0" fontId="6" fillId="2" borderId="14" xfId="0" applyFont="1" applyFill="1" applyBorder="1" applyAlignment="1">
      <alignment horizontal="center" vertical="center"/>
    </xf>
    <xf numFmtId="0" fontId="8" fillId="0" borderId="15" xfId="0" applyFont="1" applyBorder="1" applyAlignment="1">
      <alignment horizontal="left" vertical="center"/>
    </xf>
    <xf numFmtId="0" fontId="9" fillId="0" borderId="16" xfId="0" applyFont="1" applyBorder="1" applyAlignment="1">
      <alignment horizontal="left" vertical="center"/>
    </xf>
    <xf numFmtId="4" fontId="9" fillId="0" borderId="16" xfId="0" applyNumberFormat="1" applyFont="1" applyBorder="1" applyAlignment="1">
      <alignment horizontal="right" vertical="center"/>
    </xf>
    <xf numFmtId="0" fontId="9" fillId="0" borderId="16" xfId="0" applyFont="1" applyBorder="1" applyAlignment="1">
      <alignment horizontal="right" vertical="center"/>
    </xf>
    <xf numFmtId="0" fontId="8" fillId="0" borderId="19" xfId="0" applyFont="1" applyBorder="1" applyAlignment="1">
      <alignment horizontal="left" vertical="center"/>
    </xf>
    <xf numFmtId="4" fontId="9" fillId="0" borderId="23" xfId="0" applyNumberFormat="1" applyFont="1" applyBorder="1" applyAlignment="1">
      <alignment horizontal="right" vertical="center"/>
    </xf>
    <xf numFmtId="0" fontId="9" fillId="0" borderId="23" xfId="0" applyFont="1" applyBorder="1" applyAlignment="1">
      <alignment horizontal="right" vertical="center"/>
    </xf>
    <xf numFmtId="4" fontId="9" fillId="0" borderId="14" xfId="0" applyNumberFormat="1" applyFont="1" applyBorder="1" applyAlignment="1">
      <alignment horizontal="right" vertical="center"/>
    </xf>
    <xf numFmtId="4" fontId="9" fillId="0" borderId="26" xfId="0" applyNumberFormat="1" applyFont="1" applyBorder="1" applyAlignment="1">
      <alignment horizontal="right" vertical="center"/>
    </xf>
    <xf numFmtId="4" fontId="8" fillId="2" borderId="13" xfId="0" applyNumberFormat="1" applyFont="1" applyFill="1" applyBorder="1" applyAlignment="1">
      <alignment horizontal="right" vertical="center"/>
    </xf>
    <xf numFmtId="4" fontId="8" fillId="2" borderId="18" xfId="0" applyNumberFormat="1" applyFont="1" applyFill="1" applyBorder="1" applyAlignment="1">
      <alignment horizontal="right" vertical="center"/>
    </xf>
    <xf numFmtId="0" fontId="10" fillId="0" borderId="40" xfId="0" applyFont="1" applyBorder="1" applyAlignment="1">
      <alignment horizontal="left" vertical="center"/>
    </xf>
    <xf numFmtId="0" fontId="4" fillId="0" borderId="45" xfId="0" applyFont="1" applyBorder="1" applyAlignment="1">
      <alignment horizontal="right" vertical="center"/>
    </xf>
    <xf numFmtId="4" fontId="3" fillId="0" borderId="16" xfId="0" applyNumberFormat="1" applyFont="1" applyBorder="1" applyAlignment="1">
      <alignment horizontal="right" vertical="center"/>
    </xf>
    <xf numFmtId="0" fontId="3" fillId="0" borderId="16" xfId="0" applyFont="1" applyBorder="1" applyAlignment="1">
      <alignment horizontal="left" vertical="center"/>
    </xf>
    <xf numFmtId="4" fontId="3" fillId="0" borderId="49" xfId="0" applyNumberFormat="1" applyFont="1" applyBorder="1" applyAlignment="1">
      <alignment horizontal="right" vertical="center"/>
    </xf>
    <xf numFmtId="0" fontId="3" fillId="0" borderId="49" xfId="0" applyFont="1" applyBorder="1" applyAlignment="1">
      <alignment horizontal="left" vertical="center"/>
    </xf>
    <xf numFmtId="0" fontId="4" fillId="0" borderId="53" xfId="0" applyFont="1" applyBorder="1" applyAlignment="1">
      <alignment horizontal="left" vertical="center"/>
    </xf>
    <xf numFmtId="0" fontId="4" fillId="0" borderId="53" xfId="0" applyFont="1" applyBorder="1" applyAlignment="1">
      <alignment horizontal="right" vertical="center"/>
    </xf>
    <xf numFmtId="4" fontId="4" fillId="0" borderId="53" xfId="0" applyNumberFormat="1" applyFont="1" applyBorder="1" applyAlignment="1">
      <alignment horizontal="right" vertical="center"/>
    </xf>
    <xf numFmtId="4" fontId="4" fillId="2" borderId="0" xfId="0" applyNumberFormat="1" applyFont="1" applyFill="1" applyAlignment="1">
      <alignment horizontal="right"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4" fillId="0" borderId="58" xfId="0" applyFont="1" applyBorder="1" applyAlignment="1">
      <alignment horizontal="center" vertical="center"/>
    </xf>
    <xf numFmtId="0" fontId="4" fillId="3" borderId="61" xfId="0" applyFont="1" applyFill="1" applyBorder="1" applyAlignment="1" applyProtection="1">
      <alignment horizontal="center" vertical="center"/>
      <protection locked="0"/>
    </xf>
    <xf numFmtId="0" fontId="4" fillId="0" borderId="62" xfId="0" applyFont="1" applyBorder="1" applyAlignment="1">
      <alignment horizontal="center" vertical="center"/>
    </xf>
    <xf numFmtId="0" fontId="4" fillId="0" borderId="65" xfId="0" applyFont="1" applyBorder="1" applyAlignment="1">
      <alignment horizontal="center" vertical="center"/>
    </xf>
    <xf numFmtId="0" fontId="4" fillId="2" borderId="0" xfId="0" applyFont="1" applyFill="1" applyAlignment="1">
      <alignment horizontal="right" vertical="center"/>
    </xf>
    <xf numFmtId="0" fontId="4" fillId="0" borderId="0" xfId="0" applyFont="1" applyAlignment="1">
      <alignment horizontal="right"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4" fillId="3" borderId="67" xfId="0" applyFont="1" applyFill="1" applyBorder="1" applyAlignment="1" applyProtection="1">
      <alignment horizontal="center" vertical="center"/>
      <protection locked="0"/>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26"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3" fillId="4" borderId="74" xfId="0" applyFont="1" applyFill="1" applyBorder="1" applyAlignment="1">
      <alignment horizontal="left" vertical="center"/>
    </xf>
    <xf numFmtId="0" fontId="4" fillId="4" borderId="40" xfId="0" applyFont="1" applyFill="1" applyBorder="1" applyAlignment="1">
      <alignment horizontal="left" vertical="center"/>
    </xf>
    <xf numFmtId="0" fontId="3" fillId="4" borderId="40" xfId="0" applyFont="1" applyFill="1" applyBorder="1" applyAlignment="1">
      <alignment horizontal="left" vertical="center"/>
    </xf>
    <xf numFmtId="0" fontId="3" fillId="5" borderId="40" xfId="0" applyFont="1" applyFill="1" applyBorder="1" applyAlignment="1" applyProtection="1">
      <alignment horizontal="left" vertical="center"/>
      <protection locked="0"/>
    </xf>
    <xf numFmtId="4" fontId="4" fillId="4" borderId="40" xfId="0" applyNumberFormat="1" applyFont="1" applyFill="1" applyBorder="1" applyAlignment="1">
      <alignment horizontal="right" vertical="center"/>
    </xf>
    <xf numFmtId="0" fontId="4" fillId="4" borderId="40" xfId="0" applyFont="1" applyFill="1" applyBorder="1" applyAlignment="1">
      <alignment horizontal="right" vertical="center"/>
    </xf>
    <xf numFmtId="0" fontId="4" fillId="4" borderId="75" xfId="0" applyFont="1" applyFill="1" applyBorder="1" applyAlignment="1">
      <alignment horizontal="right" vertical="center"/>
    </xf>
    <xf numFmtId="0" fontId="3" fillId="2" borderId="5" xfId="0" applyFont="1" applyFill="1" applyBorder="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horizontal="left" vertical="center"/>
    </xf>
    <xf numFmtId="0" fontId="3" fillId="5" borderId="0" xfId="0" applyFont="1" applyFill="1" applyAlignment="1" applyProtection="1">
      <alignment horizontal="left" vertical="center"/>
      <protection locked="0"/>
    </xf>
    <xf numFmtId="0" fontId="4" fillId="2" borderId="6" xfId="0" applyFont="1" applyFill="1" applyBorder="1" applyAlignment="1">
      <alignment horizontal="right" vertical="center"/>
    </xf>
    <xf numFmtId="4" fontId="3" fillId="0" borderId="0" xfId="0" applyNumberFormat="1" applyFont="1" applyAlignment="1">
      <alignment horizontal="right" vertical="center"/>
    </xf>
    <xf numFmtId="4" fontId="3" fillId="3" borderId="0" xfId="0" applyNumberFormat="1" applyFont="1" applyFill="1" applyAlignment="1" applyProtection="1">
      <alignment horizontal="right" vertical="center"/>
      <protection locked="0"/>
    </xf>
    <xf numFmtId="0" fontId="3" fillId="0" borderId="6" xfId="0" applyFont="1" applyBorder="1" applyAlignment="1">
      <alignment horizontal="right" vertical="center"/>
    </xf>
    <xf numFmtId="0" fontId="3" fillId="0" borderId="0" xfId="0" applyFont="1" applyAlignment="1">
      <alignment horizontal="right" vertical="center"/>
    </xf>
    <xf numFmtId="1" fontId="4" fillId="2" borderId="0" xfId="0" applyNumberFormat="1" applyFont="1" applyFill="1" applyAlignment="1">
      <alignment horizontal="right" vertical="center"/>
    </xf>
    <xf numFmtId="0" fontId="0" fillId="0" borderId="5" xfId="0" applyBorder="1"/>
    <xf numFmtId="0" fontId="11" fillId="0" borderId="0" xfId="0" applyFont="1" applyAlignment="1">
      <alignment horizontal="left" vertical="center"/>
    </xf>
    <xf numFmtId="4" fontId="11" fillId="0" borderId="0" xfId="0" applyNumberFormat="1" applyFont="1" applyAlignment="1">
      <alignment horizontal="right" vertical="center"/>
    </xf>
    <xf numFmtId="0" fontId="0" fillId="0" borderId="6" xfId="0" applyBorder="1"/>
    <xf numFmtId="0" fontId="12" fillId="0" borderId="0" xfId="0" applyFont="1" applyAlignment="1">
      <alignment horizontal="right" vertical="center"/>
    </xf>
    <xf numFmtId="0" fontId="13" fillId="0" borderId="0" xfId="0" applyFont="1" applyAlignment="1">
      <alignment horizontal="left" vertical="center" wrapText="1"/>
    </xf>
    <xf numFmtId="0" fontId="14" fillId="0" borderId="5"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center" wrapText="1"/>
    </xf>
    <xf numFmtId="4" fontId="14" fillId="0" borderId="0" xfId="0" applyNumberFormat="1" applyFont="1" applyAlignment="1">
      <alignment horizontal="right" vertical="center"/>
    </xf>
    <xf numFmtId="4" fontId="14" fillId="3" borderId="0" xfId="0" applyNumberFormat="1" applyFont="1" applyFill="1" applyAlignment="1" applyProtection="1">
      <alignment horizontal="right" vertical="center"/>
      <protection locked="0"/>
    </xf>
    <xf numFmtId="0" fontId="14" fillId="0" borderId="6" xfId="0" applyFont="1" applyBorder="1" applyAlignment="1">
      <alignment horizontal="right" vertical="center"/>
    </xf>
    <xf numFmtId="0" fontId="14" fillId="0" borderId="0" xfId="0" applyFont="1" applyAlignment="1">
      <alignment horizontal="right" vertical="center"/>
    </xf>
    <xf numFmtId="0" fontId="15" fillId="0" borderId="0" xfId="0" applyFont="1" applyAlignment="1">
      <alignment horizontal="left" vertical="center" wrapText="1"/>
    </xf>
    <xf numFmtId="0" fontId="0" fillId="0" borderId="7" xfId="0" applyBorder="1"/>
    <xf numFmtId="0" fontId="0" fillId="0" borderId="8" xfId="0" applyBorder="1"/>
    <xf numFmtId="0" fontId="11" fillId="0" borderId="8" xfId="0" applyFont="1" applyBorder="1" applyAlignment="1">
      <alignment horizontal="left" vertical="center"/>
    </xf>
    <xf numFmtId="4" fontId="11" fillId="0" borderId="8" xfId="0" applyNumberFormat="1" applyFont="1" applyBorder="1" applyAlignment="1">
      <alignment horizontal="right" vertical="center"/>
    </xf>
    <xf numFmtId="0" fontId="0" fillId="3" borderId="8" xfId="0" applyFill="1" applyBorder="1" applyProtection="1">
      <protection locked="0"/>
    </xf>
    <xf numFmtId="0" fontId="0" fillId="0" borderId="9" xfId="0" applyBorder="1"/>
    <xf numFmtId="4" fontId="4" fillId="0" borderId="76" xfId="0" applyNumberFormat="1" applyFont="1" applyBorder="1" applyAlignment="1">
      <alignment horizontal="right" vertical="center"/>
    </xf>
    <xf numFmtId="0" fontId="10" fillId="0" borderId="0" xfId="0" applyFont="1" applyAlignment="1">
      <alignment horizontal="left" vertical="center"/>
    </xf>
    <xf numFmtId="0" fontId="18" fillId="0" borderId="76" xfId="1" applyFont="1" applyAlignment="1">
      <alignment vertical="top"/>
    </xf>
    <xf numFmtId="0" fontId="18" fillId="0" borderId="76" xfId="1" applyFont="1" applyAlignment="1">
      <alignment horizontal="center" vertical="top"/>
    </xf>
    <xf numFmtId="0" fontId="18" fillId="0" borderId="76" xfId="1" applyFont="1" applyAlignment="1">
      <alignment horizontal="right" vertical="center" indent="1"/>
    </xf>
    <xf numFmtId="164" fontId="20" fillId="0" borderId="80" xfId="2" applyNumberFormat="1" applyFont="1" applyBorder="1" applyAlignment="1">
      <alignment horizontal="centerContinuous"/>
    </xf>
    <xf numFmtId="164" fontId="20" fillId="0" borderId="81" xfId="2" applyNumberFormat="1" applyFont="1" applyBorder="1" applyAlignment="1">
      <alignment horizontal="centerContinuous"/>
    </xf>
    <xf numFmtId="1" fontId="20" fillId="0" borderId="80" xfId="2" applyNumberFormat="1" applyFont="1" applyBorder="1" applyAlignment="1">
      <alignment horizontal="centerContinuous"/>
    </xf>
    <xf numFmtId="1" fontId="20" fillId="0" borderId="81" xfId="2" applyNumberFormat="1" applyFont="1" applyBorder="1" applyAlignment="1">
      <alignment horizontal="centerContinuous"/>
    </xf>
    <xf numFmtId="164" fontId="20" fillId="0" borderId="85" xfId="2" applyNumberFormat="1" applyFont="1" applyBorder="1" applyAlignment="1">
      <alignment horizontal="center"/>
    </xf>
    <xf numFmtId="1" fontId="20" fillId="0" borderId="85" xfId="2" applyNumberFormat="1" applyFont="1" applyBorder="1" applyAlignment="1">
      <alignment horizontal="center"/>
    </xf>
    <xf numFmtId="0" fontId="18" fillId="0" borderId="76" xfId="1" applyFont="1" applyAlignment="1">
      <alignment horizontal="center" vertical="top" wrapText="1"/>
    </xf>
    <xf numFmtId="1" fontId="18" fillId="0" borderId="80" xfId="1" applyNumberFormat="1" applyFont="1" applyBorder="1" applyAlignment="1">
      <alignment horizontal="center" vertical="top" wrapText="1"/>
    </xf>
    <xf numFmtId="165" fontId="18" fillId="0" borderId="86" xfId="1" applyNumberFormat="1" applyFont="1" applyBorder="1" applyAlignment="1">
      <alignment horizontal="center" vertical="top" wrapText="1"/>
    </xf>
    <xf numFmtId="1" fontId="18" fillId="0" borderId="86" xfId="1" applyNumberFormat="1" applyFont="1" applyBorder="1" applyAlignment="1">
      <alignment vertical="top"/>
    </xf>
    <xf numFmtId="1" fontId="18" fillId="0" borderId="81" xfId="1" applyNumberFormat="1" applyFont="1" applyBorder="1" applyAlignment="1">
      <alignment vertical="top"/>
    </xf>
    <xf numFmtId="0" fontId="21" fillId="6" borderId="80" xfId="1" applyFont="1" applyFill="1" applyBorder="1" applyAlignment="1" applyProtection="1">
      <alignment horizontal="left" vertical="center" wrapText="1" indent="1"/>
      <protection locked="0"/>
    </xf>
    <xf numFmtId="0" fontId="21" fillId="6" borderId="86" xfId="1" applyFont="1" applyFill="1" applyBorder="1" applyAlignment="1" applyProtection="1">
      <alignment horizontal="left" vertical="center" wrapText="1" indent="1"/>
      <protection locked="0"/>
    </xf>
    <xf numFmtId="0" fontId="21" fillId="6" borderId="86" xfId="1" applyFont="1" applyFill="1" applyBorder="1" applyAlignment="1" applyProtection="1">
      <alignment vertical="center" wrapText="1"/>
      <protection locked="0"/>
    </xf>
    <xf numFmtId="0" fontId="21" fillId="6" borderId="81" xfId="1" applyFont="1" applyFill="1" applyBorder="1" applyAlignment="1" applyProtection="1">
      <alignment vertical="center" wrapText="1"/>
      <protection locked="0"/>
    </xf>
    <xf numFmtId="0" fontId="18" fillId="0" borderId="76" xfId="1" applyFont="1" applyAlignment="1">
      <alignment horizontal="left" vertical="center" indent="3"/>
    </xf>
    <xf numFmtId="0" fontId="18" fillId="6" borderId="80" xfId="1" applyFont="1" applyFill="1" applyBorder="1" applyAlignment="1" applyProtection="1">
      <alignment vertical="center" wrapText="1"/>
      <protection locked="0"/>
    </xf>
    <xf numFmtId="164" fontId="21" fillId="6" borderId="86" xfId="1" applyNumberFormat="1" applyFont="1" applyFill="1" applyBorder="1" applyAlignment="1" applyProtection="1">
      <alignment horizontal="right" vertical="center" wrapText="1" indent="1"/>
      <protection locked="0"/>
    </xf>
    <xf numFmtId="0" fontId="18" fillId="0" borderId="89" xfId="1" applyFont="1" applyBorder="1" applyAlignment="1" applyProtection="1">
      <alignment horizontal="left" wrapText="1" indent="1"/>
      <protection locked="0"/>
    </xf>
    <xf numFmtId="0" fontId="23" fillId="0" borderId="76" xfId="1" applyFont="1" applyAlignment="1">
      <alignment wrapText="1"/>
    </xf>
    <xf numFmtId="0" fontId="23" fillId="0" borderId="76" xfId="1" applyFont="1" applyAlignment="1">
      <alignment vertical="top"/>
    </xf>
    <xf numFmtId="3" fontId="18" fillId="0" borderId="90" xfId="1" applyNumberFormat="1" applyFont="1" applyBorder="1" applyAlignment="1">
      <alignment horizontal="right" vertical="top" indent="1"/>
    </xf>
    <xf numFmtId="3" fontId="18" fillId="0" borderId="91" xfId="1" applyNumberFormat="1" applyFont="1" applyBorder="1" applyAlignment="1">
      <alignment horizontal="right" vertical="top" indent="1"/>
    </xf>
    <xf numFmtId="3" fontId="18" fillId="0" borderId="90" xfId="1" applyNumberFormat="1" applyFont="1" applyBorder="1" applyAlignment="1">
      <alignment horizontal="right" indent="1"/>
    </xf>
    <xf numFmtId="3" fontId="18" fillId="0" borderId="91" xfId="1" applyNumberFormat="1" applyFont="1" applyBorder="1" applyAlignment="1">
      <alignment horizontal="right" indent="1"/>
    </xf>
    <xf numFmtId="0" fontId="18" fillId="0" borderId="76" xfId="1" applyFont="1" applyAlignment="1" applyProtection="1">
      <alignment horizontal="left" vertical="center" wrapText="1" indent="2"/>
      <protection locked="0"/>
    </xf>
    <xf numFmtId="3" fontId="18" fillId="0" borderId="95" xfId="1" applyNumberFormat="1" applyFont="1" applyBorder="1" applyAlignment="1">
      <alignment horizontal="right" indent="1"/>
    </xf>
    <xf numFmtId="3" fontId="18" fillId="0" borderId="96" xfId="1" applyNumberFormat="1" applyFont="1" applyBorder="1" applyAlignment="1">
      <alignment horizontal="right" indent="1"/>
    </xf>
    <xf numFmtId="0" fontId="18" fillId="0" borderId="89" xfId="1" applyFont="1" applyBorder="1" applyAlignment="1">
      <alignment horizontal="center" vertical="top"/>
    </xf>
    <xf numFmtId="3" fontId="18" fillId="0" borderId="97" xfId="1" applyNumberFormat="1" applyFont="1" applyBorder="1" applyAlignment="1">
      <alignment horizontal="right" indent="1"/>
    </xf>
    <xf numFmtId="3" fontId="18" fillId="0" borderId="98" xfId="1" applyNumberFormat="1" applyFont="1" applyBorder="1" applyAlignment="1">
      <alignment horizontal="right" indent="1"/>
    </xf>
    <xf numFmtId="3" fontId="18" fillId="0" borderId="99" xfId="1" applyNumberFormat="1" applyFont="1" applyBorder="1" applyAlignment="1">
      <alignment horizontal="right" indent="1"/>
    </xf>
    <xf numFmtId="3" fontId="18" fillId="0" borderId="100" xfId="1" applyNumberFormat="1" applyFont="1" applyBorder="1" applyAlignment="1">
      <alignment horizontal="right" indent="1"/>
    </xf>
    <xf numFmtId="0" fontId="18" fillId="0" borderId="95" xfId="1" applyFont="1" applyBorder="1" applyAlignment="1">
      <alignment horizontal="center" wrapText="1"/>
    </xf>
    <xf numFmtId="0" fontId="18" fillId="0" borderId="101" xfId="1" applyFont="1" applyBorder="1" applyAlignment="1" applyProtection="1">
      <alignment wrapText="1"/>
      <protection locked="0"/>
    </xf>
    <xf numFmtId="0" fontId="18" fillId="0" borderId="76" xfId="1" applyFont="1" applyAlignment="1">
      <alignment horizontal="center"/>
    </xf>
    <xf numFmtId="0" fontId="18" fillId="0" borderId="96" xfId="1" applyFont="1" applyBorder="1" applyAlignment="1">
      <alignment horizontal="center"/>
    </xf>
    <xf numFmtId="3" fontId="21" fillId="6" borderId="80" xfId="1" applyNumberFormat="1" applyFont="1" applyFill="1" applyBorder="1" applyAlignment="1" applyProtection="1">
      <alignment vertical="center" wrapText="1"/>
      <protection locked="0"/>
    </xf>
    <xf numFmtId="3" fontId="21" fillId="6" borderId="86" xfId="1" applyNumberFormat="1" applyFont="1" applyFill="1" applyBorder="1" applyAlignment="1" applyProtection="1">
      <alignment vertical="center" wrapText="1"/>
      <protection locked="0"/>
    </xf>
    <xf numFmtId="49" fontId="18" fillId="0" borderId="90" xfId="1" applyNumberFormat="1" applyFont="1" applyBorder="1" applyAlignment="1">
      <alignment horizontal="left" vertical="top" wrapText="1" indent="1"/>
    </xf>
    <xf numFmtId="0" fontId="18" fillId="0" borderId="89" xfId="1" applyFont="1" applyBorder="1" applyAlignment="1">
      <alignment horizontal="left" vertical="top" wrapText="1" indent="1"/>
    </xf>
    <xf numFmtId="0" fontId="18" fillId="0" borderId="102" xfId="1" applyFont="1" applyBorder="1" applyAlignment="1">
      <alignment horizontal="center" vertical="top"/>
    </xf>
    <xf numFmtId="0" fontId="18" fillId="0" borderId="103" xfId="1" applyFont="1" applyBorder="1" applyAlignment="1">
      <alignment horizontal="right" vertical="top" indent="1"/>
    </xf>
    <xf numFmtId="0" fontId="18" fillId="0" borderId="89" xfId="1" applyFont="1" applyBorder="1" applyAlignment="1">
      <alignment horizontal="left" vertical="center" wrapText="1" indent="1"/>
    </xf>
    <xf numFmtId="0" fontId="18" fillId="0" borderId="91" xfId="1" applyFont="1" applyBorder="1" applyAlignment="1">
      <alignment horizontal="right" vertical="top" indent="1"/>
    </xf>
    <xf numFmtId="49" fontId="18" fillId="0" borderId="95" xfId="1" applyNumberFormat="1" applyFont="1" applyBorder="1" applyAlignment="1">
      <alignment horizontal="center" vertical="top"/>
    </xf>
    <xf numFmtId="0" fontId="22" fillId="0" borderId="104" xfId="1" applyFont="1" applyBorder="1" applyAlignment="1" applyProtection="1">
      <alignment wrapText="1"/>
      <protection locked="0"/>
    </xf>
    <xf numFmtId="0" fontId="18" fillId="0" borderId="104" xfId="1" applyFont="1" applyBorder="1" applyAlignment="1">
      <alignment horizontal="center" vertical="top"/>
    </xf>
    <xf numFmtId="0" fontId="18" fillId="0" borderId="105" xfId="1" applyFont="1" applyBorder="1" applyAlignment="1">
      <alignment horizontal="right" vertical="center" indent="1"/>
    </xf>
    <xf numFmtId="0" fontId="18" fillId="0" borderId="95" xfId="1" applyFont="1" applyBorder="1" applyAlignment="1">
      <alignment horizontal="right" vertical="center" indent="1"/>
    </xf>
    <xf numFmtId="0" fontId="25" fillId="0" borderId="76" xfId="1" applyFont="1"/>
    <xf numFmtId="0" fontId="18" fillId="0" borderId="99" xfId="1" applyFont="1" applyBorder="1" applyAlignment="1">
      <alignment horizontal="center" wrapText="1"/>
    </xf>
    <xf numFmtId="0" fontId="18" fillId="0" borderId="106" xfId="1" applyFont="1" applyBorder="1" applyAlignment="1" applyProtection="1">
      <alignment wrapText="1"/>
      <protection locked="0"/>
    </xf>
    <xf numFmtId="0" fontId="18" fillId="0" borderId="106" xfId="1" applyFont="1" applyBorder="1" applyAlignment="1">
      <alignment horizontal="center"/>
    </xf>
    <xf numFmtId="0" fontId="18" fillId="0" borderId="100" xfId="1" applyFont="1" applyBorder="1" applyAlignment="1">
      <alignment horizontal="right" vertical="center" indent="1"/>
    </xf>
    <xf numFmtId="0" fontId="18" fillId="0" borderId="93" xfId="1" applyFont="1" applyBorder="1" applyAlignment="1">
      <alignment horizontal="left" vertical="center" wrapText="1" indent="1"/>
    </xf>
    <xf numFmtId="0" fontId="18" fillId="0" borderId="107" xfId="1" applyFont="1" applyBorder="1" applyAlignment="1">
      <alignment horizontal="center" wrapText="1"/>
    </xf>
    <xf numFmtId="0" fontId="18" fillId="0" borderId="101" xfId="1" applyFont="1" applyBorder="1" applyAlignment="1">
      <alignment horizontal="center"/>
    </xf>
    <xf numFmtId="0" fontId="18" fillId="0" borderId="108" xfId="1" applyFont="1" applyBorder="1" applyAlignment="1">
      <alignment horizontal="center"/>
    </xf>
    <xf numFmtId="0" fontId="18" fillId="0" borderId="89" xfId="1" applyFont="1" applyBorder="1" applyAlignment="1" applyProtection="1">
      <alignment horizontal="left" vertical="center" wrapText="1" indent="1"/>
      <protection locked="0"/>
    </xf>
    <xf numFmtId="0" fontId="18" fillId="0" borderId="89" xfId="1" applyFont="1" applyBorder="1" applyAlignment="1">
      <alignment horizontal="center" vertical="center"/>
    </xf>
    <xf numFmtId="3" fontId="18" fillId="0" borderId="91" xfId="1" applyNumberFormat="1" applyFont="1" applyBorder="1" applyAlignment="1">
      <alignment horizontal="right" vertical="center" indent="1"/>
    </xf>
    <xf numFmtId="0" fontId="18" fillId="0" borderId="89" xfId="1" applyFont="1" applyBorder="1" applyAlignment="1">
      <alignment horizontal="center"/>
    </xf>
    <xf numFmtId="0" fontId="18" fillId="0" borderId="76" xfId="1" applyFont="1" applyAlignment="1" applyProtection="1">
      <alignment wrapText="1"/>
      <protection locked="0"/>
    </xf>
    <xf numFmtId="49" fontId="18" fillId="0" borderId="90" xfId="1" applyNumberFormat="1" applyFont="1" applyBorder="1" applyAlignment="1">
      <alignment horizontal="left" vertical="top" indent="1"/>
    </xf>
    <xf numFmtId="17" fontId="18" fillId="0" borderId="89" xfId="1" applyNumberFormat="1" applyFont="1" applyBorder="1" applyAlignment="1">
      <alignment horizontal="left" vertical="center" wrapText="1" indent="1"/>
    </xf>
    <xf numFmtId="2" fontId="18" fillId="0" borderId="89" xfId="1" applyNumberFormat="1" applyFont="1" applyBorder="1" applyAlignment="1">
      <alignment horizontal="left" vertical="top" wrapText="1" indent="1"/>
    </xf>
    <xf numFmtId="3" fontId="18" fillId="0" borderId="109" xfId="1" applyNumberFormat="1" applyFont="1" applyBorder="1" applyAlignment="1">
      <alignment horizontal="right" vertical="center" indent="1"/>
    </xf>
    <xf numFmtId="0" fontId="18" fillId="0" borderId="93" xfId="1" applyFont="1" applyBorder="1" applyAlignment="1">
      <alignment horizontal="left" vertical="top" wrapText="1" indent="1"/>
    </xf>
    <xf numFmtId="3" fontId="18" fillId="0" borderId="110" xfId="1" applyNumberFormat="1" applyFont="1" applyBorder="1" applyAlignment="1">
      <alignment horizontal="right" vertical="top" indent="1"/>
    </xf>
    <xf numFmtId="0" fontId="18" fillId="0" borderId="89" xfId="1" applyFont="1" applyBorder="1" applyAlignment="1">
      <alignment horizontal="left" vertical="center" indent="1"/>
    </xf>
    <xf numFmtId="49" fontId="18" fillId="0" borderId="77" xfId="1" applyNumberFormat="1" applyFont="1" applyBorder="1" applyAlignment="1">
      <alignment horizontal="left" vertical="top" indent="1"/>
    </xf>
    <xf numFmtId="0" fontId="18" fillId="0" borderId="78" xfId="1" applyFont="1" applyBorder="1" applyAlignment="1">
      <alignment horizontal="left" vertical="center" indent="1"/>
    </xf>
    <xf numFmtId="0" fontId="18" fillId="0" borderId="78" xfId="1" applyFont="1" applyBorder="1" applyAlignment="1">
      <alignment horizontal="center"/>
    </xf>
    <xf numFmtId="3" fontId="18" fillId="0" borderId="79" xfId="1" applyNumberFormat="1" applyFont="1" applyBorder="1" applyAlignment="1">
      <alignment horizontal="right" vertical="center" indent="1"/>
    </xf>
    <xf numFmtId="49" fontId="18" fillId="0" borderId="82" xfId="1" applyNumberFormat="1" applyFont="1" applyBorder="1" applyAlignment="1">
      <alignment horizontal="left" vertical="top" indent="1"/>
    </xf>
    <xf numFmtId="0" fontId="18" fillId="0" borderId="83" xfId="1" applyFont="1" applyBorder="1" applyAlignment="1">
      <alignment horizontal="left" vertical="center" indent="1"/>
    </xf>
    <xf numFmtId="0" fontId="18" fillId="0" borderId="83" xfId="1" applyFont="1" applyBorder="1" applyAlignment="1">
      <alignment horizontal="center"/>
    </xf>
    <xf numFmtId="3" fontId="18" fillId="0" borderId="84" xfId="1" applyNumberFormat="1" applyFont="1" applyBorder="1" applyAlignment="1">
      <alignment horizontal="right" vertical="center" indent="1"/>
    </xf>
    <xf numFmtId="49" fontId="18" fillId="0" borderId="76" xfId="1" applyNumberFormat="1" applyFont="1" applyAlignment="1">
      <alignment horizontal="left" vertical="top" indent="1"/>
    </xf>
    <xf numFmtId="0" fontId="18" fillId="0" borderId="76" xfId="1" applyFont="1" applyAlignment="1">
      <alignment horizontal="left" vertical="center" indent="1"/>
    </xf>
    <xf numFmtId="3" fontId="18" fillId="0" borderId="76" xfId="1" applyNumberFormat="1" applyFont="1" applyAlignment="1">
      <alignment horizontal="right" vertical="center" indent="1"/>
    </xf>
    <xf numFmtId="3" fontId="18" fillId="0" borderId="76" xfId="1" applyNumberFormat="1" applyFont="1" applyAlignment="1">
      <alignment horizontal="right" vertical="top" indent="1"/>
    </xf>
    <xf numFmtId="49" fontId="26" fillId="0" borderId="76" xfId="1" applyNumberFormat="1" applyFont="1" applyAlignment="1">
      <alignment horizontal="left" vertical="center"/>
    </xf>
    <xf numFmtId="0" fontId="18" fillId="0" borderId="76" xfId="1" applyFont="1"/>
    <xf numFmtId="0" fontId="26" fillId="0" borderId="76" xfId="1" applyFont="1" applyAlignment="1">
      <alignment horizontal="left" vertical="top" wrapText="1"/>
    </xf>
    <xf numFmtId="0" fontId="28" fillId="7" borderId="112" xfId="3" applyFill="1" applyBorder="1" applyAlignment="1">
      <alignment horizontal="justify" vertical="top" wrapText="1"/>
    </xf>
    <xf numFmtId="0" fontId="28" fillId="7" borderId="112" xfId="3" applyFill="1" applyBorder="1" applyAlignment="1">
      <alignment horizontal="center"/>
    </xf>
    <xf numFmtId="4" fontId="0" fillId="7" borderId="85" xfId="4" applyNumberFormat="1" applyFont="1" applyFill="1" applyBorder="1" applyAlignment="1" applyProtection="1">
      <alignment horizontal="center" vertical="center"/>
    </xf>
    <xf numFmtId="0" fontId="28" fillId="0" borderId="76" xfId="3"/>
    <xf numFmtId="49" fontId="28" fillId="7" borderId="113" xfId="3" applyNumberFormat="1" applyFill="1" applyBorder="1" applyAlignment="1">
      <alignment horizontal="center" vertical="center"/>
    </xf>
    <xf numFmtId="49" fontId="28" fillId="7" borderId="76" xfId="3" applyNumberFormat="1" applyFill="1" applyAlignment="1">
      <alignment horizontal="center" vertical="top"/>
    </xf>
    <xf numFmtId="0" fontId="29" fillId="8" borderId="95" xfId="3" applyFont="1" applyFill="1" applyBorder="1" applyAlignment="1">
      <alignment horizontal="center" vertical="center" wrapText="1"/>
    </xf>
    <xf numFmtId="0" fontId="28" fillId="7" borderId="114" xfId="3" applyFill="1" applyBorder="1" applyAlignment="1">
      <alignment horizontal="center"/>
    </xf>
    <xf numFmtId="49" fontId="28" fillId="7" borderId="115" xfId="3" applyNumberFormat="1" applyFill="1" applyBorder="1" applyAlignment="1">
      <alignment horizontal="center" vertical="center"/>
    </xf>
    <xf numFmtId="49" fontId="28" fillId="7" borderId="116" xfId="3" applyNumberFormat="1" applyFill="1" applyBorder="1" applyAlignment="1">
      <alignment horizontal="center" vertical="top"/>
    </xf>
    <xf numFmtId="0" fontId="30" fillId="7" borderId="117" xfId="3" applyFont="1" applyFill="1" applyBorder="1" applyAlignment="1">
      <alignment horizontal="justify" vertical="top" wrapText="1"/>
    </xf>
    <xf numFmtId="0" fontId="28" fillId="7" borderId="117" xfId="3" applyFill="1" applyBorder="1" applyAlignment="1">
      <alignment horizontal="center"/>
    </xf>
    <xf numFmtId="3" fontId="0" fillId="7" borderId="85" xfId="4" applyNumberFormat="1" applyFont="1" applyFill="1" applyBorder="1" applyAlignment="1" applyProtection="1">
      <alignment horizontal="center" vertical="center"/>
    </xf>
    <xf numFmtId="49" fontId="28" fillId="7" borderId="118" xfId="3" applyNumberFormat="1" applyFill="1" applyBorder="1" applyAlignment="1">
      <alignment horizontal="center" vertical="center"/>
    </xf>
    <xf numFmtId="49" fontId="28" fillId="7" borderId="119" xfId="3" applyNumberFormat="1" applyFill="1" applyBorder="1" applyAlignment="1">
      <alignment horizontal="center" vertical="top"/>
    </xf>
    <xf numFmtId="0" fontId="28" fillId="7" borderId="119" xfId="3" applyFill="1" applyBorder="1" applyAlignment="1">
      <alignment horizontal="center" vertical="top" wrapText="1"/>
    </xf>
    <xf numFmtId="0" fontId="28" fillId="7" borderId="119" xfId="3" applyFill="1" applyBorder="1" applyAlignment="1">
      <alignment horizontal="center"/>
    </xf>
    <xf numFmtId="3" fontId="0" fillId="7" borderId="119" xfId="4" applyNumberFormat="1" applyFont="1" applyFill="1" applyBorder="1" applyAlignment="1" applyProtection="1">
      <alignment horizontal="center" vertical="center"/>
    </xf>
    <xf numFmtId="0" fontId="28" fillId="0" borderId="120" xfId="3" applyBorder="1" applyAlignment="1">
      <alignment vertical="center"/>
    </xf>
    <xf numFmtId="0" fontId="28" fillId="0" borderId="121" xfId="3" applyBorder="1" applyAlignment="1">
      <alignment horizontal="center"/>
    </xf>
    <xf numFmtId="0" fontId="28" fillId="0" borderId="121" xfId="3" applyBorder="1"/>
    <xf numFmtId="2" fontId="28" fillId="0" borderId="121" xfId="3" applyNumberFormat="1" applyBorder="1"/>
    <xf numFmtId="0" fontId="31" fillId="0" borderId="122" xfId="3" applyFont="1" applyBorder="1"/>
    <xf numFmtId="49" fontId="31" fillId="0" borderId="123" xfId="3" applyNumberFormat="1" applyFont="1" applyBorder="1" applyAlignment="1">
      <alignment horizontal="center"/>
    </xf>
    <xf numFmtId="0" fontId="31" fillId="0" borderId="124" xfId="3" applyFont="1" applyBorder="1"/>
    <xf numFmtId="49" fontId="31" fillId="0" borderId="109" xfId="3" applyNumberFormat="1" applyFont="1" applyBorder="1" applyAlignment="1">
      <alignment horizontal="center"/>
    </xf>
    <xf numFmtId="0" fontId="31" fillId="0" borderId="125" xfId="3" applyFont="1" applyBorder="1"/>
    <xf numFmtId="49" fontId="31" fillId="0" borderId="126" xfId="3" applyNumberFormat="1" applyFont="1" applyBorder="1" applyAlignment="1">
      <alignment horizontal="center"/>
    </xf>
    <xf numFmtId="0" fontId="31" fillId="0" borderId="127" xfId="3" applyFont="1" applyBorder="1"/>
    <xf numFmtId="49" fontId="31" fillId="0" borderId="85" xfId="3" applyNumberFormat="1" applyFont="1" applyBorder="1" applyAlignment="1">
      <alignment horizontal="center"/>
    </xf>
    <xf numFmtId="0" fontId="33" fillId="0" borderId="85" xfId="3" applyFont="1" applyBorder="1"/>
    <xf numFmtId="0" fontId="31" fillId="0" borderId="85" xfId="3" applyFont="1" applyBorder="1" applyAlignment="1">
      <alignment horizontal="center"/>
    </xf>
    <xf numFmtId="2" fontId="31" fillId="0" borderId="85" xfId="3" applyNumberFormat="1" applyFont="1" applyBorder="1"/>
    <xf numFmtId="0" fontId="31" fillId="0" borderId="85" xfId="3" applyFont="1" applyBorder="1"/>
    <xf numFmtId="0" fontId="28" fillId="0" borderId="128" xfId="3" applyBorder="1" applyAlignment="1">
      <alignment vertical="center"/>
    </xf>
    <xf numFmtId="0" fontId="28" fillId="0" borderId="129" xfId="3" applyBorder="1" applyAlignment="1">
      <alignment horizontal="center" vertical="center"/>
    </xf>
    <xf numFmtId="0" fontId="34" fillId="0" borderId="130" xfId="3" applyFont="1" applyBorder="1" applyAlignment="1">
      <alignment wrapText="1"/>
    </xf>
    <xf numFmtId="0" fontId="28" fillId="0" borderId="130" xfId="3" applyBorder="1" applyAlignment="1">
      <alignment horizontal="center"/>
    </xf>
    <xf numFmtId="2" fontId="28" fillId="0" borderId="130" xfId="3" applyNumberFormat="1" applyBorder="1"/>
    <xf numFmtId="0" fontId="28" fillId="0" borderId="130" xfId="3" applyBorder="1"/>
    <xf numFmtId="0" fontId="18" fillId="0" borderId="130" xfId="3" applyFont="1" applyBorder="1" applyAlignment="1">
      <alignment vertical="center" wrapText="1"/>
    </xf>
    <xf numFmtId="0" fontId="28" fillId="0" borderId="130" xfId="3" applyBorder="1" applyAlignment="1">
      <alignment horizontal="center" vertical="center"/>
    </xf>
    <xf numFmtId="3" fontId="28" fillId="0" borderId="130" xfId="3" applyNumberFormat="1" applyBorder="1" applyAlignment="1">
      <alignment vertical="center" wrapText="1"/>
    </xf>
    <xf numFmtId="0" fontId="28" fillId="9" borderId="130" xfId="3" applyFill="1" applyBorder="1"/>
    <xf numFmtId="0" fontId="28" fillId="0" borderId="129" xfId="3" applyBorder="1" applyAlignment="1">
      <alignment horizontal="center"/>
    </xf>
    <xf numFmtId="0" fontId="28" fillId="0" borderId="131" xfId="3" applyBorder="1" applyAlignment="1">
      <alignment horizontal="center"/>
    </xf>
    <xf numFmtId="4" fontId="28" fillId="0" borderId="131" xfId="3" applyNumberFormat="1" applyBorder="1" applyAlignment="1">
      <alignment vertical="center" wrapText="1"/>
    </xf>
    <xf numFmtId="0" fontId="28" fillId="10" borderId="132" xfId="3" applyFill="1" applyBorder="1" applyAlignment="1">
      <alignment vertical="center"/>
    </xf>
    <xf numFmtId="0" fontId="28" fillId="10" borderId="133" xfId="3" applyFill="1" applyBorder="1"/>
    <xf numFmtId="0" fontId="34" fillId="10" borderId="133" xfId="3" applyFont="1" applyFill="1" applyBorder="1"/>
    <xf numFmtId="0" fontId="28" fillId="10" borderId="133" xfId="3" applyFill="1" applyBorder="1" applyAlignment="1">
      <alignment horizontal="center"/>
    </xf>
    <xf numFmtId="2" fontId="28" fillId="10" borderId="133" xfId="3" applyNumberFormat="1" applyFill="1" applyBorder="1"/>
    <xf numFmtId="0" fontId="28" fillId="0" borderId="76" xfId="3" applyAlignment="1">
      <alignment vertical="center"/>
    </xf>
    <xf numFmtId="0" fontId="28" fillId="0" borderId="76" xfId="3" applyAlignment="1">
      <alignment horizontal="center"/>
    </xf>
    <xf numFmtId="0" fontId="28" fillId="0" borderId="85" xfId="3" applyBorder="1"/>
    <xf numFmtId="0" fontId="28" fillId="11" borderId="128" xfId="3" applyFill="1" applyBorder="1" applyAlignment="1">
      <alignment vertical="center"/>
    </xf>
    <xf numFmtId="0" fontId="28" fillId="11" borderId="129" xfId="3" applyFill="1" applyBorder="1" applyAlignment="1">
      <alignment horizontal="center" vertical="center"/>
    </xf>
    <xf numFmtId="0" fontId="34" fillId="11" borderId="130" xfId="3" applyFont="1" applyFill="1" applyBorder="1" applyAlignment="1">
      <alignment wrapText="1"/>
    </xf>
    <xf numFmtId="0" fontId="28" fillId="11" borderId="130" xfId="3" applyFill="1" applyBorder="1" applyAlignment="1">
      <alignment horizontal="center"/>
    </xf>
    <xf numFmtId="2" fontId="28" fillId="11" borderId="130" xfId="3" applyNumberFormat="1" applyFill="1" applyBorder="1"/>
    <xf numFmtId="0" fontId="28" fillId="11" borderId="85" xfId="3" applyFill="1" applyBorder="1"/>
    <xf numFmtId="0" fontId="28" fillId="9" borderId="85" xfId="3" applyFill="1" applyBorder="1"/>
    <xf numFmtId="0" fontId="28" fillId="10" borderId="134" xfId="3" applyFill="1" applyBorder="1"/>
    <xf numFmtId="0" fontId="36" fillId="0" borderId="135" xfId="5" applyFont="1" applyBorder="1" applyAlignment="1" applyProtection="1">
      <alignment vertical="center"/>
      <protection locked="0" hidden="1"/>
    </xf>
    <xf numFmtId="0" fontId="36" fillId="0" borderId="136" xfId="5" applyFont="1" applyBorder="1" applyAlignment="1" applyProtection="1">
      <alignment vertical="center"/>
      <protection locked="0" hidden="1"/>
    </xf>
    <xf numFmtId="0" fontId="36" fillId="0" borderId="137" xfId="5" applyFont="1" applyBorder="1" applyAlignment="1" applyProtection="1">
      <alignment vertical="center"/>
      <protection locked="0" hidden="1"/>
    </xf>
    <xf numFmtId="0" fontId="37" fillId="0" borderId="136" xfId="5" applyFont="1" applyBorder="1" applyAlignment="1" applyProtection="1">
      <alignment vertical="center"/>
      <protection locked="0" hidden="1"/>
    </xf>
    <xf numFmtId="0" fontId="37" fillId="0" borderId="138" xfId="5" applyFont="1" applyBorder="1" applyAlignment="1" applyProtection="1">
      <alignment vertical="center"/>
      <protection locked="0" hidden="1"/>
    </xf>
    <xf numFmtId="0" fontId="35" fillId="0" borderId="76" xfId="5" applyBorder="1" applyAlignment="1">
      <alignment horizontal="left"/>
    </xf>
    <xf numFmtId="0" fontId="35" fillId="0" borderId="76" xfId="5" applyBorder="1"/>
    <xf numFmtId="0" fontId="38" fillId="0" borderId="139" xfId="5" applyFont="1" applyBorder="1" applyProtection="1">
      <protection locked="0" hidden="1"/>
    </xf>
    <xf numFmtId="0" fontId="38" fillId="0" borderId="86" xfId="5" applyFont="1" applyBorder="1" applyProtection="1">
      <protection locked="0" hidden="1"/>
    </xf>
    <xf numFmtId="0" fontId="38" fillId="0" borderId="81" xfId="5" applyFont="1" applyBorder="1" applyProtection="1">
      <protection locked="0" hidden="1"/>
    </xf>
    <xf numFmtId="0" fontId="38" fillId="0" borderId="140" xfId="5" applyFont="1" applyBorder="1" applyProtection="1">
      <protection locked="0" hidden="1"/>
    </xf>
    <xf numFmtId="49" fontId="39" fillId="6" borderId="127" xfId="5" applyNumberFormat="1" applyFont="1" applyFill="1" applyBorder="1" applyAlignment="1">
      <alignment horizontal="center"/>
    </xf>
    <xf numFmtId="0" fontId="39" fillId="6" borderId="85" xfId="5" applyFont="1" applyFill="1"/>
    <xf numFmtId="0" fontId="39" fillId="6" borderId="81" xfId="5" applyFont="1" applyFill="1" applyBorder="1"/>
    <xf numFmtId="0" fontId="40" fillId="0" borderId="141" xfId="5" applyFont="1" applyBorder="1" applyAlignment="1">
      <alignment horizontal="left" wrapText="1"/>
    </xf>
    <xf numFmtId="0" fontId="41" fillId="0" borderId="76" xfId="5" applyFont="1" applyBorder="1"/>
    <xf numFmtId="0" fontId="41" fillId="0" borderId="96" xfId="5" applyFont="1" applyBorder="1"/>
    <xf numFmtId="0" fontId="42" fillId="0" borderId="76" xfId="5" applyFont="1" applyBorder="1" applyAlignment="1" applyProtection="1">
      <alignment horizontal="right"/>
      <protection locked="0" hidden="1"/>
    </xf>
    <xf numFmtId="44" fontId="43" fillId="0" borderId="85" xfId="6" applyFont="1" applyBorder="1" applyAlignment="1">
      <alignment vertical="center"/>
    </xf>
    <xf numFmtId="0" fontId="39" fillId="0" borderId="106" xfId="5" applyFont="1" applyBorder="1" applyAlignment="1">
      <alignment wrapText="1"/>
    </xf>
    <xf numFmtId="49" fontId="44" fillId="0" borderId="127" xfId="7" applyNumberFormat="1" applyFont="1" applyBorder="1" applyAlignment="1">
      <alignment horizontal="center" vertical="center"/>
    </xf>
    <xf numFmtId="0" fontId="45" fillId="0" borderId="85" xfId="5" applyFont="1" applyAlignment="1">
      <alignment vertical="center" wrapText="1"/>
    </xf>
    <xf numFmtId="0" fontId="45" fillId="0" borderId="85" xfId="5" applyFont="1" applyAlignment="1">
      <alignment vertical="center"/>
    </xf>
    <xf numFmtId="0" fontId="45" fillId="0" borderId="85" xfId="5" applyFont="1" applyAlignment="1">
      <alignment horizontal="center" vertical="center"/>
    </xf>
    <xf numFmtId="0" fontId="45" fillId="0" borderId="85" xfId="5" applyFont="1"/>
    <xf numFmtId="0" fontId="46" fillId="0" borderId="85" xfId="5" applyFont="1" applyAlignment="1">
      <alignment wrapText="1"/>
    </xf>
    <xf numFmtId="0" fontId="46" fillId="0" borderId="85" xfId="5" applyFont="1"/>
    <xf numFmtId="0" fontId="46" fillId="0" borderId="85" xfId="5" applyFont="1" applyAlignment="1">
      <alignment vertical="center"/>
    </xf>
    <xf numFmtId="0" fontId="46" fillId="0" borderId="85" xfId="5" applyFont="1" applyAlignment="1">
      <alignment vertical="center" wrapText="1"/>
    </xf>
    <xf numFmtId="0" fontId="43" fillId="0" borderId="85" xfId="5" applyFont="1" applyAlignment="1" applyProtection="1">
      <alignment horizontal="left" vertical="center"/>
      <protection locked="0" hidden="1"/>
    </xf>
    <xf numFmtId="49" fontId="45" fillId="0" borderId="127" xfId="5" applyNumberFormat="1" applyFont="1" applyBorder="1" applyAlignment="1">
      <alignment horizontal="center"/>
    </xf>
    <xf numFmtId="44" fontId="17" fillId="0" borderId="85" xfId="6" applyFont="1" applyBorder="1" applyAlignment="1">
      <alignment vertical="center"/>
    </xf>
    <xf numFmtId="1" fontId="45" fillId="0" borderId="85" xfId="5" applyNumberFormat="1" applyFont="1" applyAlignment="1">
      <alignment horizontal="center"/>
    </xf>
    <xf numFmtId="0" fontId="43" fillId="0" borderId="85" xfId="5" applyFont="1" applyAlignment="1">
      <alignment horizontal="left" wrapText="1"/>
    </xf>
    <xf numFmtId="1" fontId="45" fillId="0" borderId="85" xfId="5" applyNumberFormat="1" applyFont="1" applyAlignment="1">
      <alignment horizontal="center" vertical="center"/>
    </xf>
    <xf numFmtId="0" fontId="47" fillId="0" borderId="85" xfId="5" applyFont="1" applyAlignment="1">
      <alignment wrapText="1"/>
    </xf>
    <xf numFmtId="49" fontId="45" fillId="0" borderId="127" xfId="5" applyNumberFormat="1" applyFont="1" applyBorder="1" applyAlignment="1">
      <alignment horizontal="center" vertical="center"/>
    </xf>
    <xf numFmtId="0" fontId="47" fillId="0" borderId="85" xfId="5" applyFont="1" applyAlignment="1">
      <alignment vertical="center" wrapText="1"/>
    </xf>
    <xf numFmtId="0" fontId="45" fillId="0" borderId="85" xfId="5" applyFont="1" applyAlignment="1">
      <alignment horizontal="center"/>
    </xf>
    <xf numFmtId="49" fontId="48" fillId="0" borderId="127" xfId="7" applyNumberFormat="1" applyFont="1" applyBorder="1" applyAlignment="1">
      <alignment horizontal="center" vertical="center"/>
    </xf>
    <xf numFmtId="0" fontId="45" fillId="0" borderId="85" xfId="5" applyFont="1" applyAlignment="1">
      <alignment wrapText="1"/>
    </xf>
    <xf numFmtId="0" fontId="45" fillId="0" borderId="85" xfId="5" applyFont="1" applyAlignment="1">
      <alignment horizontal="left" vertical="center"/>
    </xf>
    <xf numFmtId="49" fontId="42" fillId="0" borderId="85" xfId="5" applyNumberFormat="1" applyFont="1" applyAlignment="1">
      <alignment horizontal="center"/>
    </xf>
    <xf numFmtId="0" fontId="42" fillId="0" borderId="85" xfId="5" applyFont="1"/>
    <xf numFmtId="0" fontId="49" fillId="0" borderId="85" xfId="5" applyFont="1" applyAlignment="1">
      <alignment vertical="center" wrapText="1"/>
    </xf>
    <xf numFmtId="49" fontId="42" fillId="0" borderId="146" xfId="5" applyNumberFormat="1" applyFont="1" applyBorder="1" applyAlignment="1">
      <alignment horizontal="center"/>
    </xf>
    <xf numFmtId="0" fontId="47" fillId="0" borderId="146" xfId="5" applyFont="1" applyBorder="1" applyAlignment="1">
      <alignment vertical="center" wrapText="1"/>
    </xf>
    <xf numFmtId="0" fontId="45" fillId="0" borderId="146" xfId="5" applyFont="1" applyBorder="1"/>
    <xf numFmtId="0" fontId="45" fillId="0" borderId="146" xfId="5" applyFont="1" applyBorder="1" applyAlignment="1">
      <alignment horizontal="center"/>
    </xf>
    <xf numFmtId="0" fontId="42" fillId="0" borderId="146" xfId="5" applyFont="1" applyBorder="1"/>
    <xf numFmtId="44" fontId="43" fillId="0" borderId="146" xfId="6" applyFont="1" applyBorder="1" applyAlignment="1">
      <alignment vertical="center"/>
    </xf>
    <xf numFmtId="49" fontId="36" fillId="0" borderId="145" xfId="5" applyNumberFormat="1" applyFont="1" applyBorder="1" applyAlignment="1">
      <alignment horizontal="center"/>
    </xf>
    <xf numFmtId="0" fontId="36" fillId="0" borderId="145" xfId="5" applyFont="1" applyBorder="1"/>
    <xf numFmtId="49" fontId="35" fillId="0" borderId="85" xfId="5" applyNumberFormat="1" applyAlignment="1" applyProtection="1">
      <alignment horizontal="center"/>
      <protection locked="0" hidden="1"/>
    </xf>
    <xf numFmtId="0" fontId="35" fillId="0" borderId="85" xfId="5" applyAlignment="1" applyProtection="1">
      <alignment horizontal="left"/>
      <protection locked="0" hidden="1"/>
    </xf>
    <xf numFmtId="0" fontId="35" fillId="0" borderId="85" xfId="5" applyAlignment="1">
      <alignment horizontal="right"/>
    </xf>
    <xf numFmtId="49" fontId="45" fillId="0" borderId="85" xfId="5" applyNumberFormat="1" applyFont="1" applyAlignment="1">
      <alignment horizontal="center"/>
    </xf>
    <xf numFmtId="44" fontId="43" fillId="0" borderId="85" xfId="6" applyFont="1" applyFill="1" applyBorder="1" applyAlignment="1">
      <alignment vertical="center"/>
    </xf>
    <xf numFmtId="4" fontId="45" fillId="0" borderId="85" xfId="5" applyNumberFormat="1" applyFont="1" applyAlignment="1" applyProtection="1">
      <alignment horizontal="center" vertical="center"/>
      <protection hidden="1"/>
    </xf>
    <xf numFmtId="4" fontId="45" fillId="0" borderId="147" xfId="5" applyNumberFormat="1" applyFont="1" applyBorder="1" applyAlignment="1" applyProtection="1">
      <alignment vertical="center"/>
      <protection hidden="1"/>
    </xf>
    <xf numFmtId="0" fontId="51" fillId="0" borderId="85" xfId="5" applyFont="1" applyAlignment="1">
      <alignment vertical="center" wrapText="1"/>
    </xf>
    <xf numFmtId="0" fontId="43" fillId="0" borderId="85" xfId="5" applyFont="1" applyAlignment="1">
      <alignment horizontal="center" vertical="center"/>
    </xf>
    <xf numFmtId="0" fontId="43" fillId="0" borderId="85" xfId="5" applyFont="1" applyAlignment="1">
      <alignment wrapText="1"/>
    </xf>
    <xf numFmtId="0" fontId="43" fillId="0" borderId="85" xfId="5" applyFont="1"/>
    <xf numFmtId="44" fontId="17" fillId="0" borderId="85" xfId="6" applyFont="1" applyFill="1" applyBorder="1" applyAlignment="1">
      <alignment vertical="center"/>
    </xf>
    <xf numFmtId="44" fontId="52" fillId="0" borderId="85" xfId="6" applyFont="1" applyFill="1" applyBorder="1" applyAlignment="1">
      <alignment vertical="center"/>
    </xf>
    <xf numFmtId="0" fontId="53" fillId="0" borderId="85" xfId="5" applyFont="1"/>
    <xf numFmtId="49" fontId="54" fillId="0" borderId="85" xfId="7" applyNumberFormat="1" applyFont="1" applyAlignment="1">
      <alignment horizontal="left"/>
    </xf>
    <xf numFmtId="0" fontId="52" fillId="0" borderId="85" xfId="5" applyFont="1" applyAlignment="1">
      <alignment horizontal="center" vertical="center"/>
    </xf>
    <xf numFmtId="44" fontId="43" fillId="0" borderId="85" xfId="6" applyFont="1" applyFill="1" applyBorder="1"/>
    <xf numFmtId="44" fontId="17" fillId="0" borderId="85" xfId="6" applyFont="1" applyFill="1" applyBorder="1" applyAlignment="1"/>
    <xf numFmtId="44" fontId="1" fillId="0" borderId="85" xfId="6" applyFont="1" applyFill="1" applyBorder="1" applyAlignment="1"/>
    <xf numFmtId="44" fontId="17" fillId="0" borderId="80" xfId="6" applyFont="1" applyFill="1" applyBorder="1" applyAlignment="1">
      <alignment vertical="center"/>
    </xf>
    <xf numFmtId="44" fontId="17" fillId="0" borderId="81" xfId="6" applyFont="1" applyFill="1" applyBorder="1" applyAlignment="1">
      <alignment vertical="center"/>
    </xf>
    <xf numFmtId="44" fontId="1" fillId="0" borderId="85" xfId="6" applyFont="1" applyFill="1" applyBorder="1" applyAlignment="1">
      <alignment vertical="center"/>
    </xf>
    <xf numFmtId="0" fontId="35" fillId="0" borderId="85" xfId="5"/>
    <xf numFmtId="44" fontId="43" fillId="0" borderId="80" xfId="6" applyFont="1" applyFill="1" applyBorder="1" applyAlignment="1">
      <alignment vertical="center"/>
    </xf>
    <xf numFmtId="44" fontId="43" fillId="0" borderId="85" xfId="6" applyFont="1" applyFill="1" applyBorder="1" applyAlignment="1">
      <alignment horizontal="center" vertical="center"/>
    </xf>
    <xf numFmtId="44" fontId="52" fillId="0" borderId="85" xfId="6" applyFont="1" applyFill="1" applyBorder="1" applyAlignment="1">
      <alignment horizontal="center" vertical="center"/>
    </xf>
    <xf numFmtId="0" fontId="55" fillId="0" borderId="85" xfId="5" applyFont="1" applyAlignment="1">
      <alignment horizontal="center" vertical="center" wrapText="1"/>
    </xf>
    <xf numFmtId="0" fontId="56" fillId="0" borderId="85" xfId="5" applyFont="1" applyAlignment="1">
      <alignment vertical="center" wrapText="1"/>
    </xf>
    <xf numFmtId="4" fontId="45" fillId="0" borderId="85" xfId="5" applyNumberFormat="1" applyFont="1" applyAlignment="1" applyProtection="1">
      <alignment horizontal="right" vertical="center"/>
      <protection hidden="1"/>
    </xf>
    <xf numFmtId="4" fontId="45" fillId="0" borderId="85" xfId="5" applyNumberFormat="1" applyFont="1" applyAlignment="1" applyProtection="1">
      <alignment vertical="center"/>
      <protection hidden="1"/>
    </xf>
    <xf numFmtId="0" fontId="43" fillId="0" borderId="85" xfId="5" applyFont="1" applyAlignment="1">
      <alignment vertical="center"/>
    </xf>
    <xf numFmtId="49" fontId="45" fillId="0" borderId="146" xfId="5" applyNumberFormat="1" applyFont="1" applyBorder="1" applyAlignment="1">
      <alignment horizontal="center"/>
    </xf>
    <xf numFmtId="4" fontId="45" fillId="0" borderId="146" xfId="5" applyNumberFormat="1" applyFont="1" applyBorder="1" applyAlignment="1" applyProtection="1">
      <alignment horizontal="right" vertical="center"/>
      <protection hidden="1"/>
    </xf>
    <xf numFmtId="4" fontId="45" fillId="0" borderId="148" xfId="5" applyNumberFormat="1" applyFont="1" applyBorder="1" applyAlignment="1" applyProtection="1">
      <alignment vertical="center"/>
      <protection hidden="1"/>
    </xf>
    <xf numFmtId="49" fontId="45" fillId="0" borderId="145" xfId="5" applyNumberFormat="1" applyFont="1" applyBorder="1" applyAlignment="1">
      <alignment horizontal="center"/>
    </xf>
    <xf numFmtId="0" fontId="45" fillId="0" borderId="145" xfId="5" applyFont="1" applyBorder="1"/>
    <xf numFmtId="0" fontId="35" fillId="0" borderId="145" xfId="5" applyBorder="1" applyAlignment="1">
      <alignment horizontal="right"/>
    </xf>
    <xf numFmtId="4" fontId="45" fillId="0" borderId="144" xfId="5" applyNumberFormat="1" applyFont="1" applyBorder="1" applyAlignment="1" applyProtection="1">
      <alignment horizontal="right" vertical="center"/>
      <protection hidden="1"/>
    </xf>
    <xf numFmtId="4" fontId="42" fillId="0" borderId="144" xfId="5" applyNumberFormat="1" applyFont="1" applyBorder="1" applyAlignment="1" applyProtection="1">
      <alignment horizontal="right" vertical="center"/>
      <protection hidden="1"/>
    </xf>
    <xf numFmtId="49" fontId="35" fillId="0" borderId="85" xfId="5" applyNumberFormat="1" applyAlignment="1">
      <alignment horizontal="center"/>
    </xf>
    <xf numFmtId="4" fontId="35" fillId="0" borderId="144" xfId="5" applyNumberFormat="1" applyBorder="1" applyAlignment="1" applyProtection="1">
      <alignment horizontal="right" vertical="center"/>
      <protection hidden="1"/>
    </xf>
    <xf numFmtId="0" fontId="59" fillId="0" borderId="76" xfId="1" applyFont="1" applyAlignment="1">
      <alignment vertical="center"/>
    </xf>
    <xf numFmtId="0" fontId="1" fillId="0" borderId="76" xfId="1"/>
    <xf numFmtId="0" fontId="50" fillId="0" borderId="149" xfId="1" applyFont="1" applyBorder="1"/>
    <xf numFmtId="0" fontId="50" fillId="0" borderId="152" xfId="1" applyFont="1" applyBorder="1" applyAlignment="1">
      <alignment horizontal="center" vertical="center"/>
    </xf>
    <xf numFmtId="0" fontId="50" fillId="0" borderId="151" xfId="1" applyFont="1" applyBorder="1" applyAlignment="1">
      <alignment horizontal="center" vertical="center"/>
    </xf>
    <xf numFmtId="0" fontId="60" fillId="0" borderId="151" xfId="1" applyFont="1" applyBorder="1" applyAlignment="1">
      <alignment horizontal="center" vertical="center" wrapText="1"/>
    </xf>
    <xf numFmtId="0" fontId="61" fillId="0" borderId="136" xfId="1" applyFont="1" applyBorder="1" applyAlignment="1">
      <alignment wrapText="1"/>
    </xf>
    <xf numFmtId="0" fontId="61" fillId="0" borderId="137" xfId="1" applyFont="1" applyBorder="1" applyAlignment="1">
      <alignment wrapText="1"/>
    </xf>
    <xf numFmtId="0" fontId="1" fillId="0" borderId="80" xfId="1" applyBorder="1" applyAlignment="1">
      <alignment horizontal="justify" wrapText="1"/>
    </xf>
    <xf numFmtId="0" fontId="43" fillId="0" borderId="85" xfId="1" applyFont="1" applyBorder="1" applyAlignment="1">
      <alignment horizontal="center" vertical="center"/>
    </xf>
    <xf numFmtId="0" fontId="1" fillId="0" borderId="85" xfId="1" applyBorder="1" applyAlignment="1">
      <alignment horizontal="center" vertical="center"/>
    </xf>
    <xf numFmtId="44" fontId="62" fillId="0" borderId="85" xfId="8" applyFont="1" applyBorder="1" applyAlignment="1">
      <alignment horizontal="center" vertical="center"/>
    </xf>
    <xf numFmtId="44" fontId="25" fillId="0" borderId="85" xfId="1" applyNumberFormat="1" applyFont="1" applyBorder="1" applyAlignment="1">
      <alignment horizontal="center" vertical="center"/>
    </xf>
    <xf numFmtId="0" fontId="43" fillId="0" borderId="80" xfId="1" applyFont="1" applyBorder="1"/>
    <xf numFmtId="0" fontId="43" fillId="0" borderId="85" xfId="1" applyFont="1" applyBorder="1" applyAlignment="1">
      <alignment horizontal="center"/>
    </xf>
    <xf numFmtId="0" fontId="43" fillId="0" borderId="80" xfId="1" applyFont="1" applyBorder="1" applyAlignment="1">
      <alignment wrapText="1"/>
    </xf>
    <xf numFmtId="0" fontId="61" fillId="0" borderId="86" xfId="1" applyFont="1" applyBorder="1" applyAlignment="1">
      <alignment wrapText="1"/>
    </xf>
    <xf numFmtId="0" fontId="61" fillId="0" borderId="81" xfId="1" applyFont="1" applyBorder="1" applyAlignment="1">
      <alignment wrapText="1"/>
    </xf>
    <xf numFmtId="0" fontId="61" fillId="0" borderId="85" xfId="1" applyFont="1" applyBorder="1" applyAlignment="1">
      <alignment horizontal="justify" wrapText="1"/>
    </xf>
    <xf numFmtId="0" fontId="43" fillId="0" borderId="85" xfId="1" applyFont="1" applyBorder="1" applyAlignment="1">
      <alignment horizontal="justify" wrapText="1"/>
    </xf>
    <xf numFmtId="0" fontId="43" fillId="0" borderId="80" xfId="1" applyFont="1" applyBorder="1" applyAlignment="1">
      <alignment horizontal="justify" wrapText="1"/>
    </xf>
    <xf numFmtId="0" fontId="1" fillId="0" borderId="85" xfId="1" applyBorder="1"/>
    <xf numFmtId="44" fontId="62" fillId="0" borderId="85" xfId="8" applyFont="1" applyBorder="1" applyAlignment="1">
      <alignment horizontal="center"/>
    </xf>
    <xf numFmtId="44" fontId="25" fillId="0" borderId="85" xfId="1" applyNumberFormat="1" applyFont="1" applyBorder="1" applyAlignment="1">
      <alignment horizontal="center"/>
    </xf>
    <xf numFmtId="0" fontId="43" fillId="0" borderId="85" xfId="1" applyFont="1" applyBorder="1"/>
    <xf numFmtId="0" fontId="43" fillId="0" borderId="85" xfId="1" applyFont="1" applyBorder="1" applyAlignment="1">
      <alignment horizontal="justify" vertical="top" wrapText="1"/>
    </xf>
    <xf numFmtId="0" fontId="43" fillId="0" borderId="85" xfId="1" applyFont="1" applyBorder="1" applyAlignment="1">
      <alignment horizontal="justify"/>
    </xf>
    <xf numFmtId="0" fontId="63" fillId="0" borderId="76" xfId="1" applyFont="1" applyAlignment="1">
      <alignment horizontal="justify" vertical="top" wrapText="1"/>
    </xf>
    <xf numFmtId="0" fontId="43" fillId="0" borderId="76" xfId="1" applyFont="1" applyAlignment="1">
      <alignment horizontal="justify" vertical="top" wrapText="1"/>
    </xf>
    <xf numFmtId="0" fontId="1" fillId="0" borderId="76" xfId="1" applyAlignment="1">
      <alignment horizontal="center" vertical="center"/>
    </xf>
    <xf numFmtId="0" fontId="43" fillId="0" borderId="76" xfId="1" applyFont="1"/>
    <xf numFmtId="0" fontId="43" fillId="0" borderId="76" xfId="1" applyFont="1" applyAlignment="1">
      <alignment horizontal="justify" vertical="top"/>
    </xf>
    <xf numFmtId="0" fontId="63" fillId="0" borderId="76" xfId="1" applyFont="1"/>
    <xf numFmtId="0" fontId="43" fillId="0" borderId="76" xfId="1" applyFont="1" applyAlignment="1">
      <alignment wrapText="1"/>
    </xf>
    <xf numFmtId="0" fontId="65" fillId="0" borderId="76" xfId="1" applyFont="1"/>
    <xf numFmtId="0" fontId="50" fillId="0" borderId="76" xfId="1" applyFont="1"/>
    <xf numFmtId="0" fontId="66" fillId="0" borderId="76" xfId="1" applyFont="1"/>
    <xf numFmtId="0" fontId="67" fillId="0" borderId="76" xfId="1" applyFont="1"/>
    <xf numFmtId="0" fontId="1" fillId="0" borderId="76" xfId="1" applyAlignment="1">
      <alignment horizontal="justify" vertical="top" wrapText="1"/>
    </xf>
    <xf numFmtId="0" fontId="1" fillId="0" borderId="76" xfId="1" applyAlignment="1">
      <alignment wrapText="1"/>
    </xf>
    <xf numFmtId="0" fontId="16" fillId="0" borderId="76" xfId="1" applyFont="1"/>
    <xf numFmtId="0" fontId="16" fillId="0" borderId="76" xfId="1" applyFont="1" applyAlignment="1">
      <alignment horizontal="justify" vertical="top" wrapText="1"/>
    </xf>
    <xf numFmtId="0" fontId="68" fillId="0" borderId="76" xfId="1" applyFont="1" applyAlignment="1">
      <alignment wrapText="1"/>
    </xf>
    <xf numFmtId="0" fontId="69" fillId="0" borderId="76" xfId="9"/>
    <xf numFmtId="0" fontId="69" fillId="8" borderId="76" xfId="9" applyFill="1"/>
    <xf numFmtId="0" fontId="69" fillId="0" borderId="106" xfId="9" applyBorder="1"/>
    <xf numFmtId="0" fontId="72" fillId="0" borderId="76" xfId="9" applyFont="1"/>
    <xf numFmtId="0" fontId="69" fillId="0" borderId="76" xfId="9" applyAlignment="1">
      <alignment horizontal="center"/>
    </xf>
    <xf numFmtId="0" fontId="69" fillId="0" borderId="155" xfId="9" applyBorder="1"/>
    <xf numFmtId="0" fontId="71" fillId="0" borderId="76" xfId="9" applyFont="1"/>
    <xf numFmtId="0" fontId="69" fillId="0" borderId="156" xfId="9" applyBorder="1"/>
    <xf numFmtId="0" fontId="71" fillId="0" borderId="154" xfId="9" applyFont="1" applyBorder="1"/>
    <xf numFmtId="0" fontId="69" fillId="0" borderId="154" xfId="9" applyBorder="1"/>
    <xf numFmtId="2" fontId="69" fillId="0" borderId="157" xfId="9" applyNumberFormat="1" applyBorder="1"/>
    <xf numFmtId="0" fontId="69" fillId="0" borderId="95" xfId="9" applyBorder="1"/>
    <xf numFmtId="49" fontId="71" fillId="0" borderId="76" xfId="9" applyNumberFormat="1" applyFont="1"/>
    <xf numFmtId="2" fontId="69" fillId="0" borderId="96" xfId="9" applyNumberFormat="1" applyBorder="1"/>
    <xf numFmtId="49" fontId="70" fillId="0" borderId="76" xfId="9" applyNumberFormat="1" applyFont="1"/>
    <xf numFmtId="49" fontId="69" fillId="0" borderId="76" xfId="9" applyNumberFormat="1"/>
    <xf numFmtId="0" fontId="69" fillId="8" borderId="99" xfId="9" applyFill="1" applyBorder="1"/>
    <xf numFmtId="49" fontId="70" fillId="8" borderId="106" xfId="9" applyNumberFormat="1" applyFont="1" applyFill="1" applyBorder="1"/>
    <xf numFmtId="0" fontId="69" fillId="8" borderId="106" xfId="9" applyFill="1" applyBorder="1"/>
    <xf numFmtId="2" fontId="69" fillId="8" borderId="100" xfId="9" applyNumberFormat="1" applyFill="1" applyBorder="1"/>
    <xf numFmtId="2" fontId="69" fillId="0" borderId="76" xfId="9" applyNumberFormat="1"/>
    <xf numFmtId="0" fontId="73" fillId="0" borderId="76" xfId="9" applyFont="1"/>
    <xf numFmtId="2" fontId="69" fillId="0" borderId="106" xfId="9" applyNumberFormat="1" applyBorder="1"/>
    <xf numFmtId="0" fontId="72" fillId="12" borderId="143" xfId="9" applyFont="1" applyFill="1" applyBorder="1" applyAlignment="1">
      <alignment horizontal="center"/>
    </xf>
    <xf numFmtId="0" fontId="30" fillId="12" borderId="143" xfId="9" applyFont="1" applyFill="1" applyBorder="1" applyAlignment="1">
      <alignment horizontal="center"/>
    </xf>
    <xf numFmtId="2" fontId="30" fillId="12" borderId="143" xfId="9" applyNumberFormat="1" applyFont="1" applyFill="1" applyBorder="1" applyAlignment="1">
      <alignment horizontal="center"/>
    </xf>
    <xf numFmtId="0" fontId="30" fillId="12" borderId="76" xfId="9" applyFont="1" applyFill="1" applyAlignment="1">
      <alignment horizontal="center"/>
    </xf>
    <xf numFmtId="0" fontId="72" fillId="12" borderId="145" xfId="9" applyFont="1" applyFill="1" applyBorder="1" applyAlignment="1">
      <alignment horizontal="center"/>
    </xf>
    <xf numFmtId="0" fontId="69" fillId="12" borderId="145" xfId="9" applyFill="1" applyBorder="1"/>
    <xf numFmtId="0" fontId="30" fillId="12" borderId="145" xfId="9" applyFont="1" applyFill="1" applyBorder="1" applyAlignment="1">
      <alignment horizontal="center"/>
    </xf>
    <xf numFmtId="2" fontId="30" fillId="12" borderId="145" xfId="9" applyNumberFormat="1" applyFont="1" applyFill="1" applyBorder="1" applyAlignment="1">
      <alignment horizontal="center"/>
    </xf>
    <xf numFmtId="0" fontId="72" fillId="12" borderId="99" xfId="9" applyFont="1" applyFill="1" applyBorder="1" applyAlignment="1">
      <alignment horizontal="center"/>
    </xf>
    <xf numFmtId="0" fontId="74" fillId="0" borderId="76" xfId="9" applyFont="1" applyAlignment="1">
      <alignment wrapText="1"/>
    </xf>
    <xf numFmtId="0" fontId="69" fillId="0" borderId="143" xfId="9" applyBorder="1"/>
    <xf numFmtId="0" fontId="75" fillId="13" borderId="156" xfId="9" applyFont="1" applyFill="1" applyBorder="1"/>
    <xf numFmtId="0" fontId="75" fillId="13" borderId="96" xfId="9" applyFont="1" applyFill="1" applyBorder="1"/>
    <xf numFmtId="2" fontId="69" fillId="0" borderId="144" xfId="9" applyNumberFormat="1" applyBorder="1"/>
    <xf numFmtId="0" fontId="69" fillId="0" borderId="76" xfId="9" applyAlignment="1">
      <alignment wrapText="1"/>
    </xf>
    <xf numFmtId="0" fontId="69" fillId="0" borderId="95" xfId="9" applyBorder="1" applyAlignment="1">
      <alignment horizontal="right"/>
    </xf>
    <xf numFmtId="0" fontId="69" fillId="0" borderId="144" xfId="9" applyBorder="1"/>
    <xf numFmtId="0" fontId="75" fillId="13" borderId="95" xfId="9" applyFont="1" applyFill="1" applyBorder="1"/>
    <xf numFmtId="2" fontId="30" fillId="0" borderId="144" xfId="9" applyNumberFormat="1" applyFont="1" applyBorder="1"/>
    <xf numFmtId="0" fontId="76" fillId="0" borderId="95" xfId="9" applyFont="1" applyBorder="1"/>
    <xf numFmtId="0" fontId="30" fillId="0" borderId="76" xfId="9" applyFont="1"/>
    <xf numFmtId="0" fontId="75" fillId="13" borderId="76" xfId="9" applyFont="1" applyFill="1"/>
    <xf numFmtId="0" fontId="28" fillId="0" borderId="76" xfId="9" applyFont="1" applyAlignment="1">
      <alignment wrapText="1"/>
    </xf>
    <xf numFmtId="0" fontId="69" fillId="0" borderId="155" xfId="9" applyBorder="1" applyAlignment="1">
      <alignment horizontal="left"/>
    </xf>
    <xf numFmtId="0" fontId="69" fillId="0" borderId="155" xfId="9" applyBorder="1" applyAlignment="1">
      <alignment wrapText="1"/>
    </xf>
    <xf numFmtId="0" fontId="69" fillId="0" borderId="158" xfId="9" applyBorder="1" applyAlignment="1">
      <alignment horizontal="right"/>
    </xf>
    <xf numFmtId="0" fontId="69" fillId="0" borderId="159" xfId="9" applyBorder="1"/>
    <xf numFmtId="0" fontId="75" fillId="13" borderId="158" xfId="9" applyFont="1" applyFill="1" applyBorder="1"/>
    <xf numFmtId="0" fontId="75" fillId="13" borderId="155" xfId="9" applyFont="1" applyFill="1" applyBorder="1"/>
    <xf numFmtId="2" fontId="30" fillId="0" borderId="159" xfId="9" applyNumberFormat="1" applyFont="1" applyBorder="1"/>
    <xf numFmtId="0" fontId="76" fillId="0" borderId="158" xfId="9" applyFont="1" applyBorder="1"/>
    <xf numFmtId="0" fontId="30" fillId="0" borderId="155" xfId="9" applyFont="1" applyBorder="1"/>
    <xf numFmtId="0" fontId="69" fillId="0" borderId="76" xfId="9" applyAlignment="1">
      <alignment horizontal="left"/>
    </xf>
    <xf numFmtId="0" fontId="69" fillId="0" borderId="76" xfId="9" applyAlignment="1">
      <alignment horizontal="right"/>
    </xf>
    <xf numFmtId="0" fontId="75" fillId="0" borderId="76" xfId="9" applyFont="1"/>
    <xf numFmtId="2" fontId="30" fillId="0" borderId="152" xfId="9" applyNumberFormat="1" applyFont="1" applyBorder="1"/>
    <xf numFmtId="0" fontId="30" fillId="0" borderId="152" xfId="9" applyFont="1" applyBorder="1"/>
    <xf numFmtId="0" fontId="69" fillId="0" borderId="155" xfId="9" applyBorder="1" applyAlignment="1">
      <alignment horizontal="right"/>
    </xf>
    <xf numFmtId="0" fontId="75" fillId="0" borderId="155" xfId="9" applyFont="1" applyBorder="1"/>
    <xf numFmtId="2" fontId="30" fillId="0" borderId="155" xfId="9" applyNumberFormat="1" applyFont="1" applyBorder="1"/>
    <xf numFmtId="0" fontId="69" fillId="0" borderId="160" xfId="9" applyBorder="1" applyAlignment="1">
      <alignment wrapText="1"/>
    </xf>
    <xf numFmtId="0" fontId="69" fillId="0" borderId="161" xfId="9" applyBorder="1" applyAlignment="1">
      <alignment horizontal="right"/>
    </xf>
    <xf numFmtId="0" fontId="69" fillId="0" borderId="161" xfId="9" applyBorder="1"/>
    <xf numFmtId="2" fontId="30" fillId="0" borderId="162" xfId="9" applyNumberFormat="1" applyFont="1" applyBorder="1"/>
    <xf numFmtId="0" fontId="69" fillId="0" borderId="162" xfId="9" applyBorder="1"/>
    <xf numFmtId="0" fontId="74" fillId="0" borderId="96" xfId="9" applyFont="1" applyBorder="1" applyAlignment="1">
      <alignment wrapText="1"/>
    </xf>
    <xf numFmtId="0" fontId="69" fillId="0" borderId="144" xfId="9" applyBorder="1" applyAlignment="1">
      <alignment horizontal="right"/>
    </xf>
    <xf numFmtId="2" fontId="30" fillId="0" borderId="95" xfId="9" applyNumberFormat="1" applyFont="1" applyBorder="1"/>
    <xf numFmtId="0" fontId="69" fillId="0" borderId="96" xfId="9" applyBorder="1" applyAlignment="1">
      <alignment wrapText="1"/>
    </xf>
    <xf numFmtId="0" fontId="76" fillId="0" borderId="76" xfId="9" applyFont="1"/>
    <xf numFmtId="2" fontId="30" fillId="0" borderId="76" xfId="9" applyNumberFormat="1" applyFont="1"/>
    <xf numFmtId="0" fontId="69" fillId="8" borderId="76" xfId="9" applyFill="1" applyAlignment="1">
      <alignment horizontal="left"/>
    </xf>
    <xf numFmtId="0" fontId="77" fillId="8" borderId="76" xfId="9" applyFont="1" applyFill="1" applyAlignment="1">
      <alignment wrapText="1"/>
    </xf>
    <xf numFmtId="1" fontId="78" fillId="12" borderId="152" xfId="9" applyNumberFormat="1" applyFont="1" applyFill="1" applyBorder="1"/>
    <xf numFmtId="0" fontId="74" fillId="0" borderId="157" xfId="9" applyFont="1" applyBorder="1" applyAlignment="1">
      <alignment wrapText="1"/>
    </xf>
    <xf numFmtId="2" fontId="69" fillId="0" borderId="143" xfId="9" applyNumberFormat="1" applyBorder="1"/>
    <xf numFmtId="0" fontId="79" fillId="0" borderId="96" xfId="9" applyFont="1" applyBorder="1" applyAlignment="1">
      <alignment wrapText="1"/>
    </xf>
    <xf numFmtId="0" fontId="30" fillId="0" borderId="96" xfId="9" applyFont="1" applyBorder="1" applyAlignment="1">
      <alignment wrapText="1"/>
    </xf>
    <xf numFmtId="0" fontId="69" fillId="0" borderId="163" xfId="9" applyBorder="1" applyAlignment="1">
      <alignment wrapText="1"/>
    </xf>
    <xf numFmtId="0" fontId="69" fillId="0" borderId="159" xfId="9" applyBorder="1" applyAlignment="1">
      <alignment horizontal="right"/>
    </xf>
    <xf numFmtId="2" fontId="30" fillId="0" borderId="161" xfId="9" applyNumberFormat="1" applyFont="1" applyBorder="1"/>
    <xf numFmtId="0" fontId="30" fillId="12" borderId="96" xfId="9" applyFont="1" applyFill="1" applyBorder="1" applyAlignment="1">
      <alignment horizontal="center"/>
    </xf>
    <xf numFmtId="0" fontId="72" fillId="12" borderId="106" xfId="9" applyFont="1" applyFill="1" applyBorder="1" applyAlignment="1">
      <alignment horizontal="center"/>
    </xf>
    <xf numFmtId="0" fontId="30" fillId="13" borderId="76" xfId="9" applyFont="1" applyFill="1" applyAlignment="1">
      <alignment horizontal="center"/>
    </xf>
    <xf numFmtId="2" fontId="30" fillId="0" borderId="143" xfId="9" applyNumberFormat="1" applyFont="1" applyBorder="1" applyAlignment="1">
      <alignment horizontal="center"/>
    </xf>
    <xf numFmtId="0" fontId="69" fillId="13" borderId="76" xfId="9" applyFill="1"/>
    <xf numFmtId="16" fontId="69" fillId="0" borderId="96" xfId="9" applyNumberFormat="1" applyBorder="1" applyAlignment="1">
      <alignment wrapText="1"/>
    </xf>
    <xf numFmtId="0" fontId="28" fillId="0" borderId="96" xfId="9" applyFont="1" applyBorder="1" applyAlignment="1">
      <alignment wrapText="1"/>
    </xf>
    <xf numFmtId="0" fontId="76" fillId="0" borderId="155" xfId="9" applyFont="1" applyBorder="1"/>
    <xf numFmtId="2" fontId="72" fillId="12" borderId="143" xfId="9" applyNumberFormat="1" applyFont="1" applyFill="1" applyBorder="1" applyAlignment="1">
      <alignment horizontal="center"/>
    </xf>
    <xf numFmtId="0" fontId="72" fillId="12" borderId="96" xfId="9" applyFont="1" applyFill="1" applyBorder="1" applyAlignment="1">
      <alignment horizontal="center"/>
    </xf>
    <xf numFmtId="0" fontId="72" fillId="12" borderId="76" xfId="9" applyFont="1" applyFill="1" applyAlignment="1">
      <alignment horizontal="center"/>
    </xf>
    <xf numFmtId="2" fontId="72" fillId="12" borderId="145" xfId="9" applyNumberFormat="1" applyFont="1" applyFill="1" applyBorder="1" applyAlignment="1">
      <alignment horizontal="center"/>
    </xf>
    <xf numFmtId="2" fontId="30" fillId="14" borderId="85" xfId="9" applyNumberFormat="1" applyFont="1" applyFill="1" applyBorder="1"/>
    <xf numFmtId="17" fontId="69" fillId="0" borderId="76" xfId="9" applyNumberFormat="1" applyAlignment="1">
      <alignment horizontal="left"/>
    </xf>
    <xf numFmtId="0" fontId="80" fillId="0" borderId="76" xfId="9" applyFont="1"/>
    <xf numFmtId="0" fontId="82" fillId="0" borderId="76" xfId="10" applyFont="1"/>
    <xf numFmtId="0" fontId="81" fillId="0" borderId="76" xfId="10"/>
    <xf numFmtId="0" fontId="30" fillId="8" borderId="95" xfId="10" applyFont="1" applyFill="1" applyBorder="1"/>
    <xf numFmtId="0" fontId="81" fillId="8" borderId="76" xfId="10" applyFill="1"/>
    <xf numFmtId="0" fontId="30" fillId="0" borderId="95" xfId="10" applyFont="1" applyBorder="1"/>
    <xf numFmtId="0" fontId="71" fillId="0" borderId="76" xfId="10" applyFont="1"/>
    <xf numFmtId="0" fontId="83" fillId="0" borderId="95" xfId="10" applyFont="1" applyBorder="1"/>
    <xf numFmtId="0" fontId="30" fillId="8" borderId="99" xfId="10" applyFont="1" applyFill="1" applyBorder="1"/>
    <xf numFmtId="0" fontId="81" fillId="8" borderId="106" xfId="10" applyFill="1" applyBorder="1"/>
    <xf numFmtId="0" fontId="84" fillId="0" borderId="76" xfId="10" applyFont="1"/>
    <xf numFmtId="0" fontId="85" fillId="0" borderId="152" xfId="10" applyFont="1" applyBorder="1" applyAlignment="1">
      <alignment horizontal="center"/>
    </xf>
    <xf numFmtId="0" fontId="81" fillId="0" borderId="142" xfId="10" applyBorder="1"/>
    <xf numFmtId="0" fontId="81" fillId="0" borderId="106" xfId="10" applyBorder="1"/>
    <xf numFmtId="0" fontId="86" fillId="12" borderId="164" xfId="10" applyFont="1" applyFill="1" applyBorder="1"/>
    <xf numFmtId="0" fontId="81" fillId="12" borderId="164" xfId="10" applyFill="1" applyBorder="1"/>
    <xf numFmtId="0" fontId="86" fillId="12" borderId="165" xfId="10" applyFont="1" applyFill="1" applyBorder="1"/>
    <xf numFmtId="0" fontId="86" fillId="0" borderId="76" xfId="10" applyFont="1"/>
    <xf numFmtId="0" fontId="18" fillId="0" borderId="76" xfId="10" applyFont="1"/>
    <xf numFmtId="0" fontId="81" fillId="13" borderId="95" xfId="10" applyFill="1" applyBorder="1"/>
    <xf numFmtId="0" fontId="81" fillId="13" borderId="76" xfId="10" applyFill="1"/>
    <xf numFmtId="0" fontId="21" fillId="0" borderId="76" xfId="10" applyFont="1"/>
    <xf numFmtId="0" fontId="87" fillId="15" borderId="152" xfId="10" applyFont="1" applyFill="1" applyBorder="1"/>
    <xf numFmtId="0" fontId="18" fillId="0" borderId="142" xfId="10" applyFont="1" applyBorder="1"/>
    <xf numFmtId="0" fontId="81" fillId="0" borderId="76" xfId="11"/>
    <xf numFmtId="0" fontId="86" fillId="13" borderId="76" xfId="10" applyFont="1" applyFill="1"/>
    <xf numFmtId="3" fontId="18" fillId="13" borderId="76" xfId="10" applyNumberFormat="1" applyFont="1" applyFill="1"/>
    <xf numFmtId="3" fontId="18" fillId="0" borderId="76" xfId="10" applyNumberFormat="1" applyFont="1"/>
    <xf numFmtId="0" fontId="87" fillId="0" borderId="76" xfId="10" applyFont="1"/>
    <xf numFmtId="0" fontId="18" fillId="13" borderId="95" xfId="10" applyFont="1" applyFill="1" applyBorder="1"/>
    <xf numFmtId="0" fontId="81" fillId="13" borderId="144" xfId="10" applyFill="1" applyBorder="1"/>
    <xf numFmtId="0" fontId="81" fillId="13" borderId="95" xfId="11" applyFill="1" applyBorder="1"/>
    <xf numFmtId="0" fontId="81" fillId="13" borderId="76" xfId="11" applyFill="1"/>
    <xf numFmtId="0" fontId="21" fillId="0" borderId="106" xfId="10" applyFont="1" applyBorder="1"/>
    <xf numFmtId="0" fontId="18" fillId="0" borderId="106" xfId="10" applyFont="1" applyBorder="1"/>
    <xf numFmtId="0" fontId="18" fillId="13" borderId="76" xfId="10" applyFont="1" applyFill="1"/>
    <xf numFmtId="0" fontId="88" fillId="0" borderId="76" xfId="9" applyFont="1"/>
    <xf numFmtId="0" fontId="69" fillId="16" borderId="152" xfId="9" applyFill="1" applyBorder="1"/>
    <xf numFmtId="0" fontId="69" fillId="0" borderId="152" xfId="9" applyBorder="1"/>
    <xf numFmtId="0" fontId="69" fillId="12" borderId="152" xfId="9" applyFill="1" applyBorder="1"/>
    <xf numFmtId="0" fontId="69" fillId="15" borderId="152" xfId="9" applyFill="1" applyBorder="1"/>
    <xf numFmtId="0" fontId="70" fillId="0" borderId="76" xfId="9" applyFont="1"/>
    <xf numFmtId="0" fontId="70" fillId="0" borderId="76" xfId="9" applyFont="1" applyAlignment="1">
      <alignment horizontal="center"/>
    </xf>
    <xf numFmtId="0" fontId="70" fillId="0" borderId="76" xfId="9" applyFont="1" applyAlignment="1">
      <alignment horizontal="left"/>
    </xf>
    <xf numFmtId="0" fontId="89" fillId="0" borderId="96" xfId="9" applyFont="1" applyBorder="1" applyAlignment="1">
      <alignment wrapText="1"/>
    </xf>
    <xf numFmtId="0" fontId="70" fillId="0" borderId="144" xfId="9" applyFont="1" applyBorder="1" applyAlignment="1">
      <alignment horizontal="right"/>
    </xf>
    <xf numFmtId="0" fontId="90" fillId="0" borderId="96" xfId="9" applyFont="1" applyBorder="1" applyAlignment="1">
      <alignment wrapText="1"/>
    </xf>
    <xf numFmtId="0" fontId="70" fillId="0" borderId="96" xfId="9" applyFont="1" applyBorder="1" applyAlignment="1">
      <alignment wrapText="1"/>
    </xf>
    <xf numFmtId="0" fontId="85" fillId="0" borderId="152" xfId="0" applyFont="1" applyBorder="1" applyAlignment="1">
      <alignment horizontal="center"/>
    </xf>
    <xf numFmtId="0" fontId="0" fillId="0" borderId="142" xfId="0" applyBorder="1"/>
    <xf numFmtId="0" fontId="0" fillId="0" borderId="106" xfId="0" applyBorder="1"/>
    <xf numFmtId="0" fontId="86" fillId="12" borderId="164" xfId="0" applyFont="1" applyFill="1" applyBorder="1"/>
    <xf numFmtId="0" fontId="0" fillId="12" borderId="164" xfId="0" applyFill="1" applyBorder="1"/>
    <xf numFmtId="0" fontId="86" fillId="12" borderId="165" xfId="0" applyFont="1" applyFill="1" applyBorder="1"/>
    <xf numFmtId="0" fontId="0" fillId="0" borderId="95" xfId="0" applyBorder="1"/>
    <xf numFmtId="0" fontId="18" fillId="0" borderId="0" xfId="0" applyFont="1"/>
    <xf numFmtId="0" fontId="18" fillId="0" borderId="76" xfId="0" applyFont="1" applyBorder="1"/>
    <xf numFmtId="0" fontId="0" fillId="0" borderId="76" xfId="0" applyBorder="1"/>
    <xf numFmtId="0" fontId="21" fillId="0" borderId="0" xfId="0" applyFont="1"/>
    <xf numFmtId="3" fontId="18" fillId="9" borderId="90" xfId="1" applyNumberFormat="1" applyFont="1" applyFill="1" applyBorder="1" applyAlignment="1">
      <alignment horizontal="right" vertical="top" indent="1"/>
    </xf>
    <xf numFmtId="3" fontId="18" fillId="9" borderId="91" xfId="1" applyNumberFormat="1" applyFont="1" applyFill="1" applyBorder="1" applyAlignment="1">
      <alignment horizontal="right" vertical="top" indent="1"/>
    </xf>
    <xf numFmtId="3" fontId="18" fillId="9" borderId="95" xfId="1" applyNumberFormat="1" applyFont="1" applyFill="1" applyBorder="1" applyAlignment="1">
      <alignment horizontal="right" vertical="top" indent="1"/>
    </xf>
    <xf numFmtId="3" fontId="18" fillId="9" borderId="96" xfId="1" applyNumberFormat="1" applyFont="1" applyFill="1" applyBorder="1" applyAlignment="1">
      <alignment horizontal="right" vertical="top" indent="1"/>
    </xf>
    <xf numFmtId="3" fontId="18" fillId="9" borderId="95" xfId="1" applyNumberFormat="1" applyFont="1" applyFill="1" applyBorder="1" applyAlignment="1">
      <alignment horizontal="right" indent="1"/>
    </xf>
    <xf numFmtId="3" fontId="18" fillId="9" borderId="96" xfId="1" applyNumberFormat="1" applyFont="1" applyFill="1" applyBorder="1" applyAlignment="1">
      <alignment horizontal="right" indent="1"/>
    </xf>
    <xf numFmtId="0" fontId="23" fillId="9" borderId="76" xfId="1" applyFont="1" applyFill="1" applyAlignment="1">
      <alignment vertical="top"/>
    </xf>
    <xf numFmtId="3" fontId="18" fillId="9" borderId="97" xfId="1" applyNumberFormat="1" applyFont="1" applyFill="1" applyBorder="1" applyAlignment="1">
      <alignment horizontal="right" indent="1"/>
    </xf>
    <xf numFmtId="3" fontId="18" fillId="9" borderId="98" xfId="1" applyNumberFormat="1" applyFont="1" applyFill="1" applyBorder="1" applyAlignment="1">
      <alignment horizontal="right" indent="1"/>
    </xf>
    <xf numFmtId="3" fontId="18" fillId="9" borderId="99" xfId="1" applyNumberFormat="1" applyFont="1" applyFill="1" applyBorder="1" applyAlignment="1">
      <alignment horizontal="right" indent="1"/>
    </xf>
    <xf numFmtId="3" fontId="18" fillId="9" borderId="100" xfId="1" applyNumberFormat="1" applyFont="1" applyFill="1" applyBorder="1" applyAlignment="1">
      <alignment horizontal="right" indent="1"/>
    </xf>
    <xf numFmtId="44" fontId="43" fillId="9" borderId="85" xfId="6" applyFont="1" applyFill="1" applyBorder="1" applyAlignment="1">
      <alignment vertical="center"/>
    </xf>
    <xf numFmtId="44" fontId="62" fillId="9" borderId="85" xfId="8"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left" vertical="center"/>
    </xf>
    <xf numFmtId="0" fontId="3" fillId="0" borderId="6" xfId="0" applyFont="1" applyBorder="1" applyAlignment="1">
      <alignment horizontal="left" vertical="center"/>
    </xf>
    <xf numFmtId="1" fontId="3" fillId="0" borderId="6" xfId="0" applyNumberFormat="1" applyFont="1" applyBorder="1" applyAlignment="1">
      <alignment horizontal="left" vertical="center"/>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0" xfId="0" applyFont="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wrapText="1"/>
    </xf>
    <xf numFmtId="0" fontId="3" fillId="0" borderId="9" xfId="0" applyFont="1" applyBorder="1" applyAlignment="1">
      <alignment horizontal="left" vertical="center"/>
    </xf>
    <xf numFmtId="0" fontId="5" fillId="0" borderId="10" xfId="0" applyFont="1" applyBorder="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3" fillId="0" borderId="7" xfId="0" applyFont="1" applyBorder="1" applyAlignment="1">
      <alignment horizontal="left" vertical="center"/>
    </xf>
    <xf numFmtId="0" fontId="8" fillId="0" borderId="20" xfId="0" applyFont="1" applyBorder="1" applyAlignment="1">
      <alignment horizontal="left" vertical="center"/>
    </xf>
    <xf numFmtId="0" fontId="8" fillId="0" borderId="18"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25" xfId="0" applyFont="1" applyBorder="1" applyAlignment="1">
      <alignment horizontal="left" vertical="center"/>
    </xf>
    <xf numFmtId="0" fontId="8" fillId="0" borderId="13" xfId="0" applyFont="1" applyBorder="1" applyAlignment="1">
      <alignment horizontal="left"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9" fillId="0" borderId="24" xfId="0" applyFont="1" applyBorder="1" applyAlignment="1">
      <alignment horizontal="left" vertical="center"/>
    </xf>
    <xf numFmtId="0" fontId="9" fillId="0" borderId="22" xfId="0" applyFont="1" applyBorder="1" applyAlignment="1">
      <alignment horizontal="left" vertical="center"/>
    </xf>
    <xf numFmtId="0" fontId="8" fillId="0" borderId="12" xfId="0" applyFont="1" applyBorder="1" applyAlignment="1">
      <alignment horizontal="left" vertical="center"/>
    </xf>
    <xf numFmtId="0" fontId="8" fillId="0" borderId="17" xfId="0" applyFont="1" applyBorder="1" applyAlignment="1">
      <alignment horizontal="left" vertical="center"/>
    </xf>
    <xf numFmtId="0" fontId="8" fillId="2" borderId="25" xfId="0" applyFont="1" applyFill="1" applyBorder="1" applyAlignment="1">
      <alignment horizontal="left" vertical="center"/>
    </xf>
    <xf numFmtId="0" fontId="8" fillId="2" borderId="27" xfId="0" applyFont="1" applyFill="1" applyBorder="1" applyAlignment="1">
      <alignment horizontal="left" vertical="center"/>
    </xf>
    <xf numFmtId="0" fontId="8" fillId="2" borderId="20" xfId="0" applyFont="1" applyFill="1" applyBorder="1" applyAlignment="1">
      <alignment horizontal="left" vertical="center"/>
    </xf>
    <xf numFmtId="0" fontId="8" fillId="2" borderId="28" xfId="0" applyFont="1" applyFill="1" applyBorder="1" applyAlignment="1">
      <alignment horizontal="left" vertical="center"/>
    </xf>
    <xf numFmtId="0" fontId="8" fillId="2" borderId="12" xfId="0" applyFont="1" applyFill="1" applyBorder="1" applyAlignment="1">
      <alignment horizontal="left" vertical="center"/>
    </xf>
    <xf numFmtId="0" fontId="8" fillId="2" borderId="17" xfId="0" applyFont="1" applyFill="1" applyBorder="1" applyAlignment="1">
      <alignment horizontal="left" vertical="center"/>
    </xf>
    <xf numFmtId="0" fontId="9" fillId="0" borderId="32" xfId="0" applyFont="1" applyBorder="1" applyAlignment="1">
      <alignment horizontal="left"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9" fillId="0" borderId="35" xfId="0" applyFont="1" applyBorder="1" applyAlignment="1">
      <alignment horizontal="left" vertical="center"/>
    </xf>
    <xf numFmtId="0" fontId="9" fillId="0" borderId="0" xfId="0" applyFont="1" applyAlignment="1">
      <alignment horizontal="left" vertical="center"/>
    </xf>
    <xf numFmtId="0" fontId="9" fillId="0" borderId="34" xfId="0" applyFont="1" applyBorder="1" applyAlignment="1">
      <alignment horizontal="left" vertical="center"/>
    </xf>
    <xf numFmtId="0" fontId="9" fillId="0" borderId="39" xfId="0" applyFont="1" applyBorder="1" applyAlignment="1">
      <alignment horizontal="left" vertical="center"/>
    </xf>
    <xf numFmtId="0" fontId="9" fillId="0" borderId="37" xfId="0" applyFont="1" applyBorder="1" applyAlignment="1">
      <alignment horizontal="left" vertical="center"/>
    </xf>
    <xf numFmtId="0" fontId="9" fillId="0" borderId="38" xfId="0" applyFont="1" applyBorder="1" applyAlignment="1">
      <alignment horizontal="left" vertical="center"/>
    </xf>
    <xf numFmtId="0" fontId="9" fillId="0" borderId="29" xfId="0" applyFont="1" applyBorder="1" applyAlignment="1">
      <alignment horizontal="left" vertical="center"/>
    </xf>
    <xf numFmtId="0" fontId="9" fillId="0" borderId="33" xfId="0" applyFont="1" applyBorder="1" applyAlignment="1">
      <alignment horizontal="left" vertical="center"/>
    </xf>
    <xf numFmtId="0" fontId="9" fillId="0" borderId="36" xfId="0" applyFont="1" applyBorder="1" applyAlignment="1">
      <alignment horizontal="left" vertical="center"/>
    </xf>
    <xf numFmtId="0" fontId="8" fillId="0" borderId="41" xfId="0" applyFont="1" applyBorder="1" applyAlignment="1">
      <alignment horizontal="left"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3" fillId="0" borderId="20" xfId="0" applyFont="1" applyBorder="1" applyAlignment="1">
      <alignment horizontal="left" vertical="center"/>
    </xf>
    <xf numFmtId="0" fontId="3" fillId="0" borderId="28" xfId="0" applyFont="1" applyBorder="1" applyAlignment="1">
      <alignment horizontal="left" vertical="center"/>
    </xf>
    <xf numFmtId="0" fontId="3" fillId="0" borderId="18"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8" fillId="0" borderId="52" xfId="0" applyFont="1" applyBorder="1" applyAlignment="1">
      <alignment horizontal="left" vertical="center"/>
    </xf>
    <xf numFmtId="4" fontId="8" fillId="0" borderId="54" xfId="0" applyNumberFormat="1" applyFont="1" applyBorder="1" applyAlignment="1">
      <alignment horizontal="right" vertical="center"/>
    </xf>
    <xf numFmtId="0" fontId="8" fillId="0" borderId="51" xfId="0" applyFont="1" applyBorder="1" applyAlignment="1">
      <alignment horizontal="right" vertical="center"/>
    </xf>
    <xf numFmtId="0" fontId="8" fillId="0" borderId="52" xfId="0" applyFont="1" applyBorder="1" applyAlignment="1">
      <alignment horizontal="right" vertical="center"/>
    </xf>
    <xf numFmtId="0" fontId="3" fillId="3" borderId="0" xfId="0" applyFont="1" applyFill="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3" fillId="3" borderId="41" xfId="0" applyFont="1" applyFill="1" applyBorder="1" applyAlignment="1" applyProtection="1">
      <alignment horizontal="left" vertical="center"/>
      <protection locked="0"/>
    </xf>
    <xf numFmtId="0" fontId="3" fillId="3" borderId="56" xfId="0" applyFont="1" applyFill="1" applyBorder="1" applyAlignment="1" applyProtection="1">
      <alignment horizontal="left" vertical="center"/>
      <protection locked="0"/>
    </xf>
    <xf numFmtId="0" fontId="3" fillId="0" borderId="41" xfId="0" applyFont="1" applyBorder="1" applyAlignment="1">
      <alignment horizontal="left" vertical="center"/>
    </xf>
    <xf numFmtId="0" fontId="3" fillId="3" borderId="3" xfId="0" applyFont="1" applyFill="1" applyBorder="1" applyAlignment="1" applyProtection="1">
      <alignment horizontal="left" vertical="center"/>
      <protection locked="0"/>
    </xf>
    <xf numFmtId="0" fontId="12" fillId="0" borderId="0" xfId="0" applyFont="1" applyAlignment="1">
      <alignment horizontal="left" vertical="center" wrapText="1"/>
    </xf>
    <xf numFmtId="0" fontId="12" fillId="0" borderId="0" xfId="0" applyFont="1" applyAlignment="1">
      <alignment horizontal="left" vertical="center"/>
    </xf>
    <xf numFmtId="0" fontId="12" fillId="3" borderId="0" xfId="0" applyFont="1" applyFill="1" applyAlignment="1" applyProtection="1">
      <alignment horizontal="left" vertical="center"/>
      <protection locked="0"/>
    </xf>
    <xf numFmtId="0" fontId="12" fillId="0" borderId="6" xfId="0" applyFont="1" applyBorder="1" applyAlignment="1">
      <alignment horizontal="lef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3" fillId="0" borderId="55" xfId="0" applyFont="1" applyBorder="1" applyAlignment="1">
      <alignment horizontal="left" vertical="center"/>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63" xfId="0" applyFont="1" applyBorder="1" applyAlignment="1">
      <alignment horizontal="center" vertical="center"/>
    </xf>
    <xf numFmtId="0" fontId="4" fillId="0" borderId="43" xfId="0" applyFont="1" applyBorder="1" applyAlignment="1">
      <alignment horizontal="center" vertical="center"/>
    </xf>
    <xf numFmtId="0" fontId="4" fillId="0" borderId="64" xfId="0" applyFont="1" applyBorder="1" applyAlignment="1">
      <alignment horizontal="center" vertical="center"/>
    </xf>
    <xf numFmtId="0" fontId="4" fillId="4" borderId="40" xfId="0" applyFont="1" applyFill="1" applyBorder="1" applyAlignment="1">
      <alignment horizontal="left" vertical="center" wrapText="1"/>
    </xf>
    <xf numFmtId="0" fontId="4" fillId="4" borderId="40" xfId="0" applyFont="1" applyFill="1" applyBorder="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3" fillId="3" borderId="0" xfId="0" applyFont="1" applyFill="1" applyAlignment="1" applyProtection="1">
      <alignment horizontal="left" vertical="center"/>
      <protection locked="0"/>
    </xf>
    <xf numFmtId="0" fontId="13" fillId="0" borderId="6" xfId="0" applyFont="1" applyBorder="1" applyAlignment="1">
      <alignment horizontal="left"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18" fillId="0" borderId="77" xfId="1" applyFont="1" applyBorder="1" applyAlignment="1">
      <alignment horizontal="center" vertical="top" wrapText="1"/>
    </xf>
    <xf numFmtId="0" fontId="18" fillId="0" borderId="82" xfId="1" applyFont="1" applyBorder="1" applyAlignment="1">
      <alignment horizontal="center" vertical="top" wrapText="1"/>
    </xf>
    <xf numFmtId="0" fontId="18" fillId="0" borderId="78" xfId="1" applyFont="1" applyBorder="1" applyAlignment="1">
      <alignment horizontal="center" vertical="top" wrapText="1"/>
    </xf>
    <xf numFmtId="0" fontId="18" fillId="0" borderId="83" xfId="1" applyFont="1" applyBorder="1" applyAlignment="1">
      <alignment horizontal="center" vertical="top" wrapText="1"/>
    </xf>
    <xf numFmtId="0" fontId="18" fillId="0" borderId="79" xfId="1" applyFont="1" applyBorder="1" applyAlignment="1">
      <alignment horizontal="center" vertical="top" wrapText="1"/>
    </xf>
    <xf numFmtId="0" fontId="18" fillId="0" borderId="84" xfId="1" applyFont="1" applyBorder="1" applyAlignment="1">
      <alignment horizontal="center" vertical="top" wrapText="1"/>
    </xf>
    <xf numFmtId="1" fontId="21" fillId="6" borderId="87" xfId="1" applyNumberFormat="1" applyFont="1" applyFill="1" applyBorder="1" applyAlignment="1" applyProtection="1">
      <alignment horizontal="center" vertical="center" wrapText="1"/>
      <protection locked="0"/>
    </xf>
    <xf numFmtId="1" fontId="21" fillId="6" borderId="88" xfId="1" applyNumberFormat="1" applyFont="1" applyFill="1" applyBorder="1" applyAlignment="1" applyProtection="1">
      <alignment horizontal="center" vertical="center" wrapText="1"/>
      <protection locked="0"/>
    </xf>
    <xf numFmtId="3" fontId="21" fillId="6" borderId="87" xfId="1" applyNumberFormat="1" applyFont="1" applyFill="1" applyBorder="1" applyAlignment="1" applyProtection="1">
      <alignment horizontal="center" vertical="center" wrapText="1"/>
      <protection locked="0"/>
    </xf>
    <xf numFmtId="3" fontId="21" fillId="6" borderId="88" xfId="1" applyNumberFormat="1" applyFont="1" applyFill="1" applyBorder="1" applyAlignment="1" applyProtection="1">
      <alignment horizontal="center" vertical="center" wrapText="1"/>
      <protection locked="0"/>
    </xf>
    <xf numFmtId="49" fontId="18" fillId="0" borderId="90" xfId="1" applyNumberFormat="1" applyFont="1" applyBorder="1" applyAlignment="1">
      <alignment horizontal="center" vertical="top" wrapText="1"/>
    </xf>
    <xf numFmtId="0" fontId="18" fillId="0" borderId="89" xfId="1" applyFont="1" applyBorder="1" applyAlignment="1">
      <alignment horizontal="center" vertical="top"/>
    </xf>
    <xf numFmtId="0" fontId="18" fillId="0" borderId="91" xfId="1" applyFont="1" applyBorder="1" applyAlignment="1">
      <alignment horizontal="center" vertical="top"/>
    </xf>
    <xf numFmtId="0" fontId="18" fillId="0" borderId="93" xfId="1" applyFont="1" applyBorder="1" applyAlignment="1">
      <alignment horizontal="center" vertical="top"/>
    </xf>
    <xf numFmtId="0" fontId="18" fillId="0" borderId="94" xfId="1" applyFont="1" applyBorder="1" applyAlignment="1">
      <alignment horizontal="center" vertical="top"/>
    </xf>
    <xf numFmtId="49" fontId="18" fillId="0" borderId="77" xfId="1" applyNumberFormat="1" applyFont="1" applyBorder="1" applyAlignment="1">
      <alignment horizontal="center" vertical="top" wrapText="1"/>
    </xf>
    <xf numFmtId="49" fontId="18" fillId="0" borderId="92" xfId="1" applyNumberFormat="1" applyFont="1" applyBorder="1" applyAlignment="1">
      <alignment horizontal="center" vertical="top" wrapText="1"/>
    </xf>
    <xf numFmtId="0" fontId="18" fillId="0" borderId="78" xfId="1" applyFont="1" applyBorder="1" applyAlignment="1">
      <alignment horizontal="center" vertical="top"/>
    </xf>
    <xf numFmtId="0" fontId="18" fillId="0" borderId="79" xfId="1" applyFont="1" applyBorder="1" applyAlignment="1">
      <alignment horizontal="center" vertical="top"/>
    </xf>
    <xf numFmtId="49" fontId="27" fillId="0" borderId="76" xfId="1" applyNumberFormat="1" applyFont="1" applyAlignment="1" applyProtection="1">
      <alignment vertical="top" wrapText="1" readingOrder="1"/>
      <protection locked="0"/>
    </xf>
    <xf numFmtId="0" fontId="32" fillId="0" borderId="95" xfId="3" applyFont="1" applyBorder="1" applyAlignment="1">
      <alignment horizontal="left" vertical="center" wrapText="1"/>
    </xf>
    <xf numFmtId="0" fontId="28" fillId="0" borderId="76" xfId="3"/>
    <xf numFmtId="49" fontId="28" fillId="7" borderId="111" xfId="3" applyNumberFormat="1" applyFill="1" applyBorder="1" applyAlignment="1">
      <alignment horizontal="center" vertical="center"/>
    </xf>
    <xf numFmtId="4" fontId="0" fillId="7" borderId="85" xfId="4" applyNumberFormat="1" applyFont="1" applyFill="1" applyBorder="1" applyAlignment="1" applyProtection="1">
      <alignment horizontal="center" vertical="center"/>
    </xf>
    <xf numFmtId="0" fontId="32" fillId="0" borderId="99" xfId="3" applyFont="1" applyBorder="1" applyAlignment="1">
      <alignment horizontal="left" vertical="center" wrapText="1"/>
    </xf>
    <xf numFmtId="0" fontId="28" fillId="0" borderId="106" xfId="3" applyBorder="1"/>
    <xf numFmtId="0" fontId="57" fillId="0" borderId="80" xfId="5" applyFont="1" applyBorder="1" applyAlignment="1">
      <alignment horizontal="left"/>
    </xf>
    <xf numFmtId="0" fontId="57" fillId="0" borderId="86" xfId="5" applyFont="1" applyBorder="1" applyAlignment="1">
      <alignment horizontal="left"/>
    </xf>
    <xf numFmtId="0" fontId="57" fillId="0" borderId="81" xfId="5" applyFont="1" applyBorder="1" applyAlignment="1">
      <alignment horizontal="left"/>
    </xf>
    <xf numFmtId="0" fontId="40" fillId="0" borderId="142" xfId="5" applyFont="1" applyBorder="1" applyAlignment="1">
      <alignment horizontal="left" wrapText="1"/>
    </xf>
    <xf numFmtId="0" fontId="40" fillId="0" borderId="106" xfId="5" applyFont="1" applyBorder="1" applyAlignment="1">
      <alignment horizontal="left" wrapText="1"/>
    </xf>
    <xf numFmtId="0" fontId="40" fillId="0" borderId="100" xfId="5" applyFont="1" applyBorder="1" applyAlignment="1">
      <alignment horizontal="left" wrapText="1"/>
    </xf>
    <xf numFmtId="44" fontId="43" fillId="0" borderId="143" xfId="6" applyFont="1" applyBorder="1" applyAlignment="1">
      <alignment horizontal="center" vertical="center" textRotation="90"/>
    </xf>
    <xf numFmtId="44" fontId="43" fillId="0" borderId="144" xfId="6" applyFont="1" applyBorder="1" applyAlignment="1">
      <alignment horizontal="center" vertical="center" textRotation="90"/>
    </xf>
    <xf numFmtId="44" fontId="43" fillId="0" borderId="145" xfId="6" applyFont="1" applyBorder="1" applyAlignment="1">
      <alignment horizontal="center" vertical="center" textRotation="90"/>
    </xf>
    <xf numFmtId="44" fontId="50" fillId="0" borderId="99" xfId="6" applyFont="1" applyBorder="1" applyAlignment="1">
      <alignment horizontal="center" vertical="center"/>
    </xf>
    <xf numFmtId="44" fontId="50" fillId="0" borderId="100" xfId="6" applyFont="1" applyBorder="1" applyAlignment="1">
      <alignment horizontal="center" vertical="center"/>
    </xf>
    <xf numFmtId="49" fontId="54" fillId="0" borderId="139" xfId="7" applyNumberFormat="1" applyFont="1" applyBorder="1" applyAlignment="1">
      <alignment horizontal="left"/>
    </xf>
    <xf numFmtId="49" fontId="54" fillId="0" borderId="86" xfId="7" applyNumberFormat="1" applyFont="1" applyBorder="1" applyAlignment="1">
      <alignment horizontal="left"/>
    </xf>
    <xf numFmtId="49" fontId="54" fillId="0" borderId="81" xfId="7" applyNumberFormat="1" applyFont="1" applyBorder="1" applyAlignment="1">
      <alignment horizontal="left"/>
    </xf>
    <xf numFmtId="0" fontId="58" fillId="0" borderId="149" xfId="1" applyFont="1" applyBorder="1" applyAlignment="1">
      <alignment horizontal="center" vertical="center"/>
    </xf>
    <xf numFmtId="0" fontId="58" fillId="0" borderId="150" xfId="1" applyFont="1" applyBorder="1" applyAlignment="1">
      <alignment horizontal="center" vertical="center"/>
    </xf>
    <xf numFmtId="0" fontId="58" fillId="0" borderId="151" xfId="1" applyFont="1" applyBorder="1" applyAlignment="1">
      <alignment horizontal="center" vertical="center"/>
    </xf>
    <xf numFmtId="0" fontId="61" fillId="0" borderId="153" xfId="1" applyFont="1" applyBorder="1" applyAlignment="1">
      <alignment horizontal="left" wrapText="1"/>
    </xf>
    <xf numFmtId="0" fontId="61" fillId="0" borderId="136" xfId="1" applyFont="1" applyBorder="1" applyAlignment="1">
      <alignment horizontal="left" wrapText="1"/>
    </xf>
    <xf numFmtId="0" fontId="61" fillId="0" borderId="85" xfId="1" applyFont="1" applyBorder="1" applyAlignment="1">
      <alignment horizontal="left" wrapText="1"/>
    </xf>
    <xf numFmtId="0" fontId="50" fillId="0" borderId="149" xfId="1" applyFont="1" applyBorder="1" applyAlignment="1">
      <alignment horizontal="right" wrapText="1"/>
    </xf>
    <xf numFmtId="0" fontId="50" fillId="0" borderId="150" xfId="1" applyFont="1" applyBorder="1" applyAlignment="1">
      <alignment horizontal="right" wrapText="1"/>
    </xf>
    <xf numFmtId="0" fontId="50" fillId="0" borderId="151" xfId="1" applyFont="1" applyBorder="1" applyAlignment="1">
      <alignment horizontal="right" wrapText="1"/>
    </xf>
    <xf numFmtId="44" fontId="64" fillId="0" borderId="150" xfId="1" applyNumberFormat="1" applyFont="1" applyBorder="1" applyAlignment="1">
      <alignment horizontal="center" vertical="center"/>
    </xf>
    <xf numFmtId="44" fontId="64" fillId="0" borderId="151" xfId="1" applyNumberFormat="1" applyFont="1" applyBorder="1" applyAlignment="1">
      <alignment horizontal="center" vertical="center"/>
    </xf>
    <xf numFmtId="0" fontId="30" fillId="12" borderId="80" xfId="9" applyFont="1" applyFill="1" applyBorder="1" applyAlignment="1">
      <alignment horizontal="center"/>
    </xf>
    <xf numFmtId="0" fontId="30" fillId="12" borderId="81" xfId="9" applyFont="1" applyFill="1" applyBorder="1" applyAlignment="1">
      <alignment horizontal="center"/>
    </xf>
    <xf numFmtId="0" fontId="72" fillId="12" borderId="80" xfId="9" applyFont="1" applyFill="1" applyBorder="1" applyAlignment="1">
      <alignment horizontal="center"/>
    </xf>
    <xf numFmtId="0" fontId="72" fillId="12" borderId="86" xfId="9" applyFont="1" applyFill="1" applyBorder="1" applyAlignment="1">
      <alignment horizontal="center"/>
    </xf>
  </cellXfs>
  <cellStyles count="12">
    <cellStyle name="Měna 2" xfId="6" xr:uid="{A4403129-6A50-44C0-9F55-6AECF0151BEE}"/>
    <cellStyle name="Měna 3" xfId="8" xr:uid="{2040F750-D961-4CB6-B1B6-97A3F1204A3B}"/>
    <cellStyle name="Normální" xfId="0" builtinId="0"/>
    <cellStyle name="Normální 2" xfId="1" xr:uid="{F7CF4200-CA9F-44FD-9A86-A01C8F049708}"/>
    <cellStyle name="Normální 3" xfId="3" xr:uid="{27DC9477-793A-4274-86F0-F19269D0D508}"/>
    <cellStyle name="Normální 4" xfId="5" xr:uid="{2927B388-3559-4953-85F0-BE831C46FA2A}"/>
    <cellStyle name="Normální 5" xfId="9" xr:uid="{2707FCF3-FA47-4B0E-A8E7-89D2A21EC7A2}"/>
    <cellStyle name="normální_Kupni_smlouva 10" xfId="7" xr:uid="{D5DFD9C4-9CD9-4467-8239-959B3F1A163D}"/>
    <cellStyle name="normální_Tabulka standardů - oceněná" xfId="10" xr:uid="{9EBAC916-A718-4747-BC7E-FBC60493B812}"/>
    <cellStyle name="normální_tabulka zařizováky- oceněné" xfId="11" xr:uid="{785A2A78-92B8-4A61-A2C2-1DB675712409}"/>
    <cellStyle name="Procenta 2" xfId="4" xr:uid="{A2BF4774-29F3-4191-A43D-8223EFD3AE39}"/>
    <cellStyle name="Styl 1" xfId="2" xr:uid="{73D5DE4D-6280-43FC-AA96-BB331FE65E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3" Type="http://schemas.openxmlformats.org/officeDocument/2006/relationships/image" Target="../media/image14.jpeg"/><Relationship Id="rId18" Type="http://schemas.openxmlformats.org/officeDocument/2006/relationships/image" Target="../media/image19.jpeg"/><Relationship Id="rId26" Type="http://schemas.openxmlformats.org/officeDocument/2006/relationships/image" Target="../media/image27.jpeg"/><Relationship Id="rId39" Type="http://schemas.openxmlformats.org/officeDocument/2006/relationships/image" Target="../media/image40.jpeg"/><Relationship Id="rId21" Type="http://schemas.openxmlformats.org/officeDocument/2006/relationships/image" Target="../media/image22.jpeg"/><Relationship Id="rId34" Type="http://schemas.openxmlformats.org/officeDocument/2006/relationships/image" Target="../media/image35.jpeg"/><Relationship Id="rId42" Type="http://schemas.openxmlformats.org/officeDocument/2006/relationships/image" Target="../media/image43.jpeg"/><Relationship Id="rId47" Type="http://schemas.openxmlformats.org/officeDocument/2006/relationships/image" Target="../media/image48.jpeg"/><Relationship Id="rId50" Type="http://schemas.openxmlformats.org/officeDocument/2006/relationships/image" Target="../media/image51.jpeg"/><Relationship Id="rId55" Type="http://schemas.openxmlformats.org/officeDocument/2006/relationships/image" Target="../media/image56.jpeg"/><Relationship Id="rId7" Type="http://schemas.openxmlformats.org/officeDocument/2006/relationships/image" Target="../media/image8.jpeg"/><Relationship Id="rId12" Type="http://schemas.openxmlformats.org/officeDocument/2006/relationships/image" Target="../media/image13.jpeg"/><Relationship Id="rId17" Type="http://schemas.openxmlformats.org/officeDocument/2006/relationships/image" Target="../media/image18.jpeg"/><Relationship Id="rId25" Type="http://schemas.openxmlformats.org/officeDocument/2006/relationships/image" Target="../media/image26.jpeg"/><Relationship Id="rId33" Type="http://schemas.openxmlformats.org/officeDocument/2006/relationships/image" Target="../media/image34.jpeg"/><Relationship Id="rId38" Type="http://schemas.openxmlformats.org/officeDocument/2006/relationships/image" Target="../media/image39.jpeg"/><Relationship Id="rId46" Type="http://schemas.openxmlformats.org/officeDocument/2006/relationships/image" Target="../media/image47.jpeg"/><Relationship Id="rId2" Type="http://schemas.openxmlformats.org/officeDocument/2006/relationships/image" Target="../media/image3.jpeg"/><Relationship Id="rId16" Type="http://schemas.openxmlformats.org/officeDocument/2006/relationships/image" Target="../media/image17.jpeg"/><Relationship Id="rId20" Type="http://schemas.openxmlformats.org/officeDocument/2006/relationships/image" Target="../media/image21.jpeg"/><Relationship Id="rId29" Type="http://schemas.openxmlformats.org/officeDocument/2006/relationships/image" Target="../media/image30.png"/><Relationship Id="rId41" Type="http://schemas.openxmlformats.org/officeDocument/2006/relationships/image" Target="../media/image42.jpeg"/><Relationship Id="rId54" Type="http://schemas.openxmlformats.org/officeDocument/2006/relationships/image" Target="../media/image55.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24" Type="http://schemas.openxmlformats.org/officeDocument/2006/relationships/image" Target="../media/image25.jpeg"/><Relationship Id="rId32" Type="http://schemas.openxmlformats.org/officeDocument/2006/relationships/image" Target="../media/image33.jpeg"/><Relationship Id="rId37" Type="http://schemas.openxmlformats.org/officeDocument/2006/relationships/image" Target="../media/image38.png"/><Relationship Id="rId40" Type="http://schemas.openxmlformats.org/officeDocument/2006/relationships/image" Target="../media/image41.jpeg"/><Relationship Id="rId45" Type="http://schemas.openxmlformats.org/officeDocument/2006/relationships/image" Target="../media/image46.jpeg"/><Relationship Id="rId53" Type="http://schemas.openxmlformats.org/officeDocument/2006/relationships/image" Target="../media/image54.jpeg"/><Relationship Id="rId5" Type="http://schemas.openxmlformats.org/officeDocument/2006/relationships/image" Target="../media/image6.jpeg"/><Relationship Id="rId15" Type="http://schemas.openxmlformats.org/officeDocument/2006/relationships/image" Target="../media/image16.jpeg"/><Relationship Id="rId23" Type="http://schemas.openxmlformats.org/officeDocument/2006/relationships/image" Target="../media/image24.jpeg"/><Relationship Id="rId28" Type="http://schemas.openxmlformats.org/officeDocument/2006/relationships/image" Target="../media/image29.jpeg"/><Relationship Id="rId36" Type="http://schemas.openxmlformats.org/officeDocument/2006/relationships/image" Target="../media/image37.jpeg"/><Relationship Id="rId49" Type="http://schemas.openxmlformats.org/officeDocument/2006/relationships/image" Target="../media/image50.jpeg"/><Relationship Id="rId57" Type="http://schemas.openxmlformats.org/officeDocument/2006/relationships/image" Target="../media/image58.jpeg"/><Relationship Id="rId10" Type="http://schemas.openxmlformats.org/officeDocument/2006/relationships/image" Target="../media/image11.jpeg"/><Relationship Id="rId19" Type="http://schemas.openxmlformats.org/officeDocument/2006/relationships/image" Target="../media/image20.jpeg"/><Relationship Id="rId31" Type="http://schemas.openxmlformats.org/officeDocument/2006/relationships/image" Target="../media/image32.jpeg"/><Relationship Id="rId44" Type="http://schemas.openxmlformats.org/officeDocument/2006/relationships/image" Target="../media/image45.jpeg"/><Relationship Id="rId52" Type="http://schemas.openxmlformats.org/officeDocument/2006/relationships/image" Target="../media/image53.png"/><Relationship Id="rId4" Type="http://schemas.openxmlformats.org/officeDocument/2006/relationships/image" Target="../media/image5.jpeg"/><Relationship Id="rId9" Type="http://schemas.openxmlformats.org/officeDocument/2006/relationships/image" Target="../media/image10.jpeg"/><Relationship Id="rId14" Type="http://schemas.openxmlformats.org/officeDocument/2006/relationships/image" Target="../media/image15.jpeg"/><Relationship Id="rId22" Type="http://schemas.openxmlformats.org/officeDocument/2006/relationships/image" Target="../media/image23.jpeg"/><Relationship Id="rId27" Type="http://schemas.openxmlformats.org/officeDocument/2006/relationships/image" Target="../media/image28.jpeg"/><Relationship Id="rId30" Type="http://schemas.openxmlformats.org/officeDocument/2006/relationships/image" Target="../media/image31.jpeg"/><Relationship Id="rId35" Type="http://schemas.openxmlformats.org/officeDocument/2006/relationships/image" Target="../media/image36.jpeg"/><Relationship Id="rId43" Type="http://schemas.openxmlformats.org/officeDocument/2006/relationships/image" Target="../media/image44.jpeg"/><Relationship Id="rId48" Type="http://schemas.openxmlformats.org/officeDocument/2006/relationships/image" Target="../media/image49.jpeg"/><Relationship Id="rId56" Type="http://schemas.openxmlformats.org/officeDocument/2006/relationships/image" Target="../media/image57.jpeg"/><Relationship Id="rId8" Type="http://schemas.openxmlformats.org/officeDocument/2006/relationships/image" Target="../media/image9.jpeg"/><Relationship Id="rId51" Type="http://schemas.openxmlformats.org/officeDocument/2006/relationships/image" Target="../media/image52.jpeg"/><Relationship Id="rId3"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4.xml><?xml version="1.0" encoding="utf-8"?>
<xdr:wsDr xmlns:xdr="http://schemas.openxmlformats.org/drawingml/2006/spreadsheetDrawing" xmlns:a="http://schemas.openxmlformats.org/drawingml/2006/main">
  <xdr:twoCellAnchor>
    <xdr:from>
      <xdr:col>0</xdr:col>
      <xdr:colOff>581025</xdr:colOff>
      <xdr:row>47</xdr:row>
      <xdr:rowOff>0</xdr:rowOff>
    </xdr:from>
    <xdr:to>
      <xdr:col>3</xdr:col>
      <xdr:colOff>295275</xdr:colOff>
      <xdr:row>47</xdr:row>
      <xdr:rowOff>0</xdr:rowOff>
    </xdr:to>
    <xdr:pic>
      <xdr:nvPicPr>
        <xdr:cNvPr id="2" name="Picture 837" descr="AUP_29_87">
          <a:extLst>
            <a:ext uri="{FF2B5EF4-FFF2-40B4-BE49-F238E27FC236}">
              <a16:creationId xmlns:a16="http://schemas.microsoft.com/office/drawing/2014/main" id="{AD77F26F-CD41-4197-B2BE-9C28551E7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8029575"/>
          <a:ext cx="1543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600075</xdr:colOff>
      <xdr:row>33</xdr:row>
      <xdr:rowOff>142875</xdr:rowOff>
    </xdr:from>
    <xdr:to>
      <xdr:col>4</xdr:col>
      <xdr:colOff>1314450</xdr:colOff>
      <xdr:row>41</xdr:row>
      <xdr:rowOff>19050</xdr:rowOff>
    </xdr:to>
    <xdr:pic>
      <xdr:nvPicPr>
        <xdr:cNvPr id="3" name="Picture 1685" descr="KLUDI Logo NEO">
          <a:extLst>
            <a:ext uri="{FF2B5EF4-FFF2-40B4-BE49-F238E27FC236}">
              <a16:creationId xmlns:a16="http://schemas.microsoft.com/office/drawing/2014/main" id="{1CE32A68-1303-4B04-A703-E291A350AB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28875" y="5886450"/>
          <a:ext cx="13239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33</xdr:row>
      <xdr:rowOff>76200</xdr:rowOff>
    </xdr:from>
    <xdr:to>
      <xdr:col>2</xdr:col>
      <xdr:colOff>552450</xdr:colOff>
      <xdr:row>43</xdr:row>
      <xdr:rowOff>95250</xdr:rowOff>
    </xdr:to>
    <xdr:pic>
      <xdr:nvPicPr>
        <xdr:cNvPr id="4" name="Picture 838" descr="KOLO Nova Pro umyvadlo 55x44 stojánková">
          <a:extLst>
            <a:ext uri="{FF2B5EF4-FFF2-40B4-BE49-F238E27FC236}">
              <a16:creationId xmlns:a16="http://schemas.microsoft.com/office/drawing/2014/main" id="{FAFF08AD-978D-43B5-B4EE-84D3F1D7B6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5819775"/>
          <a:ext cx="163830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39</xdr:row>
      <xdr:rowOff>38100</xdr:rowOff>
    </xdr:from>
    <xdr:to>
      <xdr:col>3</xdr:col>
      <xdr:colOff>228600</xdr:colOff>
      <xdr:row>45</xdr:row>
      <xdr:rowOff>114300</xdr:rowOff>
    </xdr:to>
    <xdr:pic>
      <xdr:nvPicPr>
        <xdr:cNvPr id="5" name="Picture 839" descr="KOLO Nova Pro polosloup umyvadla 50_55_60">
          <a:extLst>
            <a:ext uri="{FF2B5EF4-FFF2-40B4-BE49-F238E27FC236}">
              <a16:creationId xmlns:a16="http://schemas.microsoft.com/office/drawing/2014/main" id="{FE87C51E-B02C-45AF-948C-CD52AE7FC8B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9650" y="6753225"/>
          <a:ext cx="10477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34</xdr:row>
      <xdr:rowOff>0</xdr:rowOff>
    </xdr:from>
    <xdr:to>
      <xdr:col>3</xdr:col>
      <xdr:colOff>485775</xdr:colOff>
      <xdr:row>38</xdr:row>
      <xdr:rowOff>85725</xdr:rowOff>
    </xdr:to>
    <xdr:pic>
      <xdr:nvPicPr>
        <xdr:cNvPr id="6" name="Picture 5" descr="http://www.bagno.cz/out/pictures/z1/ap-a390_2015.jpg">
          <a:extLst>
            <a:ext uri="{FF2B5EF4-FFF2-40B4-BE49-F238E27FC236}">
              <a16:creationId xmlns:a16="http://schemas.microsoft.com/office/drawing/2014/main" id="{DF0E9A6E-8961-4382-869F-74B70DFF9A7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47850" y="5905500"/>
          <a:ext cx="466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581025</xdr:colOff>
      <xdr:row>122</xdr:row>
      <xdr:rowOff>0</xdr:rowOff>
    </xdr:from>
    <xdr:to>
      <xdr:col>3</xdr:col>
      <xdr:colOff>295275</xdr:colOff>
      <xdr:row>122</xdr:row>
      <xdr:rowOff>0</xdr:rowOff>
    </xdr:to>
    <xdr:pic>
      <xdr:nvPicPr>
        <xdr:cNvPr id="7" name="Picture 837" descr="AUP_29_87">
          <a:extLst>
            <a:ext uri="{FF2B5EF4-FFF2-40B4-BE49-F238E27FC236}">
              <a16:creationId xmlns:a16="http://schemas.microsoft.com/office/drawing/2014/main" id="{9C0F484B-2176-40A6-AB09-575856099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20478750"/>
          <a:ext cx="1543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581025</xdr:colOff>
      <xdr:row>122</xdr:row>
      <xdr:rowOff>0</xdr:rowOff>
    </xdr:from>
    <xdr:to>
      <xdr:col>3</xdr:col>
      <xdr:colOff>295275</xdr:colOff>
      <xdr:row>122</xdr:row>
      <xdr:rowOff>0</xdr:rowOff>
    </xdr:to>
    <xdr:pic>
      <xdr:nvPicPr>
        <xdr:cNvPr id="8" name="Picture 837" descr="AUP_29_87">
          <a:extLst>
            <a:ext uri="{FF2B5EF4-FFF2-40B4-BE49-F238E27FC236}">
              <a16:creationId xmlns:a16="http://schemas.microsoft.com/office/drawing/2014/main" id="{60DECE87-5A07-427E-9F57-6021642F1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20478750"/>
          <a:ext cx="1543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209550</xdr:colOff>
      <xdr:row>102</xdr:row>
      <xdr:rowOff>95250</xdr:rowOff>
    </xdr:from>
    <xdr:to>
      <xdr:col>1</xdr:col>
      <xdr:colOff>600075</xdr:colOff>
      <xdr:row>119</xdr:row>
      <xdr:rowOff>0</xdr:rowOff>
    </xdr:to>
    <xdr:pic>
      <xdr:nvPicPr>
        <xdr:cNvPr id="9" name="Obrázek 53" descr="92246100.jpg">
          <a:extLst>
            <a:ext uri="{FF2B5EF4-FFF2-40B4-BE49-F238E27FC236}">
              <a16:creationId xmlns:a16="http://schemas.microsoft.com/office/drawing/2014/main" id="{252C77D0-6103-4BD7-BAD5-4C691AC99D0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9550" y="17316450"/>
          <a:ext cx="1000125"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1219200</xdr:colOff>
      <xdr:row>105</xdr:row>
      <xdr:rowOff>57150</xdr:rowOff>
    </xdr:from>
    <xdr:to>
      <xdr:col>5</xdr:col>
      <xdr:colOff>857250</xdr:colOff>
      <xdr:row>109</xdr:row>
      <xdr:rowOff>38100</xdr:rowOff>
    </xdr:to>
    <xdr:pic>
      <xdr:nvPicPr>
        <xdr:cNvPr id="10" name="Obrázek 54" descr="images.jpg">
          <a:extLst>
            <a:ext uri="{FF2B5EF4-FFF2-40B4-BE49-F238E27FC236}">
              <a16:creationId xmlns:a16="http://schemas.microsoft.com/office/drawing/2014/main" id="{49FF7520-A6DA-48DB-A2DE-B45220CF00B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657600" y="17764125"/>
          <a:ext cx="9620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342900</xdr:colOff>
      <xdr:row>108</xdr:row>
      <xdr:rowOff>123825</xdr:rowOff>
    </xdr:from>
    <xdr:to>
      <xdr:col>4</xdr:col>
      <xdr:colOff>1019175</xdr:colOff>
      <xdr:row>120</xdr:row>
      <xdr:rowOff>76200</xdr:rowOff>
    </xdr:to>
    <xdr:pic>
      <xdr:nvPicPr>
        <xdr:cNvPr id="11" name="Picture 1128">
          <a:extLst>
            <a:ext uri="{FF2B5EF4-FFF2-40B4-BE49-F238E27FC236}">
              <a16:creationId xmlns:a16="http://schemas.microsoft.com/office/drawing/2014/main" id="{3209282C-70D1-4783-AEDF-1C81E2B0D23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562100" y="18316575"/>
          <a:ext cx="1895475"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581025</xdr:colOff>
      <xdr:row>104</xdr:row>
      <xdr:rowOff>114300</xdr:rowOff>
    </xdr:from>
    <xdr:to>
      <xdr:col>4</xdr:col>
      <xdr:colOff>895350</xdr:colOff>
      <xdr:row>111</xdr:row>
      <xdr:rowOff>95250</xdr:rowOff>
    </xdr:to>
    <xdr:pic>
      <xdr:nvPicPr>
        <xdr:cNvPr id="12" name="Picture 1129">
          <a:extLst>
            <a:ext uri="{FF2B5EF4-FFF2-40B4-BE49-F238E27FC236}">
              <a16:creationId xmlns:a16="http://schemas.microsoft.com/office/drawing/2014/main" id="{DB43CD10-CB08-469B-91EF-C0F004B5EC1F}"/>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800225" y="17659350"/>
          <a:ext cx="153352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xdr:colOff>
      <xdr:row>104</xdr:row>
      <xdr:rowOff>19050</xdr:rowOff>
    </xdr:from>
    <xdr:to>
      <xdr:col>2</xdr:col>
      <xdr:colOff>571500</xdr:colOff>
      <xdr:row>105</xdr:row>
      <xdr:rowOff>38100</xdr:rowOff>
    </xdr:to>
    <xdr:pic>
      <xdr:nvPicPr>
        <xdr:cNvPr id="13" name="Picture 1360">
          <a:extLst>
            <a:ext uri="{FF2B5EF4-FFF2-40B4-BE49-F238E27FC236}">
              <a16:creationId xmlns:a16="http://schemas.microsoft.com/office/drawing/2014/main" id="{47BE728E-46AA-4DD7-81A9-5ED827200C71}"/>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04925" y="17564100"/>
          <a:ext cx="485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1114425</xdr:colOff>
      <xdr:row>110</xdr:row>
      <xdr:rowOff>85725</xdr:rowOff>
    </xdr:from>
    <xdr:to>
      <xdr:col>5</xdr:col>
      <xdr:colOff>819150</xdr:colOff>
      <xdr:row>113</xdr:row>
      <xdr:rowOff>28575</xdr:rowOff>
    </xdr:to>
    <xdr:pic>
      <xdr:nvPicPr>
        <xdr:cNvPr id="14" name="Picture 922" descr="SAPHO držák toaletního papíru bez krytu">
          <a:extLst>
            <a:ext uri="{FF2B5EF4-FFF2-40B4-BE49-F238E27FC236}">
              <a16:creationId xmlns:a16="http://schemas.microsoft.com/office/drawing/2014/main" id="{83CDC9D1-3B56-4B51-B7CF-59B7E171CE28}"/>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552825" y="18602325"/>
          <a:ext cx="10287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95250</xdr:colOff>
      <xdr:row>107</xdr:row>
      <xdr:rowOff>57150</xdr:rowOff>
    </xdr:from>
    <xdr:to>
      <xdr:col>6</xdr:col>
      <xdr:colOff>438150</xdr:colOff>
      <xdr:row>115</xdr:row>
      <xdr:rowOff>152400</xdr:rowOff>
    </xdr:to>
    <xdr:pic>
      <xdr:nvPicPr>
        <xdr:cNvPr id="15" name="Picture 923" descr="SAPHO WC štětka na postavení i pověšení">
          <a:extLst>
            <a:ext uri="{FF2B5EF4-FFF2-40B4-BE49-F238E27FC236}">
              <a16:creationId xmlns:a16="http://schemas.microsoft.com/office/drawing/2014/main" id="{F48F0AE3-5D26-4DB3-904A-76E7ECDEB788}"/>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848225" y="18087975"/>
          <a:ext cx="3429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171450</xdr:colOff>
      <xdr:row>35</xdr:row>
      <xdr:rowOff>104775</xdr:rowOff>
    </xdr:from>
    <xdr:to>
      <xdr:col>6</xdr:col>
      <xdr:colOff>619125</xdr:colOff>
      <xdr:row>41</xdr:row>
      <xdr:rowOff>152400</xdr:rowOff>
    </xdr:to>
    <xdr:pic>
      <xdr:nvPicPr>
        <xdr:cNvPr id="16" name="Picture 1024" descr="https://www.sagittarius.cz/img/_/product.97/20191003202937.vip-670610_big.jpg">
          <a:extLst>
            <a:ext uri="{FF2B5EF4-FFF2-40B4-BE49-F238E27FC236}">
              <a16:creationId xmlns:a16="http://schemas.microsoft.com/office/drawing/2014/main" id="{5774DAF7-31B3-4033-A669-F9EA8358E94B}"/>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933825" y="6172200"/>
          <a:ext cx="14382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342900</xdr:colOff>
      <xdr:row>70</xdr:row>
      <xdr:rowOff>76200</xdr:rowOff>
    </xdr:from>
    <xdr:to>
      <xdr:col>4</xdr:col>
      <xdr:colOff>895350</xdr:colOff>
      <xdr:row>81</xdr:row>
      <xdr:rowOff>85725</xdr:rowOff>
    </xdr:to>
    <xdr:pic>
      <xdr:nvPicPr>
        <xdr:cNvPr id="17" name="Picture 1156">
          <a:extLst>
            <a:ext uri="{FF2B5EF4-FFF2-40B4-BE49-F238E27FC236}">
              <a16:creationId xmlns:a16="http://schemas.microsoft.com/office/drawing/2014/main" id="{37B3479A-8FC8-448D-9EAF-B7A3D1FF6709}"/>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952500" y="11963400"/>
          <a:ext cx="238125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542925</xdr:colOff>
      <xdr:row>77</xdr:row>
      <xdr:rowOff>95250</xdr:rowOff>
    </xdr:from>
    <xdr:to>
      <xdr:col>4</xdr:col>
      <xdr:colOff>1295400</xdr:colOff>
      <xdr:row>85</xdr:row>
      <xdr:rowOff>38100</xdr:rowOff>
    </xdr:to>
    <xdr:pic>
      <xdr:nvPicPr>
        <xdr:cNvPr id="18" name="Picture 1157">
          <a:extLst>
            <a:ext uri="{FF2B5EF4-FFF2-40B4-BE49-F238E27FC236}">
              <a16:creationId xmlns:a16="http://schemas.microsoft.com/office/drawing/2014/main" id="{116C9AD0-6286-4251-8EA4-719F78475802}"/>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371725" y="13115925"/>
          <a:ext cx="13620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80</xdr:row>
      <xdr:rowOff>95250</xdr:rowOff>
    </xdr:from>
    <xdr:to>
      <xdr:col>6</xdr:col>
      <xdr:colOff>609600</xdr:colOff>
      <xdr:row>87</xdr:row>
      <xdr:rowOff>19050</xdr:rowOff>
    </xdr:to>
    <xdr:pic>
      <xdr:nvPicPr>
        <xdr:cNvPr id="19" name="Picture 1161">
          <a:extLst>
            <a:ext uri="{FF2B5EF4-FFF2-40B4-BE49-F238E27FC236}">
              <a16:creationId xmlns:a16="http://schemas.microsoft.com/office/drawing/2014/main" id="{08F289BA-4373-4B3B-929B-8ECF21684582}"/>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295775" y="13601700"/>
          <a:ext cx="10668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70</xdr:row>
      <xdr:rowOff>9525</xdr:rowOff>
    </xdr:from>
    <xdr:to>
      <xdr:col>6</xdr:col>
      <xdr:colOff>28575</xdr:colOff>
      <xdr:row>76</xdr:row>
      <xdr:rowOff>38100</xdr:rowOff>
    </xdr:to>
    <xdr:pic>
      <xdr:nvPicPr>
        <xdr:cNvPr id="20" name="Picture 1163">
          <a:extLst>
            <a:ext uri="{FF2B5EF4-FFF2-40B4-BE49-F238E27FC236}">
              <a16:creationId xmlns:a16="http://schemas.microsoft.com/office/drawing/2014/main" id="{7F3B6F17-8E2D-438F-AA44-72DEBD264E6C}"/>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781425" y="11896725"/>
          <a:ext cx="10001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70</xdr:row>
      <xdr:rowOff>38100</xdr:rowOff>
    </xdr:from>
    <xdr:to>
      <xdr:col>1</xdr:col>
      <xdr:colOff>590550</xdr:colOff>
      <xdr:row>76</xdr:row>
      <xdr:rowOff>133350</xdr:rowOff>
    </xdr:to>
    <xdr:pic>
      <xdr:nvPicPr>
        <xdr:cNvPr id="21" name="Picture 1164">
          <a:extLst>
            <a:ext uri="{FF2B5EF4-FFF2-40B4-BE49-F238E27FC236}">
              <a16:creationId xmlns:a16="http://schemas.microsoft.com/office/drawing/2014/main" id="{F65F3DEB-0431-4DC7-9F1E-4DE6273C113C}"/>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33350" y="11925300"/>
          <a:ext cx="10668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82</xdr:row>
      <xdr:rowOff>47625</xdr:rowOff>
    </xdr:from>
    <xdr:to>
      <xdr:col>3</xdr:col>
      <xdr:colOff>581025</xdr:colOff>
      <xdr:row>86</xdr:row>
      <xdr:rowOff>0</xdr:rowOff>
    </xdr:to>
    <xdr:pic>
      <xdr:nvPicPr>
        <xdr:cNvPr id="22" name="Picture 1013" descr="Schell Comfort - Pračkový připojovací ventil, chrom 033000699">
          <a:extLst>
            <a:ext uri="{FF2B5EF4-FFF2-40B4-BE49-F238E27FC236}">
              <a16:creationId xmlns:a16="http://schemas.microsoft.com/office/drawing/2014/main" id="{26FFDC97-9720-4410-8589-F1BD781B4A2D}"/>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514475" y="13877925"/>
          <a:ext cx="8953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76</xdr:row>
      <xdr:rowOff>123825</xdr:rowOff>
    </xdr:from>
    <xdr:to>
      <xdr:col>2</xdr:col>
      <xdr:colOff>304800</xdr:colOff>
      <xdr:row>81</xdr:row>
      <xdr:rowOff>142875</xdr:rowOff>
    </xdr:to>
    <xdr:pic>
      <xdr:nvPicPr>
        <xdr:cNvPr id="23" name="Picture 58" descr="vanové madlo KOLO Basic pevné madlo k umyvadlu 70 cm L2154405">
          <a:extLst>
            <a:ext uri="{FF2B5EF4-FFF2-40B4-BE49-F238E27FC236}">
              <a16:creationId xmlns:a16="http://schemas.microsoft.com/office/drawing/2014/main" id="{E1FC40A9-F999-41CD-9CA2-7467D66644EF}"/>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5250" y="12982575"/>
          <a:ext cx="14287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82</xdr:row>
      <xdr:rowOff>19050</xdr:rowOff>
    </xdr:from>
    <xdr:to>
      <xdr:col>2</xdr:col>
      <xdr:colOff>295275</xdr:colOff>
      <xdr:row>85</xdr:row>
      <xdr:rowOff>133350</xdr:rowOff>
    </xdr:to>
    <xdr:pic>
      <xdr:nvPicPr>
        <xdr:cNvPr id="24" name="Picture 1013" descr="Schell Comfort - Pračkový připojovací ventil, chrom 033000699">
          <a:extLst>
            <a:ext uri="{FF2B5EF4-FFF2-40B4-BE49-F238E27FC236}">
              <a16:creationId xmlns:a16="http://schemas.microsoft.com/office/drawing/2014/main" id="{174FDBF2-9B30-45FB-8234-E78E7B55BB2C}"/>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19125" y="13849350"/>
          <a:ext cx="8953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828675</xdr:colOff>
      <xdr:row>72</xdr:row>
      <xdr:rowOff>85725</xdr:rowOff>
    </xdr:from>
    <xdr:to>
      <xdr:col>4</xdr:col>
      <xdr:colOff>1295400</xdr:colOff>
      <xdr:row>77</xdr:row>
      <xdr:rowOff>0</xdr:rowOff>
    </xdr:to>
    <xdr:pic>
      <xdr:nvPicPr>
        <xdr:cNvPr id="25" name="Picture 5" descr="http://www.bagno.cz/out/pictures/z1/ap-a390_2015.jpg">
          <a:extLst>
            <a:ext uri="{FF2B5EF4-FFF2-40B4-BE49-F238E27FC236}">
              <a16:creationId xmlns:a16="http://schemas.microsoft.com/office/drawing/2014/main" id="{70A66186-A26E-45EF-B7F5-C840B34B0CD6}"/>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267075" y="12296775"/>
          <a:ext cx="4667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xdr:colOff>
      <xdr:row>75</xdr:row>
      <xdr:rowOff>142875</xdr:rowOff>
    </xdr:from>
    <xdr:to>
      <xdr:col>6</xdr:col>
      <xdr:colOff>476250</xdr:colOff>
      <xdr:row>82</xdr:row>
      <xdr:rowOff>28575</xdr:rowOff>
    </xdr:to>
    <xdr:pic>
      <xdr:nvPicPr>
        <xdr:cNvPr id="26" name="Picture 1024" descr="https://www.sagittarius.cz/img/_/product.97/20191003202937.vip-670610_big.jpg">
          <a:extLst>
            <a:ext uri="{FF2B5EF4-FFF2-40B4-BE49-F238E27FC236}">
              <a16:creationId xmlns:a16="http://schemas.microsoft.com/office/drawing/2014/main" id="{A1F09ED6-A4E5-4D46-8F21-A4265C11EDD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790950" y="12839700"/>
          <a:ext cx="14382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866775</xdr:colOff>
      <xdr:row>42</xdr:row>
      <xdr:rowOff>9525</xdr:rowOff>
    </xdr:from>
    <xdr:to>
      <xdr:col>5</xdr:col>
      <xdr:colOff>438150</xdr:colOff>
      <xdr:row>45</xdr:row>
      <xdr:rowOff>123825</xdr:rowOff>
    </xdr:to>
    <xdr:pic>
      <xdr:nvPicPr>
        <xdr:cNvPr id="27" name="Picture 1013" descr="Schell Comfort - Pračkový připojovací ventil, chrom 033000699">
          <a:extLst>
            <a:ext uri="{FF2B5EF4-FFF2-40B4-BE49-F238E27FC236}">
              <a16:creationId xmlns:a16="http://schemas.microsoft.com/office/drawing/2014/main" id="{8481C121-AD4A-42B2-8038-FD6F7DCA6ADC}"/>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305175" y="7210425"/>
          <a:ext cx="8953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581025</xdr:colOff>
      <xdr:row>41</xdr:row>
      <xdr:rowOff>142875</xdr:rowOff>
    </xdr:from>
    <xdr:to>
      <xdr:col>4</xdr:col>
      <xdr:colOff>866775</xdr:colOff>
      <xdr:row>45</xdr:row>
      <xdr:rowOff>95250</xdr:rowOff>
    </xdr:to>
    <xdr:pic>
      <xdr:nvPicPr>
        <xdr:cNvPr id="28" name="Picture 1013" descr="Schell Comfort - Pračkový připojovací ventil, chrom 033000699">
          <a:extLst>
            <a:ext uri="{FF2B5EF4-FFF2-40B4-BE49-F238E27FC236}">
              <a16:creationId xmlns:a16="http://schemas.microsoft.com/office/drawing/2014/main" id="{6A9F4CD4-BD57-41A5-9C86-1B809AF54262}"/>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2409825" y="7181850"/>
          <a:ext cx="8953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390525</xdr:colOff>
      <xdr:row>141</xdr:row>
      <xdr:rowOff>104775</xdr:rowOff>
    </xdr:from>
    <xdr:to>
      <xdr:col>4</xdr:col>
      <xdr:colOff>1295400</xdr:colOff>
      <xdr:row>157</xdr:row>
      <xdr:rowOff>19050</xdr:rowOff>
    </xdr:to>
    <xdr:pic>
      <xdr:nvPicPr>
        <xdr:cNvPr id="29" name="Picture 1174">
          <a:extLst>
            <a:ext uri="{FF2B5EF4-FFF2-40B4-BE49-F238E27FC236}">
              <a16:creationId xmlns:a16="http://schemas.microsoft.com/office/drawing/2014/main" id="{ACE670F8-1E1B-40FA-92BB-A4E5B66F78FC}"/>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90525" y="23793450"/>
          <a:ext cx="3343275" cy="2505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143</xdr:row>
      <xdr:rowOff>47625</xdr:rowOff>
    </xdr:from>
    <xdr:to>
      <xdr:col>1</xdr:col>
      <xdr:colOff>523875</xdr:colOff>
      <xdr:row>149</xdr:row>
      <xdr:rowOff>142875</xdr:rowOff>
    </xdr:to>
    <xdr:pic>
      <xdr:nvPicPr>
        <xdr:cNvPr id="30" name="Picture 1175">
          <a:extLst>
            <a:ext uri="{FF2B5EF4-FFF2-40B4-BE49-F238E27FC236}">
              <a16:creationId xmlns:a16="http://schemas.microsoft.com/office/drawing/2014/main" id="{2A6EB25E-45F9-4FA2-9021-B7BB2BC03A4E}"/>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6675" y="24060150"/>
          <a:ext cx="10668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876300</xdr:colOff>
      <xdr:row>143</xdr:row>
      <xdr:rowOff>47625</xdr:rowOff>
    </xdr:from>
    <xdr:to>
      <xdr:col>5</xdr:col>
      <xdr:colOff>419100</xdr:colOff>
      <xdr:row>148</xdr:row>
      <xdr:rowOff>9525</xdr:rowOff>
    </xdr:to>
    <xdr:pic>
      <xdr:nvPicPr>
        <xdr:cNvPr id="31" name="Obrázek 59" descr="ImageHandler.jpg">
          <a:extLst>
            <a:ext uri="{FF2B5EF4-FFF2-40B4-BE49-F238E27FC236}">
              <a16:creationId xmlns:a16="http://schemas.microsoft.com/office/drawing/2014/main" id="{8C3DA1F1-2D8D-4B8D-BBBA-B9F4F9C7DAEE}"/>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3314700" y="24060150"/>
          <a:ext cx="8667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561975</xdr:colOff>
      <xdr:row>148</xdr:row>
      <xdr:rowOff>28575</xdr:rowOff>
    </xdr:from>
    <xdr:to>
      <xdr:col>5</xdr:col>
      <xdr:colOff>923925</xdr:colOff>
      <xdr:row>157</xdr:row>
      <xdr:rowOff>76200</xdr:rowOff>
    </xdr:to>
    <xdr:pic>
      <xdr:nvPicPr>
        <xdr:cNvPr id="32" name="Picture 1181">
          <a:extLst>
            <a:ext uri="{FF2B5EF4-FFF2-40B4-BE49-F238E27FC236}">
              <a16:creationId xmlns:a16="http://schemas.microsoft.com/office/drawing/2014/main" id="{71120E41-A540-4708-9C26-39831D4C273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000375" y="24850725"/>
          <a:ext cx="168592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647700</xdr:colOff>
      <xdr:row>140</xdr:row>
      <xdr:rowOff>66675</xdr:rowOff>
    </xdr:from>
    <xdr:to>
      <xdr:col>6</xdr:col>
      <xdr:colOff>723900</xdr:colOff>
      <xdr:row>147</xdr:row>
      <xdr:rowOff>0</xdr:rowOff>
    </xdr:to>
    <xdr:pic>
      <xdr:nvPicPr>
        <xdr:cNvPr id="33" name="Picture 1182">
          <a:extLst>
            <a:ext uri="{FF2B5EF4-FFF2-40B4-BE49-F238E27FC236}">
              <a16:creationId xmlns:a16="http://schemas.microsoft.com/office/drawing/2014/main" id="{853D460E-AE41-4422-A931-58862F1BB8F6}"/>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410075" y="23593425"/>
          <a:ext cx="10668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146</xdr:row>
      <xdr:rowOff>104775</xdr:rowOff>
    </xdr:from>
    <xdr:to>
      <xdr:col>3</xdr:col>
      <xdr:colOff>571500</xdr:colOff>
      <xdr:row>147</xdr:row>
      <xdr:rowOff>123825</xdr:rowOff>
    </xdr:to>
    <xdr:pic>
      <xdr:nvPicPr>
        <xdr:cNvPr id="34" name="Picture 1184">
          <a:extLst>
            <a:ext uri="{FF2B5EF4-FFF2-40B4-BE49-F238E27FC236}">
              <a16:creationId xmlns:a16="http://schemas.microsoft.com/office/drawing/2014/main" id="{F1A37C38-C69B-4202-B476-9CA518FF227C}"/>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914525" y="24603075"/>
          <a:ext cx="485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933450</xdr:colOff>
      <xdr:row>146</xdr:row>
      <xdr:rowOff>123825</xdr:rowOff>
    </xdr:from>
    <xdr:to>
      <xdr:col>6</xdr:col>
      <xdr:colOff>971550</xdr:colOff>
      <xdr:row>149</xdr:row>
      <xdr:rowOff>66675</xdr:rowOff>
    </xdr:to>
    <xdr:pic>
      <xdr:nvPicPr>
        <xdr:cNvPr id="35" name="Picture 922" descr="SAPHO držák toaletního papíru bez krytu">
          <a:extLst>
            <a:ext uri="{FF2B5EF4-FFF2-40B4-BE49-F238E27FC236}">
              <a16:creationId xmlns:a16="http://schemas.microsoft.com/office/drawing/2014/main" id="{966900AC-54DA-4728-8DC7-477459915E62}"/>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695825" y="24622125"/>
          <a:ext cx="10287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409575</xdr:colOff>
      <xdr:row>149</xdr:row>
      <xdr:rowOff>57150</xdr:rowOff>
    </xdr:from>
    <xdr:to>
      <xdr:col>6</xdr:col>
      <xdr:colOff>752475</xdr:colOff>
      <xdr:row>157</xdr:row>
      <xdr:rowOff>142875</xdr:rowOff>
    </xdr:to>
    <xdr:pic>
      <xdr:nvPicPr>
        <xdr:cNvPr id="36" name="Picture 923" descr="SAPHO WC štětka na postavení i pověšení">
          <a:extLst>
            <a:ext uri="{FF2B5EF4-FFF2-40B4-BE49-F238E27FC236}">
              <a16:creationId xmlns:a16="http://schemas.microsoft.com/office/drawing/2014/main" id="{22E39435-0705-4EDA-BBA4-CC76729C5E6E}"/>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5162550" y="25041225"/>
          <a:ext cx="3429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179</xdr:row>
      <xdr:rowOff>95250</xdr:rowOff>
    </xdr:from>
    <xdr:to>
      <xdr:col>3</xdr:col>
      <xdr:colOff>228600</xdr:colOff>
      <xdr:row>188</xdr:row>
      <xdr:rowOff>47625</xdr:rowOff>
    </xdr:to>
    <xdr:pic>
      <xdr:nvPicPr>
        <xdr:cNvPr id="37" name="Picture 147" descr="http://www.wellmall.cz/image/products/P-IM01-3271.png">
          <a:extLst>
            <a:ext uri="{FF2B5EF4-FFF2-40B4-BE49-F238E27FC236}">
              <a16:creationId xmlns:a16="http://schemas.microsoft.com/office/drawing/2014/main" id="{E1B7907D-68F2-4BF4-8BBE-691CA288403C}"/>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57150" y="30089475"/>
          <a:ext cx="200025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523875</xdr:colOff>
      <xdr:row>183</xdr:row>
      <xdr:rowOff>133350</xdr:rowOff>
    </xdr:from>
    <xdr:to>
      <xdr:col>4</xdr:col>
      <xdr:colOff>200025</xdr:colOff>
      <xdr:row>186</xdr:row>
      <xdr:rowOff>76200</xdr:rowOff>
    </xdr:to>
    <xdr:pic>
      <xdr:nvPicPr>
        <xdr:cNvPr id="38" name="Picture 92" descr="http://eshop.ptacek.cz/ViewImage.aspx?id=184546">
          <a:extLst>
            <a:ext uri="{FF2B5EF4-FFF2-40B4-BE49-F238E27FC236}">
              <a16:creationId xmlns:a16="http://schemas.microsoft.com/office/drawing/2014/main" id="{457D8198-964D-4D8F-BD83-95746376E26C}"/>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2352675" y="30775275"/>
          <a:ext cx="285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561975</xdr:colOff>
      <xdr:row>181</xdr:row>
      <xdr:rowOff>133350</xdr:rowOff>
    </xdr:from>
    <xdr:to>
      <xdr:col>5</xdr:col>
      <xdr:colOff>85725</xdr:colOff>
      <xdr:row>186</xdr:row>
      <xdr:rowOff>114300</xdr:rowOff>
    </xdr:to>
    <xdr:pic>
      <xdr:nvPicPr>
        <xdr:cNvPr id="39" name="Picture 93" descr="https://p1-ssl.arukereso.hu/full/271079325.ravak-professional-90-zuhanytalca-szifon.jpg">
          <a:extLst>
            <a:ext uri="{FF2B5EF4-FFF2-40B4-BE49-F238E27FC236}">
              <a16:creationId xmlns:a16="http://schemas.microsoft.com/office/drawing/2014/main" id="{15820FC6-DB11-49EB-BDFB-87B1B9B7AD9D}"/>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3000375" y="30451425"/>
          <a:ext cx="8477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188</xdr:row>
      <xdr:rowOff>66675</xdr:rowOff>
    </xdr:from>
    <xdr:to>
      <xdr:col>2</xdr:col>
      <xdr:colOff>409575</xdr:colOff>
      <xdr:row>195</xdr:row>
      <xdr:rowOff>57150</xdr:rowOff>
    </xdr:to>
    <xdr:pic>
      <xdr:nvPicPr>
        <xdr:cNvPr id="40" name="Picture 87" descr="http://jika-shop.cz/preview/Lyra-plus-sprchova-baterie-chrom-bez-prisl-610.jpg?w=600&amp;h=450">
          <a:extLst>
            <a:ext uri="{FF2B5EF4-FFF2-40B4-BE49-F238E27FC236}">
              <a16:creationId xmlns:a16="http://schemas.microsoft.com/office/drawing/2014/main" id="{41DAF712-B40C-4029-AB9E-2BA99D3970B4}"/>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95250" y="31518225"/>
          <a:ext cx="15335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514350</xdr:colOff>
      <xdr:row>187</xdr:row>
      <xdr:rowOff>9525</xdr:rowOff>
    </xdr:from>
    <xdr:to>
      <xdr:col>5</xdr:col>
      <xdr:colOff>0</xdr:colOff>
      <xdr:row>196</xdr:row>
      <xdr:rowOff>9525</xdr:rowOff>
    </xdr:to>
    <xdr:pic>
      <xdr:nvPicPr>
        <xdr:cNvPr id="41" name="Picture 88" descr="Sprchová sada s tyčí Jika LYRA Plus, chrom ">
          <a:extLst>
            <a:ext uri="{FF2B5EF4-FFF2-40B4-BE49-F238E27FC236}">
              <a16:creationId xmlns:a16="http://schemas.microsoft.com/office/drawing/2014/main" id="{22A9CDD9-A92B-4522-9A32-083F3B665294}"/>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1733550" y="31299150"/>
          <a:ext cx="202882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179</xdr:row>
      <xdr:rowOff>66675</xdr:rowOff>
    </xdr:from>
    <xdr:to>
      <xdr:col>6</xdr:col>
      <xdr:colOff>933450</xdr:colOff>
      <xdr:row>196</xdr:row>
      <xdr:rowOff>76200</xdr:rowOff>
    </xdr:to>
    <xdr:pic>
      <xdr:nvPicPr>
        <xdr:cNvPr id="42" name="Picture 1976" descr="KYC_641K-b55a5cae-2">
          <a:extLst>
            <a:ext uri="{FF2B5EF4-FFF2-40B4-BE49-F238E27FC236}">
              <a16:creationId xmlns:a16="http://schemas.microsoft.com/office/drawing/2014/main" id="{C709CCDB-4E0D-4D32-8D7D-1FBDDA7567D9}"/>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3800475" y="30060900"/>
          <a:ext cx="18859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179</xdr:row>
      <xdr:rowOff>133350</xdr:rowOff>
    </xdr:from>
    <xdr:to>
      <xdr:col>4</xdr:col>
      <xdr:colOff>419100</xdr:colOff>
      <xdr:row>183</xdr:row>
      <xdr:rowOff>38100</xdr:rowOff>
    </xdr:to>
    <xdr:pic>
      <xdr:nvPicPr>
        <xdr:cNvPr id="43" name="Picture 1024" descr="Drátěná police do sprchy, střední hluboká, tvar hranatý košík NIMCO Drátěný  program OP 112N-26 | FAVI.cz">
          <a:extLst>
            <a:ext uri="{FF2B5EF4-FFF2-40B4-BE49-F238E27FC236}">
              <a16:creationId xmlns:a16="http://schemas.microsoft.com/office/drawing/2014/main" id="{22458D44-33AB-4F75-93AE-AB3B6733D183}"/>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2257425" y="30127575"/>
          <a:ext cx="6000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1114425</xdr:colOff>
      <xdr:row>222</xdr:row>
      <xdr:rowOff>104775</xdr:rowOff>
    </xdr:from>
    <xdr:to>
      <xdr:col>6</xdr:col>
      <xdr:colOff>942975</xdr:colOff>
      <xdr:row>235</xdr:row>
      <xdr:rowOff>142875</xdr:rowOff>
    </xdr:to>
    <xdr:pic>
      <xdr:nvPicPr>
        <xdr:cNvPr id="44" name="Picture 1304">
          <a:extLst>
            <a:ext uri="{FF2B5EF4-FFF2-40B4-BE49-F238E27FC236}">
              <a16:creationId xmlns:a16="http://schemas.microsoft.com/office/drawing/2014/main" id="{C6A05551-05F9-4926-9734-0854E3B09292}"/>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3552825" y="37214175"/>
          <a:ext cx="2143125"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223</xdr:row>
      <xdr:rowOff>95250</xdr:rowOff>
    </xdr:from>
    <xdr:to>
      <xdr:col>1</xdr:col>
      <xdr:colOff>485775</xdr:colOff>
      <xdr:row>232</xdr:row>
      <xdr:rowOff>38100</xdr:rowOff>
    </xdr:to>
    <xdr:pic>
      <xdr:nvPicPr>
        <xdr:cNvPr id="45" name="Picture 1306">
          <a:extLst>
            <a:ext uri="{FF2B5EF4-FFF2-40B4-BE49-F238E27FC236}">
              <a16:creationId xmlns:a16="http://schemas.microsoft.com/office/drawing/2014/main" id="{67E9A20A-BE1B-428D-9511-9C1B9F500FB8}"/>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61925" y="37366575"/>
          <a:ext cx="93345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237</xdr:row>
      <xdr:rowOff>85725</xdr:rowOff>
    </xdr:from>
    <xdr:to>
      <xdr:col>4</xdr:col>
      <xdr:colOff>523875</xdr:colOff>
      <xdr:row>244</xdr:row>
      <xdr:rowOff>161925</xdr:rowOff>
    </xdr:to>
    <xdr:pic>
      <xdr:nvPicPr>
        <xdr:cNvPr id="46" name="Obrázek 6">
          <a:extLst>
            <a:ext uri="{FF2B5EF4-FFF2-40B4-BE49-F238E27FC236}">
              <a16:creationId xmlns:a16="http://schemas.microsoft.com/office/drawing/2014/main" id="{E95DCD2E-CB2B-4672-BF01-855F2B6C74AA}"/>
            </a:ext>
          </a:extLst>
        </xdr:cNvPr>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t="31015" b="27130"/>
        <a:stretch>
          <a:fillRect/>
        </a:stretch>
      </xdr:blipFill>
      <xdr:spPr bwMode="auto">
        <a:xfrm>
          <a:off x="57150" y="39624000"/>
          <a:ext cx="290512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276225</xdr:colOff>
      <xdr:row>223</xdr:row>
      <xdr:rowOff>142875</xdr:rowOff>
    </xdr:from>
    <xdr:to>
      <xdr:col>4</xdr:col>
      <xdr:colOff>1000125</xdr:colOff>
      <xdr:row>232</xdr:row>
      <xdr:rowOff>9525</xdr:rowOff>
    </xdr:to>
    <xdr:pic>
      <xdr:nvPicPr>
        <xdr:cNvPr id="47" name="Obrázek 52">
          <a:extLst>
            <a:ext uri="{FF2B5EF4-FFF2-40B4-BE49-F238E27FC236}">
              <a16:creationId xmlns:a16="http://schemas.microsoft.com/office/drawing/2014/main" id="{7085748C-4EA1-4465-B742-98618ED331E2}"/>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2105025" y="37414200"/>
          <a:ext cx="133350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232</xdr:row>
      <xdr:rowOff>114300</xdr:rowOff>
    </xdr:from>
    <xdr:to>
      <xdr:col>4</xdr:col>
      <xdr:colOff>142875</xdr:colOff>
      <xdr:row>238</xdr:row>
      <xdr:rowOff>104775</xdr:rowOff>
    </xdr:to>
    <xdr:pic>
      <xdr:nvPicPr>
        <xdr:cNvPr id="48" name="Obrázek 49">
          <a:extLst>
            <a:ext uri="{FF2B5EF4-FFF2-40B4-BE49-F238E27FC236}">
              <a16:creationId xmlns:a16="http://schemas.microsoft.com/office/drawing/2014/main" id="{797B03B4-A5D6-4104-8ACE-392997FA3480}"/>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t="29790" b="31628"/>
        <a:stretch>
          <a:fillRect/>
        </a:stretch>
      </xdr:blipFill>
      <xdr:spPr bwMode="auto">
        <a:xfrm>
          <a:off x="47625" y="38842950"/>
          <a:ext cx="25336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504825</xdr:colOff>
      <xdr:row>223</xdr:row>
      <xdr:rowOff>104775</xdr:rowOff>
    </xdr:from>
    <xdr:to>
      <xdr:col>3</xdr:col>
      <xdr:colOff>171450</xdr:colOff>
      <xdr:row>234</xdr:row>
      <xdr:rowOff>85725</xdr:rowOff>
    </xdr:to>
    <xdr:pic>
      <xdr:nvPicPr>
        <xdr:cNvPr id="49" name="Picture 1307">
          <a:extLst>
            <a:ext uri="{FF2B5EF4-FFF2-40B4-BE49-F238E27FC236}">
              <a16:creationId xmlns:a16="http://schemas.microsoft.com/office/drawing/2014/main" id="{2EC7AFD4-F51A-4B08-8C3B-D3E4983D1879}"/>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1114425" y="37376100"/>
          <a:ext cx="885825"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231</xdr:row>
      <xdr:rowOff>95250</xdr:rowOff>
    </xdr:from>
    <xdr:to>
      <xdr:col>5</xdr:col>
      <xdr:colOff>552450</xdr:colOff>
      <xdr:row>240</xdr:row>
      <xdr:rowOff>19050</xdr:rowOff>
    </xdr:to>
    <xdr:pic>
      <xdr:nvPicPr>
        <xdr:cNvPr id="50" name="Picture 1900" descr="HL3100">
          <a:extLst>
            <a:ext uri="{FF2B5EF4-FFF2-40B4-BE49-F238E27FC236}">
              <a16:creationId xmlns:a16="http://schemas.microsoft.com/office/drawing/2014/main" id="{3CA6FDB4-4310-4114-A4C7-6470B10396FE}"/>
            </a:ext>
          </a:extLst>
        </xdr:cNvPr>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2476500" y="38661975"/>
          <a:ext cx="18383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236</xdr:row>
      <xdr:rowOff>47625</xdr:rowOff>
    </xdr:from>
    <xdr:to>
      <xdr:col>6</xdr:col>
      <xdr:colOff>971550</xdr:colOff>
      <xdr:row>244</xdr:row>
      <xdr:rowOff>38100</xdr:rowOff>
    </xdr:to>
    <xdr:pic>
      <xdr:nvPicPr>
        <xdr:cNvPr id="51" name="Picture 1305">
          <a:extLst>
            <a:ext uri="{FF2B5EF4-FFF2-40B4-BE49-F238E27FC236}">
              <a16:creationId xmlns:a16="http://schemas.microsoft.com/office/drawing/2014/main" id="{17372708-0F2B-4C33-8A9B-2F8500D2BE1F}"/>
            </a:ext>
          </a:extLst>
        </xdr:cNvPr>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3819525" y="39423975"/>
          <a:ext cx="190500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1314450</xdr:colOff>
      <xdr:row>260</xdr:row>
      <xdr:rowOff>76200</xdr:rowOff>
    </xdr:from>
    <xdr:to>
      <xdr:col>6</xdr:col>
      <xdr:colOff>962025</xdr:colOff>
      <xdr:row>269</xdr:row>
      <xdr:rowOff>142875</xdr:rowOff>
    </xdr:to>
    <xdr:pic>
      <xdr:nvPicPr>
        <xdr:cNvPr id="52" name="Picture 278" descr="http://www.koupelnyadlazby.cz/zbozi/2245-instalacni-material-a800-21650-1.jpg">
          <a:extLst>
            <a:ext uri="{FF2B5EF4-FFF2-40B4-BE49-F238E27FC236}">
              <a16:creationId xmlns:a16="http://schemas.microsoft.com/office/drawing/2014/main" id="{AFFF5A1C-4AE8-4160-8BBE-130D5D89B284}"/>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3752850" y="43491150"/>
          <a:ext cx="19621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142875</xdr:colOff>
      <xdr:row>260</xdr:row>
      <xdr:rowOff>57150</xdr:rowOff>
    </xdr:from>
    <xdr:to>
      <xdr:col>5</xdr:col>
      <xdr:colOff>247650</xdr:colOff>
      <xdr:row>269</xdr:row>
      <xdr:rowOff>66675</xdr:rowOff>
    </xdr:to>
    <xdr:pic>
      <xdr:nvPicPr>
        <xdr:cNvPr id="53" name="Obrázek 81" descr="dřezová baterie.jpg">
          <a:extLst>
            <a:ext uri="{FF2B5EF4-FFF2-40B4-BE49-F238E27FC236}">
              <a16:creationId xmlns:a16="http://schemas.microsoft.com/office/drawing/2014/main" id="{FE6A1941-E494-4B44-9DE7-A0E1AF5DD005}"/>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rcRect/>
        <a:stretch>
          <a:fillRect/>
        </a:stretch>
      </xdr:blipFill>
      <xdr:spPr bwMode="auto">
        <a:xfrm>
          <a:off x="2581275" y="43472100"/>
          <a:ext cx="1428750"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260</xdr:row>
      <xdr:rowOff>19050</xdr:rowOff>
    </xdr:from>
    <xdr:to>
      <xdr:col>2</xdr:col>
      <xdr:colOff>514350</xdr:colOff>
      <xdr:row>270</xdr:row>
      <xdr:rowOff>95250</xdr:rowOff>
    </xdr:to>
    <xdr:pic>
      <xdr:nvPicPr>
        <xdr:cNvPr id="54" name="Picture 1024" descr="https://www.siko.cz/medias/DR4848.jpg-im-1200?context=bWFzdGVyfGF6dXJlaW1hZ2VzfDEwMjk2NnxpbWFnZS9qcGVnfGFHUTVMMmcyTmk4NU5UY3hNamd5TVRrd016WTJMMFJTTkRnME9DNXFjR2RmYVcwdE1USXdNQXw3MmIxMzY5NTMxN2MzYTc5M2EwM2YwYmQ0MDQ5NTE4NjcyMGQ5YmY1NzhlMTJkODk2Zjc1ODkxYWM3MDNmYzI0">
          <a:extLst>
            <a:ext uri="{FF2B5EF4-FFF2-40B4-BE49-F238E27FC236}">
              <a16:creationId xmlns:a16="http://schemas.microsoft.com/office/drawing/2014/main" id="{B8A5FECC-7D1A-4FBB-A09B-F2046BD5F64C}"/>
            </a:ext>
          </a:extLst>
        </xdr:cNvPr>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a:off x="47625" y="43434000"/>
          <a:ext cx="16859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264</xdr:row>
      <xdr:rowOff>104775</xdr:rowOff>
    </xdr:from>
    <xdr:to>
      <xdr:col>4</xdr:col>
      <xdr:colOff>171450</xdr:colOff>
      <xdr:row>267</xdr:row>
      <xdr:rowOff>142875</xdr:rowOff>
    </xdr:to>
    <xdr:pic>
      <xdr:nvPicPr>
        <xdr:cNvPr id="55" name="Picture 1013" descr="Schell Comfort - Pračkový připojovací ventil, chrom 033000699">
          <a:extLst>
            <a:ext uri="{FF2B5EF4-FFF2-40B4-BE49-F238E27FC236}">
              <a16:creationId xmlns:a16="http://schemas.microsoft.com/office/drawing/2014/main" id="{C1716599-FE4B-4863-8DAC-ABCF8DD9B4C3}"/>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828800" y="44167425"/>
          <a:ext cx="7810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260</xdr:row>
      <xdr:rowOff>123825</xdr:rowOff>
    </xdr:from>
    <xdr:to>
      <xdr:col>4</xdr:col>
      <xdr:colOff>180975</xdr:colOff>
      <xdr:row>264</xdr:row>
      <xdr:rowOff>0</xdr:rowOff>
    </xdr:to>
    <xdr:pic>
      <xdr:nvPicPr>
        <xdr:cNvPr id="56" name="Picture 1013" descr="Schell Comfort - Pračkový připojovací ventil, chrom 033000699">
          <a:extLst>
            <a:ext uri="{FF2B5EF4-FFF2-40B4-BE49-F238E27FC236}">
              <a16:creationId xmlns:a16="http://schemas.microsoft.com/office/drawing/2014/main" id="{178C46F9-92A5-4F55-86D0-0FBF29C45884}"/>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838325" y="43538775"/>
          <a:ext cx="7810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1314450</xdr:colOff>
      <xdr:row>285</xdr:row>
      <xdr:rowOff>76200</xdr:rowOff>
    </xdr:from>
    <xdr:to>
      <xdr:col>6</xdr:col>
      <xdr:colOff>962025</xdr:colOff>
      <xdr:row>294</xdr:row>
      <xdr:rowOff>142875</xdr:rowOff>
    </xdr:to>
    <xdr:pic>
      <xdr:nvPicPr>
        <xdr:cNvPr id="57" name="Picture 278" descr="http://www.koupelnyadlazby.cz/zbozi/2245-instalacni-material-a800-21650-1.jpg">
          <a:extLst>
            <a:ext uri="{FF2B5EF4-FFF2-40B4-BE49-F238E27FC236}">
              <a16:creationId xmlns:a16="http://schemas.microsoft.com/office/drawing/2014/main" id="{008B02AB-8334-4C21-A4BD-5F6C1EC94567}"/>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3752850" y="47691675"/>
          <a:ext cx="19621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142875</xdr:colOff>
      <xdr:row>285</xdr:row>
      <xdr:rowOff>57150</xdr:rowOff>
    </xdr:from>
    <xdr:to>
      <xdr:col>5</xdr:col>
      <xdr:colOff>247650</xdr:colOff>
      <xdr:row>294</xdr:row>
      <xdr:rowOff>66675</xdr:rowOff>
    </xdr:to>
    <xdr:pic>
      <xdr:nvPicPr>
        <xdr:cNvPr id="58" name="Obrázek 81" descr="dřezová baterie.jpg">
          <a:extLst>
            <a:ext uri="{FF2B5EF4-FFF2-40B4-BE49-F238E27FC236}">
              <a16:creationId xmlns:a16="http://schemas.microsoft.com/office/drawing/2014/main" id="{F7B850C5-9E89-49A7-9BAE-4DF054466DCD}"/>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rcRect/>
        <a:stretch>
          <a:fillRect/>
        </a:stretch>
      </xdr:blipFill>
      <xdr:spPr bwMode="auto">
        <a:xfrm>
          <a:off x="2581275" y="47672625"/>
          <a:ext cx="1428750"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289</xdr:row>
      <xdr:rowOff>104775</xdr:rowOff>
    </xdr:from>
    <xdr:to>
      <xdr:col>4</xdr:col>
      <xdr:colOff>171450</xdr:colOff>
      <xdr:row>292</xdr:row>
      <xdr:rowOff>142875</xdr:rowOff>
    </xdr:to>
    <xdr:pic>
      <xdr:nvPicPr>
        <xdr:cNvPr id="59" name="Picture 1013" descr="Schell Comfort - Pračkový připojovací ventil, chrom 033000699">
          <a:extLst>
            <a:ext uri="{FF2B5EF4-FFF2-40B4-BE49-F238E27FC236}">
              <a16:creationId xmlns:a16="http://schemas.microsoft.com/office/drawing/2014/main" id="{EFB80D50-94DE-430A-8FE9-B3EDE94A8E24}"/>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828800" y="48367950"/>
          <a:ext cx="7810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285</xdr:row>
      <xdr:rowOff>123825</xdr:rowOff>
    </xdr:from>
    <xdr:to>
      <xdr:col>4</xdr:col>
      <xdr:colOff>180975</xdr:colOff>
      <xdr:row>289</xdr:row>
      <xdr:rowOff>0</xdr:rowOff>
    </xdr:to>
    <xdr:pic>
      <xdr:nvPicPr>
        <xdr:cNvPr id="60" name="Picture 1013" descr="Schell Comfort - Pračkový připojovací ventil, chrom 033000699">
          <a:extLst>
            <a:ext uri="{FF2B5EF4-FFF2-40B4-BE49-F238E27FC236}">
              <a16:creationId xmlns:a16="http://schemas.microsoft.com/office/drawing/2014/main" id="{73E0064C-F6B7-40D0-B0E7-6FC48D70C831}"/>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838325" y="47739300"/>
          <a:ext cx="7810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285</xdr:row>
      <xdr:rowOff>66675</xdr:rowOff>
    </xdr:from>
    <xdr:to>
      <xdr:col>2</xdr:col>
      <xdr:colOff>428625</xdr:colOff>
      <xdr:row>295</xdr:row>
      <xdr:rowOff>95250</xdr:rowOff>
    </xdr:to>
    <xdr:pic>
      <xdr:nvPicPr>
        <xdr:cNvPr id="61" name="Picture 1024" descr="Dřez Blanco TOP EE 3x4 nerez přírodní lesk 501067">
          <a:extLst>
            <a:ext uri="{FF2B5EF4-FFF2-40B4-BE49-F238E27FC236}">
              <a16:creationId xmlns:a16="http://schemas.microsoft.com/office/drawing/2014/main" id="{047D7DF1-2579-49B2-863F-FF95EFD94615}"/>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0" y="47682150"/>
          <a:ext cx="164782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311</xdr:row>
      <xdr:rowOff>47625</xdr:rowOff>
    </xdr:from>
    <xdr:to>
      <xdr:col>5</xdr:col>
      <xdr:colOff>409575</xdr:colOff>
      <xdr:row>321</xdr:row>
      <xdr:rowOff>19050</xdr:rowOff>
    </xdr:to>
    <xdr:pic>
      <xdr:nvPicPr>
        <xdr:cNvPr id="62" name="Picture 1012" descr="http://eshop.unimat.sk/fotky10714/fotos/_vyr_5359t.jpg">
          <a:extLst>
            <a:ext uri="{FF2B5EF4-FFF2-40B4-BE49-F238E27FC236}">
              <a16:creationId xmlns:a16="http://schemas.microsoft.com/office/drawing/2014/main" id="{1E425A40-6B2A-45B5-94A7-5365943A1104}"/>
            </a:ext>
          </a:extLst>
        </xdr:cNvPr>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2590800" y="52025550"/>
          <a:ext cx="15811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552450</xdr:colOff>
      <xdr:row>311</xdr:row>
      <xdr:rowOff>57150</xdr:rowOff>
    </xdr:from>
    <xdr:to>
      <xdr:col>6</xdr:col>
      <xdr:colOff>714375</xdr:colOff>
      <xdr:row>316</xdr:row>
      <xdr:rowOff>66675</xdr:rowOff>
    </xdr:to>
    <xdr:pic>
      <xdr:nvPicPr>
        <xdr:cNvPr id="63" name="Picture 279" descr="http://www.domeokoupelny.cz/inshop/catalogue/products/pictures/379130575.jpg">
          <a:extLst>
            <a:ext uri="{FF2B5EF4-FFF2-40B4-BE49-F238E27FC236}">
              <a16:creationId xmlns:a16="http://schemas.microsoft.com/office/drawing/2014/main" id="{4BB48462-31B4-4F71-8D84-A81773D6C26B}"/>
            </a:ext>
          </a:extLst>
        </xdr:cNvPr>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4314825" y="52035075"/>
          <a:ext cx="11525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320</xdr:row>
      <xdr:rowOff>0</xdr:rowOff>
    </xdr:from>
    <xdr:to>
      <xdr:col>3</xdr:col>
      <xdr:colOff>304800</xdr:colOff>
      <xdr:row>323</xdr:row>
      <xdr:rowOff>114300</xdr:rowOff>
    </xdr:to>
    <xdr:pic>
      <xdr:nvPicPr>
        <xdr:cNvPr id="64" name="Picture 1013" descr="Schell Comfort - Pračkový připojovací ventil, chrom 033000699">
          <a:extLst>
            <a:ext uri="{FF2B5EF4-FFF2-40B4-BE49-F238E27FC236}">
              <a16:creationId xmlns:a16="http://schemas.microsoft.com/office/drawing/2014/main" id="{8C037B92-F9C8-41AA-85EB-B3B1CC0B328F}"/>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238250" y="53435250"/>
          <a:ext cx="8953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285750</xdr:colOff>
      <xdr:row>320</xdr:row>
      <xdr:rowOff>28575</xdr:rowOff>
    </xdr:from>
    <xdr:to>
      <xdr:col>4</xdr:col>
      <xdr:colOff>571500</xdr:colOff>
      <xdr:row>323</xdr:row>
      <xdr:rowOff>142875</xdr:rowOff>
    </xdr:to>
    <xdr:pic>
      <xdr:nvPicPr>
        <xdr:cNvPr id="65" name="Picture 1013" descr="Schell Comfort - Pračkový připojovací ventil, chrom 033000699">
          <a:extLst>
            <a:ext uri="{FF2B5EF4-FFF2-40B4-BE49-F238E27FC236}">
              <a16:creationId xmlns:a16="http://schemas.microsoft.com/office/drawing/2014/main" id="{0DC5A684-98C1-4AD5-B6BF-4719CA0FF2C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2114550" y="53463825"/>
          <a:ext cx="8953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311</xdr:row>
      <xdr:rowOff>0</xdr:rowOff>
    </xdr:from>
    <xdr:to>
      <xdr:col>3</xdr:col>
      <xdr:colOff>552450</xdr:colOff>
      <xdr:row>319</xdr:row>
      <xdr:rowOff>57150</xdr:rowOff>
    </xdr:to>
    <xdr:pic>
      <xdr:nvPicPr>
        <xdr:cNvPr id="66" name="Picture 1025" descr="Dřez Novaservis nerez DR45/80">
          <a:extLst>
            <a:ext uri="{FF2B5EF4-FFF2-40B4-BE49-F238E27FC236}">
              <a16:creationId xmlns:a16="http://schemas.microsoft.com/office/drawing/2014/main" id="{0516B71F-754B-4559-8047-83A897044C8E}"/>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9525" y="51977925"/>
          <a:ext cx="237172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304800</xdr:colOff>
      <xdr:row>333</xdr:row>
      <xdr:rowOff>47625</xdr:rowOff>
    </xdr:from>
    <xdr:to>
      <xdr:col>4</xdr:col>
      <xdr:colOff>152400</xdr:colOff>
      <xdr:row>340</xdr:row>
      <xdr:rowOff>76200</xdr:rowOff>
    </xdr:to>
    <xdr:pic>
      <xdr:nvPicPr>
        <xdr:cNvPr id="67" name="Picture 1343">
          <a:extLst>
            <a:ext uri="{FF2B5EF4-FFF2-40B4-BE49-F238E27FC236}">
              <a16:creationId xmlns:a16="http://schemas.microsoft.com/office/drawing/2014/main" id="{C956E326-A30A-47D5-BDB6-4D07F57BBC02}"/>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1524000" y="55740300"/>
          <a:ext cx="10668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333</xdr:row>
      <xdr:rowOff>47625</xdr:rowOff>
    </xdr:from>
    <xdr:to>
      <xdr:col>2</xdr:col>
      <xdr:colOff>114300</xdr:colOff>
      <xdr:row>339</xdr:row>
      <xdr:rowOff>38100</xdr:rowOff>
    </xdr:to>
    <xdr:pic>
      <xdr:nvPicPr>
        <xdr:cNvPr id="68" name="Picture 1026" descr="Pračkový ventil Schell Comfort 3/4&quot; horní ovládání CR 05440">
          <a:extLst>
            <a:ext uri="{FF2B5EF4-FFF2-40B4-BE49-F238E27FC236}">
              <a16:creationId xmlns:a16="http://schemas.microsoft.com/office/drawing/2014/main" id="{24DF7149-1553-47EC-8652-25ECEFD26C15}"/>
            </a:ext>
          </a:extLst>
        </xdr:cNvPr>
        <xdr:cNvPicPr>
          <a:picLocks noChangeAspect="1" noChangeArrowheads="1"/>
        </xdr:cNvPicPr>
      </xdr:nvPicPr>
      <xdr:blipFill>
        <a:blip xmlns:r="http://schemas.openxmlformats.org/officeDocument/2006/relationships" r:embed="rId49" cstate="print">
          <a:extLst>
            <a:ext uri="{28A0092B-C50C-407E-A947-70E740481C1C}">
              <a14:useLocalDpi xmlns:a14="http://schemas.microsoft.com/office/drawing/2010/main" val="0"/>
            </a:ext>
          </a:extLst>
        </a:blip>
        <a:srcRect/>
        <a:stretch>
          <a:fillRect/>
        </a:stretch>
      </xdr:blipFill>
      <xdr:spPr bwMode="auto">
        <a:xfrm>
          <a:off x="323850" y="55740300"/>
          <a:ext cx="10096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356</xdr:row>
      <xdr:rowOff>0</xdr:rowOff>
    </xdr:from>
    <xdr:to>
      <xdr:col>2</xdr:col>
      <xdr:colOff>247650</xdr:colOff>
      <xdr:row>367</xdr:row>
      <xdr:rowOff>47625</xdr:rowOff>
    </xdr:to>
    <xdr:pic>
      <xdr:nvPicPr>
        <xdr:cNvPr id="69" name="Picture 194" descr="Jika stojící výlevka MIRA s plastovou mřížkou ">
          <a:extLst>
            <a:ext uri="{FF2B5EF4-FFF2-40B4-BE49-F238E27FC236}">
              <a16:creationId xmlns:a16="http://schemas.microsoft.com/office/drawing/2014/main" id="{E14E75C0-FA80-4054-99B6-AE9E271DB495}"/>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0" y="59569350"/>
          <a:ext cx="146685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266700</xdr:colOff>
      <xdr:row>355</xdr:row>
      <xdr:rowOff>133350</xdr:rowOff>
    </xdr:from>
    <xdr:to>
      <xdr:col>4</xdr:col>
      <xdr:colOff>771525</xdr:colOff>
      <xdr:row>365</xdr:row>
      <xdr:rowOff>19050</xdr:rowOff>
    </xdr:to>
    <xdr:pic>
      <xdr:nvPicPr>
        <xdr:cNvPr id="70" name="img-1" descr="Umyvadlová páková nástěnná baterie">
          <a:extLst>
            <a:ext uri="{FF2B5EF4-FFF2-40B4-BE49-F238E27FC236}">
              <a16:creationId xmlns:a16="http://schemas.microsoft.com/office/drawing/2014/main" id="{04CD9B5E-7FF9-40C8-82DE-9F56B1162C21}"/>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1485900" y="59540775"/>
          <a:ext cx="172402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742950</xdr:colOff>
      <xdr:row>355</xdr:row>
      <xdr:rowOff>0</xdr:rowOff>
    </xdr:from>
    <xdr:to>
      <xdr:col>5</xdr:col>
      <xdr:colOff>952500</xdr:colOff>
      <xdr:row>364</xdr:row>
      <xdr:rowOff>19050</xdr:rowOff>
    </xdr:to>
    <xdr:pic>
      <xdr:nvPicPr>
        <xdr:cNvPr id="71" name="Picture 195" descr="https://www.siko.cz/-/media/Images/products/e/1/7/2/E172BDA6B8634354914503F062FEE612.jpg?mw=800&amp;mh=800">
          <a:extLst>
            <a:ext uri="{FF2B5EF4-FFF2-40B4-BE49-F238E27FC236}">
              <a16:creationId xmlns:a16="http://schemas.microsoft.com/office/drawing/2014/main" id="{619FCFD0-36D2-4390-B36A-F94FF82EEC37}"/>
            </a:ext>
          </a:extLst>
        </xdr:cNvPr>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bwMode="auto">
        <a:xfrm>
          <a:off x="3181350" y="59407425"/>
          <a:ext cx="15335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190500</xdr:colOff>
      <xdr:row>355</xdr:row>
      <xdr:rowOff>95250</xdr:rowOff>
    </xdr:from>
    <xdr:to>
      <xdr:col>6</xdr:col>
      <xdr:colOff>885825</xdr:colOff>
      <xdr:row>359</xdr:row>
      <xdr:rowOff>114300</xdr:rowOff>
    </xdr:to>
    <xdr:pic>
      <xdr:nvPicPr>
        <xdr:cNvPr id="72" name="Picture 57" descr="https://im9.cz/iR/importprodukt-orig/7a6/7a6ca3adfd106cb348df6d6faf78613f--mmf250x250.jpg">
          <a:extLst>
            <a:ext uri="{FF2B5EF4-FFF2-40B4-BE49-F238E27FC236}">
              <a16:creationId xmlns:a16="http://schemas.microsoft.com/office/drawing/2014/main" id="{10342D4F-F5C0-49F2-B91B-B98B198D9DA5}"/>
            </a:ext>
          </a:extLst>
        </xdr:cNvPr>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val="0"/>
            </a:ext>
          </a:extLst>
        </a:blip>
        <a:srcRect/>
        <a:stretch>
          <a:fillRect/>
        </a:stretch>
      </xdr:blipFill>
      <xdr:spPr bwMode="auto">
        <a:xfrm>
          <a:off x="4943475" y="59502675"/>
          <a:ext cx="6953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377</xdr:row>
      <xdr:rowOff>0</xdr:rowOff>
    </xdr:from>
    <xdr:to>
      <xdr:col>2</xdr:col>
      <xdr:colOff>533400</xdr:colOff>
      <xdr:row>396</xdr:row>
      <xdr:rowOff>85725</xdr:rowOff>
    </xdr:to>
    <xdr:pic>
      <xdr:nvPicPr>
        <xdr:cNvPr id="73" name="Obrázek 77" descr="pic_view.jpg">
          <a:extLst>
            <a:ext uri="{FF2B5EF4-FFF2-40B4-BE49-F238E27FC236}">
              <a16:creationId xmlns:a16="http://schemas.microsoft.com/office/drawing/2014/main" id="{115D1C2A-24F6-414C-A89C-B319FAA92192}"/>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rcRect/>
        <a:stretch>
          <a:fillRect/>
        </a:stretch>
      </xdr:blipFill>
      <xdr:spPr bwMode="auto">
        <a:xfrm>
          <a:off x="114300" y="64855725"/>
          <a:ext cx="1638300"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405</xdr:row>
      <xdr:rowOff>104775</xdr:rowOff>
    </xdr:from>
    <xdr:to>
      <xdr:col>2</xdr:col>
      <xdr:colOff>400050</xdr:colOff>
      <xdr:row>418</xdr:row>
      <xdr:rowOff>9525</xdr:rowOff>
    </xdr:to>
    <xdr:pic>
      <xdr:nvPicPr>
        <xdr:cNvPr id="74" name="Obrázek 80" descr="panel.jpg">
          <a:extLst>
            <a:ext uri="{FF2B5EF4-FFF2-40B4-BE49-F238E27FC236}">
              <a16:creationId xmlns:a16="http://schemas.microsoft.com/office/drawing/2014/main" id="{B820EBE5-915C-45E3-9018-0FE9CEA13384}"/>
            </a:ext>
          </a:extLst>
        </xdr:cNvPr>
        <xdr:cNvPicPr>
          <a:picLocks noChangeAspect="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190500" y="69637275"/>
          <a:ext cx="142875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581025</xdr:colOff>
      <xdr:row>406</xdr:row>
      <xdr:rowOff>133350</xdr:rowOff>
    </xdr:from>
    <xdr:to>
      <xdr:col>4</xdr:col>
      <xdr:colOff>190500</xdr:colOff>
      <xdr:row>411</xdr:row>
      <xdr:rowOff>114300</xdr:rowOff>
    </xdr:to>
    <xdr:pic>
      <xdr:nvPicPr>
        <xdr:cNvPr id="75" name="Picture 1026" descr="Pračkový ventil Schell Comfort 3/4&quot; horní ovládání CR 05440">
          <a:extLst>
            <a:ext uri="{FF2B5EF4-FFF2-40B4-BE49-F238E27FC236}">
              <a16:creationId xmlns:a16="http://schemas.microsoft.com/office/drawing/2014/main" id="{1232D6EC-8FB6-4600-9185-6703C5003867}"/>
            </a:ext>
          </a:extLst>
        </xdr:cNvPr>
        <xdr:cNvPicPr>
          <a:picLocks noChangeAspect="1" noChangeArrowheads="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bwMode="auto">
        <a:xfrm>
          <a:off x="1800225" y="69818250"/>
          <a:ext cx="8286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180975</xdr:colOff>
      <xdr:row>407</xdr:row>
      <xdr:rowOff>0</xdr:rowOff>
    </xdr:from>
    <xdr:to>
      <xdr:col>4</xdr:col>
      <xdr:colOff>1000125</xdr:colOff>
      <xdr:row>411</xdr:row>
      <xdr:rowOff>133350</xdr:rowOff>
    </xdr:to>
    <xdr:pic>
      <xdr:nvPicPr>
        <xdr:cNvPr id="76" name="Picture 1026" descr="Pračkový ventil Schell Comfort 3/4&quot; horní ovládání CR 05440">
          <a:extLst>
            <a:ext uri="{FF2B5EF4-FFF2-40B4-BE49-F238E27FC236}">
              <a16:creationId xmlns:a16="http://schemas.microsoft.com/office/drawing/2014/main" id="{C0B9A42C-B6BC-49D3-8227-44359C6B164B}"/>
            </a:ext>
          </a:extLst>
        </xdr:cNvPr>
        <xdr:cNvPicPr>
          <a:picLocks noChangeAspect="1" noChangeArrowheads="1"/>
        </xdr:cNvPicPr>
      </xdr:nvPicPr>
      <xdr:blipFill>
        <a:blip xmlns:r="http://schemas.openxmlformats.org/officeDocument/2006/relationships" r:embed="rId57" cstate="print">
          <a:extLst>
            <a:ext uri="{28A0092B-C50C-407E-A947-70E740481C1C}">
              <a14:useLocalDpi xmlns:a14="http://schemas.microsoft.com/office/drawing/2010/main" val="0"/>
            </a:ext>
          </a:extLst>
        </a:blip>
        <a:srcRect/>
        <a:stretch>
          <a:fillRect/>
        </a:stretch>
      </xdr:blipFill>
      <xdr:spPr bwMode="auto">
        <a:xfrm>
          <a:off x="2619375" y="69846825"/>
          <a:ext cx="8191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1:I37"/>
  <sheetViews>
    <sheetView tabSelected="1" workbookViewId="0">
      <selection sqref="A1:I1"/>
    </sheetView>
  </sheetViews>
  <sheetFormatPr defaultColWidth="12.140625" defaultRowHeight="15" customHeight="1"/>
  <cols>
    <col min="1" max="1" width="9.140625" customWidth="1"/>
    <col min="2" max="2" width="12.85546875" customWidth="1"/>
    <col min="3" max="3" width="27.140625" customWidth="1"/>
    <col min="4" max="4" width="10" customWidth="1"/>
    <col min="5" max="5" width="14" customWidth="1"/>
    <col min="6" max="6" width="27.140625" customWidth="1"/>
    <col min="7" max="7" width="9.140625" customWidth="1"/>
    <col min="8" max="8" width="12.85546875" customWidth="1"/>
    <col min="9" max="9" width="27.140625" customWidth="1"/>
  </cols>
  <sheetData>
    <row r="1" spans="1:9" ht="54.75" customHeight="1">
      <c r="A1" s="541" t="s">
        <v>0</v>
      </c>
      <c r="B1" s="542"/>
      <c r="C1" s="542"/>
      <c r="D1" s="542"/>
      <c r="E1" s="542"/>
      <c r="F1" s="542"/>
      <c r="G1" s="542"/>
      <c r="H1" s="542"/>
      <c r="I1" s="542"/>
    </row>
    <row r="2" spans="1:9">
      <c r="A2" s="543" t="s">
        <v>1</v>
      </c>
      <c r="B2" s="544"/>
      <c r="C2" s="553" t="str">
        <f>'Stavební rozpočet'!D2</f>
        <v>Rekonstrukce ORL-Nemocnice Nymburk</v>
      </c>
      <c r="D2" s="554"/>
      <c r="E2" s="548" t="s">
        <v>2</v>
      </c>
      <c r="F2" s="548" t="str">
        <f>'Stavební rozpočet'!J2</f>
        <v> </v>
      </c>
      <c r="G2" s="544"/>
      <c r="H2" s="548" t="s">
        <v>3</v>
      </c>
      <c r="I2" s="550" t="s">
        <v>4</v>
      </c>
    </row>
    <row r="3" spans="1:9" ht="15" customHeight="1">
      <c r="A3" s="545"/>
      <c r="B3" s="546"/>
      <c r="C3" s="555"/>
      <c r="D3" s="555"/>
      <c r="E3" s="546"/>
      <c r="F3" s="546"/>
      <c r="G3" s="546"/>
      <c r="H3" s="546"/>
      <c r="I3" s="551"/>
    </row>
    <row r="4" spans="1:9">
      <c r="A4" s="547" t="s">
        <v>5</v>
      </c>
      <c r="B4" s="546"/>
      <c r="C4" s="549" t="str">
        <f>'Stavební rozpočet'!D4</f>
        <v>Rekonstrukce ORL</v>
      </c>
      <c r="D4" s="546"/>
      <c r="E4" s="549" t="s">
        <v>6</v>
      </c>
      <c r="F4" s="549" t="str">
        <f>'Stavební rozpočet'!J4</f>
        <v xml:space="preserve">
DomusDesign
</v>
      </c>
      <c r="G4" s="546"/>
      <c r="H4" s="549" t="s">
        <v>3</v>
      </c>
      <c r="I4" s="551" t="s">
        <v>4</v>
      </c>
    </row>
    <row r="5" spans="1:9" ht="15" customHeight="1">
      <c r="A5" s="545"/>
      <c r="B5" s="546"/>
      <c r="C5" s="546"/>
      <c r="D5" s="546"/>
      <c r="E5" s="546"/>
      <c r="F5" s="546"/>
      <c r="G5" s="546"/>
      <c r="H5" s="546"/>
      <c r="I5" s="551"/>
    </row>
    <row r="6" spans="1:9">
      <c r="A6" s="547" t="s">
        <v>7</v>
      </c>
      <c r="B6" s="546"/>
      <c r="C6" s="549" t="str">
        <f>'Stavební rozpočet'!D6</f>
        <v>nemocnice Nymburk</v>
      </c>
      <c r="D6" s="546"/>
      <c r="E6" s="549" t="s">
        <v>8</v>
      </c>
      <c r="F6" s="549">
        <f>'Stavební rozpočet'!J6</f>
        <v>0</v>
      </c>
      <c r="G6" s="546"/>
      <c r="H6" s="549" t="s">
        <v>3</v>
      </c>
      <c r="I6" s="551" t="s">
        <v>4</v>
      </c>
    </row>
    <row r="7" spans="1:9" ht="15" customHeight="1">
      <c r="A7" s="545"/>
      <c r="B7" s="546"/>
      <c r="C7" s="546"/>
      <c r="D7" s="546"/>
      <c r="E7" s="546"/>
      <c r="F7" s="546"/>
      <c r="G7" s="546"/>
      <c r="H7" s="546"/>
      <c r="I7" s="551"/>
    </row>
    <row r="8" spans="1:9">
      <c r="A8" s="547" t="s">
        <v>9</v>
      </c>
      <c r="B8" s="546"/>
      <c r="C8" s="549" t="str">
        <f>'Stavební rozpočet'!H4</f>
        <v xml:space="preserve"> </v>
      </c>
      <c r="D8" s="546"/>
      <c r="E8" s="549" t="s">
        <v>10</v>
      </c>
      <c r="F8" s="549" t="str">
        <f>'Stavební rozpočet'!H6</f>
        <v xml:space="preserve"> </v>
      </c>
      <c r="G8" s="546"/>
      <c r="H8" s="546" t="s">
        <v>11</v>
      </c>
      <c r="I8" s="552">
        <v>131</v>
      </c>
    </row>
    <row r="9" spans="1:9">
      <c r="A9" s="545"/>
      <c r="B9" s="546"/>
      <c r="C9" s="546"/>
      <c r="D9" s="546"/>
      <c r="E9" s="546"/>
      <c r="F9" s="546"/>
      <c r="G9" s="546"/>
      <c r="H9" s="546"/>
      <c r="I9" s="551"/>
    </row>
    <row r="10" spans="1:9">
      <c r="A10" s="547" t="s">
        <v>12</v>
      </c>
      <c r="B10" s="546"/>
      <c r="C10" s="549" t="str">
        <f>'Stavební rozpočet'!D8</f>
        <v xml:space="preserve"> </v>
      </c>
      <c r="D10" s="546"/>
      <c r="E10" s="549" t="s">
        <v>13</v>
      </c>
      <c r="F10" s="549" t="str">
        <f>'Stavební rozpočet'!J8</f>
        <v> </v>
      </c>
      <c r="G10" s="546"/>
      <c r="H10" s="546" t="s">
        <v>14</v>
      </c>
      <c r="I10" s="557">
        <f>'Stavební rozpočet'!H8</f>
        <v>0</v>
      </c>
    </row>
    <row r="11" spans="1:9">
      <c r="A11" s="562"/>
      <c r="B11" s="556"/>
      <c r="C11" s="556"/>
      <c r="D11" s="556"/>
      <c r="E11" s="556"/>
      <c r="F11" s="556"/>
      <c r="G11" s="556"/>
      <c r="H11" s="556"/>
      <c r="I11" s="558"/>
    </row>
    <row r="12" spans="1:9" ht="23.25">
      <c r="A12" s="559" t="s">
        <v>15</v>
      </c>
      <c r="B12" s="559"/>
      <c r="C12" s="559"/>
      <c r="D12" s="559"/>
      <c r="E12" s="559"/>
      <c r="F12" s="559"/>
      <c r="G12" s="559"/>
      <c r="H12" s="559"/>
      <c r="I12" s="559"/>
    </row>
    <row r="13" spans="1:9" ht="26.25" customHeight="1">
      <c r="A13" s="4" t="s">
        <v>16</v>
      </c>
      <c r="B13" s="560" t="s">
        <v>17</v>
      </c>
      <c r="C13" s="561"/>
      <c r="D13" s="5" t="s">
        <v>18</v>
      </c>
      <c r="E13" s="560" t="s">
        <v>19</v>
      </c>
      <c r="F13" s="561"/>
      <c r="G13" s="5" t="s">
        <v>20</v>
      </c>
      <c r="H13" s="560" t="s">
        <v>21</v>
      </c>
      <c r="I13" s="561"/>
    </row>
    <row r="14" spans="1:9" ht="15.75">
      <c r="A14" s="6" t="s">
        <v>22</v>
      </c>
      <c r="B14" s="7" t="s">
        <v>23</v>
      </c>
      <c r="C14" s="8">
        <f>SUM('Stavební rozpočet'!AB12:AB1097)</f>
        <v>0</v>
      </c>
      <c r="D14" s="569" t="s">
        <v>24</v>
      </c>
      <c r="E14" s="570"/>
      <c r="F14" s="8">
        <f>VORN!I15</f>
        <v>0</v>
      </c>
      <c r="G14" s="569" t="s">
        <v>25</v>
      </c>
      <c r="H14" s="570"/>
      <c r="I14" s="9">
        <f>VORN!I21</f>
        <v>0</v>
      </c>
    </row>
    <row r="15" spans="1:9" ht="15.75">
      <c r="A15" s="10" t="s">
        <v>4</v>
      </c>
      <c r="B15" s="7" t="s">
        <v>26</v>
      </c>
      <c r="C15" s="8">
        <f>SUM('Stavební rozpočet'!AC12:AC1097)</f>
        <v>0</v>
      </c>
      <c r="D15" s="569" t="s">
        <v>27</v>
      </c>
      <c r="E15" s="570"/>
      <c r="F15" s="8">
        <f>VORN!I16</f>
        <v>0</v>
      </c>
      <c r="G15" s="569" t="s">
        <v>28</v>
      </c>
      <c r="H15" s="570"/>
      <c r="I15" s="9">
        <f>VORN!I22</f>
        <v>0</v>
      </c>
    </row>
    <row r="16" spans="1:9" ht="15.75">
      <c r="A16" s="6" t="s">
        <v>29</v>
      </c>
      <c r="B16" s="7" t="s">
        <v>23</v>
      </c>
      <c r="C16" s="8">
        <f>SUM('Stavební rozpočet'!AD12:AD1097)</f>
        <v>0</v>
      </c>
      <c r="D16" s="569" t="s">
        <v>30</v>
      </c>
      <c r="E16" s="570"/>
      <c r="F16" s="8">
        <f>VORN!I17</f>
        <v>0</v>
      </c>
      <c r="G16" s="569" t="s">
        <v>31</v>
      </c>
      <c r="H16" s="570"/>
      <c r="I16" s="9">
        <f>VORN!I23</f>
        <v>0</v>
      </c>
    </row>
    <row r="17" spans="1:9" ht="15.75">
      <c r="A17" s="10" t="s">
        <v>4</v>
      </c>
      <c r="B17" s="7" t="s">
        <v>26</v>
      </c>
      <c r="C17" s="8">
        <f>SUM('Stavební rozpočet'!AE12:AE1097)</f>
        <v>0</v>
      </c>
      <c r="D17" s="569" t="s">
        <v>4</v>
      </c>
      <c r="E17" s="570"/>
      <c r="F17" s="9" t="s">
        <v>4</v>
      </c>
      <c r="G17" s="569" t="s">
        <v>32</v>
      </c>
      <c r="H17" s="570"/>
      <c r="I17" s="9">
        <f>VORN!I24</f>
        <v>0</v>
      </c>
    </row>
    <row r="18" spans="1:9" ht="15.75">
      <c r="A18" s="6" t="s">
        <v>33</v>
      </c>
      <c r="B18" s="7" t="s">
        <v>23</v>
      </c>
      <c r="C18" s="8">
        <f>SUM('Stavební rozpočet'!AF12:AF1097)</f>
        <v>0</v>
      </c>
      <c r="D18" s="569" t="s">
        <v>4</v>
      </c>
      <c r="E18" s="570"/>
      <c r="F18" s="9" t="s">
        <v>4</v>
      </c>
      <c r="G18" s="569" t="s">
        <v>34</v>
      </c>
      <c r="H18" s="570"/>
      <c r="I18" s="9">
        <f>VORN!I25</f>
        <v>0</v>
      </c>
    </row>
    <row r="19" spans="1:9" ht="15.75">
      <c r="A19" s="10" t="s">
        <v>4</v>
      </c>
      <c r="B19" s="7" t="s">
        <v>26</v>
      </c>
      <c r="C19" s="8">
        <f>SUM('Stavební rozpočet'!AG12:AG1097)</f>
        <v>0</v>
      </c>
      <c r="D19" s="569" t="s">
        <v>4</v>
      </c>
      <c r="E19" s="570"/>
      <c r="F19" s="9" t="s">
        <v>4</v>
      </c>
      <c r="G19" s="569" t="s">
        <v>35</v>
      </c>
      <c r="H19" s="570"/>
      <c r="I19" s="9">
        <f>VORN!I26</f>
        <v>0</v>
      </c>
    </row>
    <row r="20" spans="1:9" ht="15.75">
      <c r="A20" s="563" t="s">
        <v>36</v>
      </c>
      <c r="B20" s="564"/>
      <c r="C20" s="8">
        <f>SUM('Stavební rozpočet'!AH12:AH1097)</f>
        <v>0</v>
      </c>
      <c r="D20" s="569" t="s">
        <v>4</v>
      </c>
      <c r="E20" s="570"/>
      <c r="F20" s="9" t="s">
        <v>4</v>
      </c>
      <c r="G20" s="569" t="s">
        <v>4</v>
      </c>
      <c r="H20" s="570"/>
      <c r="I20" s="9" t="s">
        <v>4</v>
      </c>
    </row>
    <row r="21" spans="1:9" ht="15.75">
      <c r="A21" s="565" t="s">
        <v>37</v>
      </c>
      <c r="B21" s="566"/>
      <c r="C21" s="11">
        <f>SUM('Stavební rozpočet'!Z12:Z1097)</f>
        <v>0</v>
      </c>
      <c r="D21" s="571" t="s">
        <v>4</v>
      </c>
      <c r="E21" s="572"/>
      <c r="F21" s="12" t="s">
        <v>4</v>
      </c>
      <c r="G21" s="571" t="s">
        <v>4</v>
      </c>
      <c r="H21" s="572"/>
      <c r="I21" s="12" t="s">
        <v>4</v>
      </c>
    </row>
    <row r="22" spans="1:9" ht="16.5" customHeight="1">
      <c r="A22" s="567" t="s">
        <v>38</v>
      </c>
      <c r="B22" s="568"/>
      <c r="C22" s="13">
        <f>SUM(C14:C21)</f>
        <v>0</v>
      </c>
      <c r="D22" s="573" t="s">
        <v>39</v>
      </c>
      <c r="E22" s="568"/>
      <c r="F22" s="13">
        <f>SUM(F14:F21)</f>
        <v>0</v>
      </c>
      <c r="G22" s="573" t="s">
        <v>40</v>
      </c>
      <c r="H22" s="568"/>
      <c r="I22" s="13">
        <f>SUM(I14:I21)</f>
        <v>0</v>
      </c>
    </row>
    <row r="23" spans="1:9" ht="15.75">
      <c r="D23" s="563" t="s">
        <v>41</v>
      </c>
      <c r="E23" s="564"/>
      <c r="F23" s="14">
        <v>0</v>
      </c>
      <c r="G23" s="574" t="s">
        <v>42</v>
      </c>
      <c r="H23" s="564"/>
      <c r="I23" s="8">
        <v>0</v>
      </c>
    </row>
    <row r="24" spans="1:9" ht="15.75">
      <c r="G24" s="563" t="s">
        <v>43</v>
      </c>
      <c r="H24" s="564"/>
      <c r="I24" s="11">
        <f>vorn_sum</f>
        <v>0</v>
      </c>
    </row>
    <row r="25" spans="1:9" ht="15.75">
      <c r="G25" s="563" t="s">
        <v>44</v>
      </c>
      <c r="H25" s="564"/>
      <c r="I25" s="13">
        <v>0</v>
      </c>
    </row>
    <row r="27" spans="1:9" ht="15.75">
      <c r="A27" s="575" t="s">
        <v>45</v>
      </c>
      <c r="B27" s="576"/>
      <c r="C27" s="15">
        <f>SUM('Stavební rozpočet'!AJ12:AJ1097)</f>
        <v>0</v>
      </c>
    </row>
    <row r="28" spans="1:9" ht="15.75">
      <c r="A28" s="577" t="s">
        <v>46</v>
      </c>
      <c r="B28" s="578"/>
      <c r="C28" s="16">
        <f>SUM('Stavební rozpočet'!AK12:AK1097)</f>
        <v>0</v>
      </c>
      <c r="D28" s="579" t="s">
        <v>47</v>
      </c>
      <c r="E28" s="576"/>
      <c r="F28" s="15">
        <f>ROUND(C28*(12/100),2)</f>
        <v>0</v>
      </c>
      <c r="G28" s="579" t="s">
        <v>48</v>
      </c>
      <c r="H28" s="576"/>
      <c r="I28" s="15">
        <f>SUM(C27:C29)</f>
        <v>0</v>
      </c>
    </row>
    <row r="29" spans="1:9" ht="15.75">
      <c r="A29" s="577" t="s">
        <v>49</v>
      </c>
      <c r="B29" s="578"/>
      <c r="C29" s="16">
        <f>SUM('Stavební rozpočet'!AL12:AL1097)</f>
        <v>0</v>
      </c>
      <c r="D29" s="580" t="s">
        <v>50</v>
      </c>
      <c r="E29" s="578"/>
      <c r="F29" s="16">
        <f>ROUND(C29*(21/100),2)</f>
        <v>0</v>
      </c>
      <c r="G29" s="580" t="s">
        <v>51</v>
      </c>
      <c r="H29" s="578"/>
      <c r="I29" s="16">
        <f>SUM(F28:F29)+I28</f>
        <v>0</v>
      </c>
    </row>
    <row r="31" spans="1:9">
      <c r="A31" s="590" t="s">
        <v>52</v>
      </c>
      <c r="B31" s="582"/>
      <c r="C31" s="583"/>
      <c r="D31" s="581" t="s">
        <v>53</v>
      </c>
      <c r="E31" s="582"/>
      <c r="F31" s="583"/>
      <c r="G31" s="581" t="s">
        <v>54</v>
      </c>
      <c r="H31" s="582"/>
      <c r="I31" s="583"/>
    </row>
    <row r="32" spans="1:9">
      <c r="A32" s="591" t="s">
        <v>4</v>
      </c>
      <c r="B32" s="585"/>
      <c r="C32" s="586"/>
      <c r="D32" s="584" t="s">
        <v>4</v>
      </c>
      <c r="E32" s="585"/>
      <c r="F32" s="586"/>
      <c r="G32" s="584" t="s">
        <v>4</v>
      </c>
      <c r="H32" s="585"/>
      <c r="I32" s="586"/>
    </row>
    <row r="33" spans="1:9">
      <c r="A33" s="591" t="s">
        <v>4</v>
      </c>
      <c r="B33" s="585"/>
      <c r="C33" s="586"/>
      <c r="D33" s="584" t="s">
        <v>4</v>
      </c>
      <c r="E33" s="585"/>
      <c r="F33" s="586"/>
      <c r="G33" s="584" t="s">
        <v>4</v>
      </c>
      <c r="H33" s="585"/>
      <c r="I33" s="586"/>
    </row>
    <row r="34" spans="1:9">
      <c r="A34" s="591" t="s">
        <v>4</v>
      </c>
      <c r="B34" s="585"/>
      <c r="C34" s="586"/>
      <c r="D34" s="584" t="s">
        <v>4</v>
      </c>
      <c r="E34" s="585"/>
      <c r="F34" s="586"/>
      <c r="G34" s="584" t="s">
        <v>4</v>
      </c>
      <c r="H34" s="585"/>
      <c r="I34" s="586"/>
    </row>
    <row r="35" spans="1:9">
      <c r="A35" s="592" t="s">
        <v>55</v>
      </c>
      <c r="B35" s="588"/>
      <c r="C35" s="589"/>
      <c r="D35" s="587" t="s">
        <v>55</v>
      </c>
      <c r="E35" s="588"/>
      <c r="F35" s="589"/>
      <c r="G35" s="587" t="s">
        <v>55</v>
      </c>
      <c r="H35" s="588"/>
      <c r="I35" s="589"/>
    </row>
    <row r="36" spans="1:9">
      <c r="A36" s="17" t="s">
        <v>56</v>
      </c>
    </row>
    <row r="37" spans="1:9" ht="12.75" customHeight="1">
      <c r="A37" s="549" t="s">
        <v>4</v>
      </c>
      <c r="B37" s="546"/>
      <c r="C37" s="546"/>
      <c r="D37" s="546"/>
      <c r="E37" s="546"/>
      <c r="F37" s="546"/>
      <c r="G37" s="546"/>
      <c r="H37" s="546"/>
      <c r="I37" s="546"/>
    </row>
  </sheetData>
  <sheetProtection password="CC2B" sheet="1"/>
  <mergeCells count="83">
    <mergeCell ref="A37:I37"/>
    <mergeCell ref="G31:I31"/>
    <mergeCell ref="G32:I32"/>
    <mergeCell ref="G33:I33"/>
    <mergeCell ref="G34:I34"/>
    <mergeCell ref="G35:I35"/>
    <mergeCell ref="D31:F31"/>
    <mergeCell ref="D32:F32"/>
    <mergeCell ref="D33:F33"/>
    <mergeCell ref="D34:F34"/>
    <mergeCell ref="D35:F35"/>
    <mergeCell ref="A31:C31"/>
    <mergeCell ref="A32:C32"/>
    <mergeCell ref="A33:C33"/>
    <mergeCell ref="A34:C34"/>
    <mergeCell ref="A35:C35"/>
    <mergeCell ref="G24:H24"/>
    <mergeCell ref="G25:H25"/>
    <mergeCell ref="A27:B27"/>
    <mergeCell ref="A28:B28"/>
    <mergeCell ref="A29:B29"/>
    <mergeCell ref="D28:E28"/>
    <mergeCell ref="D29:E29"/>
    <mergeCell ref="G28:H28"/>
    <mergeCell ref="G29:H29"/>
    <mergeCell ref="D23:E23"/>
    <mergeCell ref="G14:H14"/>
    <mergeCell ref="G15:H15"/>
    <mergeCell ref="G16:H16"/>
    <mergeCell ref="G17:H17"/>
    <mergeCell ref="G18:H18"/>
    <mergeCell ref="G19:H19"/>
    <mergeCell ref="G20:H20"/>
    <mergeCell ref="G21:H21"/>
    <mergeCell ref="G22:H22"/>
    <mergeCell ref="G23:H23"/>
    <mergeCell ref="A20:B20"/>
    <mergeCell ref="A21:B21"/>
    <mergeCell ref="A22:B22"/>
    <mergeCell ref="D14:E14"/>
    <mergeCell ref="D15:E15"/>
    <mergeCell ref="D16:E16"/>
    <mergeCell ref="D17:E17"/>
    <mergeCell ref="D18:E18"/>
    <mergeCell ref="D19:E19"/>
    <mergeCell ref="D20:E20"/>
    <mergeCell ref="D21:E21"/>
    <mergeCell ref="D22:E22"/>
    <mergeCell ref="I10:I11"/>
    <mergeCell ref="A12:I12"/>
    <mergeCell ref="B13:C13"/>
    <mergeCell ref="E13:F13"/>
    <mergeCell ref="H13:I13"/>
    <mergeCell ref="F10:G11"/>
    <mergeCell ref="A10:B11"/>
    <mergeCell ref="H2:H3"/>
    <mergeCell ref="H4:H5"/>
    <mergeCell ref="H6:H7"/>
    <mergeCell ref="H8:H9"/>
    <mergeCell ref="H10:H11"/>
    <mergeCell ref="C8:D9"/>
    <mergeCell ref="C10:D11"/>
    <mergeCell ref="E2:E3"/>
    <mergeCell ref="E4:E5"/>
    <mergeCell ref="E6:E7"/>
    <mergeCell ref="E8:E9"/>
    <mergeCell ref="E10:E11"/>
    <mergeCell ref="A1:I1"/>
    <mergeCell ref="A2:B3"/>
    <mergeCell ref="A4:B5"/>
    <mergeCell ref="A6:B7"/>
    <mergeCell ref="A8:B9"/>
    <mergeCell ref="F2:G3"/>
    <mergeCell ref="F4:G5"/>
    <mergeCell ref="F6:G7"/>
    <mergeCell ref="F8:G9"/>
    <mergeCell ref="I2:I3"/>
    <mergeCell ref="I4:I5"/>
    <mergeCell ref="I6:I7"/>
    <mergeCell ref="I8:I9"/>
    <mergeCell ref="C2:D3"/>
    <mergeCell ref="C4:D5"/>
    <mergeCell ref="C6:D7"/>
  </mergeCells>
  <pageMargins left="0.393999993801117" right="0.393999993801117" top="0.59100002050399802" bottom="0.59100002050399802"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5"/>
  <sheetViews>
    <sheetView workbookViewId="0">
      <selection activeCell="A45" sqref="A45:E45"/>
    </sheetView>
  </sheetViews>
  <sheetFormatPr defaultColWidth="12.140625" defaultRowHeight="15" customHeight="1"/>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7.140625" customWidth="1"/>
    <col min="9" max="9" width="22.85546875" customWidth="1"/>
  </cols>
  <sheetData>
    <row r="1" spans="1:9" ht="54.75" customHeight="1">
      <c r="A1" s="541" t="s">
        <v>57</v>
      </c>
      <c r="B1" s="542"/>
      <c r="C1" s="542"/>
      <c r="D1" s="542"/>
      <c r="E1" s="542"/>
      <c r="F1" s="542"/>
      <c r="G1" s="542"/>
      <c r="H1" s="542"/>
      <c r="I1" s="542"/>
    </row>
    <row r="2" spans="1:9">
      <c r="A2" s="543" t="s">
        <v>1</v>
      </c>
      <c r="B2" s="544"/>
      <c r="C2" s="553" t="str">
        <f>'Stavební rozpočet'!D2</f>
        <v>Rekonstrukce ORL-Nemocnice Nymburk</v>
      </c>
      <c r="D2" s="554"/>
      <c r="E2" s="548" t="s">
        <v>2</v>
      </c>
      <c r="F2" s="548" t="str">
        <f>'Stavební rozpočet'!J2</f>
        <v> </v>
      </c>
      <c r="G2" s="544"/>
      <c r="H2" s="548" t="s">
        <v>3</v>
      </c>
      <c r="I2" s="550" t="s">
        <v>4</v>
      </c>
    </row>
    <row r="3" spans="1:9" ht="15" customHeight="1">
      <c r="A3" s="545"/>
      <c r="B3" s="546"/>
      <c r="C3" s="555"/>
      <c r="D3" s="555"/>
      <c r="E3" s="546"/>
      <c r="F3" s="546"/>
      <c r="G3" s="546"/>
      <c r="H3" s="546"/>
      <c r="I3" s="551"/>
    </row>
    <row r="4" spans="1:9">
      <c r="A4" s="547" t="s">
        <v>5</v>
      </c>
      <c r="B4" s="546"/>
      <c r="C4" s="549" t="str">
        <f>'Stavební rozpočet'!D4</f>
        <v>Rekonstrukce ORL</v>
      </c>
      <c r="D4" s="546"/>
      <c r="E4" s="549" t="s">
        <v>6</v>
      </c>
      <c r="F4" s="549" t="str">
        <f>'Stavební rozpočet'!J4</f>
        <v xml:space="preserve">
DomusDesign
</v>
      </c>
      <c r="G4" s="546"/>
      <c r="H4" s="549" t="s">
        <v>3</v>
      </c>
      <c r="I4" s="551" t="s">
        <v>4</v>
      </c>
    </row>
    <row r="5" spans="1:9" ht="15" customHeight="1">
      <c r="A5" s="545"/>
      <c r="B5" s="546"/>
      <c r="C5" s="546"/>
      <c r="D5" s="546"/>
      <c r="E5" s="546"/>
      <c r="F5" s="546"/>
      <c r="G5" s="546"/>
      <c r="H5" s="546"/>
      <c r="I5" s="551"/>
    </row>
    <row r="6" spans="1:9">
      <c r="A6" s="547" t="s">
        <v>7</v>
      </c>
      <c r="B6" s="546"/>
      <c r="C6" s="549" t="str">
        <f>'Stavební rozpočet'!D6</f>
        <v>nemocnice Nymburk</v>
      </c>
      <c r="D6" s="546"/>
      <c r="E6" s="549" t="s">
        <v>8</v>
      </c>
      <c r="F6" s="549">
        <f>'Stavební rozpočet'!J6</f>
        <v>0</v>
      </c>
      <c r="G6" s="546"/>
      <c r="H6" s="549" t="s">
        <v>3</v>
      </c>
      <c r="I6" s="551" t="s">
        <v>4</v>
      </c>
    </row>
    <row r="7" spans="1:9" ht="15" customHeight="1">
      <c r="A7" s="545"/>
      <c r="B7" s="546"/>
      <c r="C7" s="546"/>
      <c r="D7" s="546"/>
      <c r="E7" s="546"/>
      <c r="F7" s="546"/>
      <c r="G7" s="546"/>
      <c r="H7" s="546"/>
      <c r="I7" s="551"/>
    </row>
    <row r="8" spans="1:9">
      <c r="A8" s="547" t="s">
        <v>9</v>
      </c>
      <c r="B8" s="546"/>
      <c r="C8" s="549" t="str">
        <f>'Stavební rozpočet'!H4</f>
        <v xml:space="preserve"> </v>
      </c>
      <c r="D8" s="546"/>
      <c r="E8" s="549" t="s">
        <v>10</v>
      </c>
      <c r="F8" s="549" t="str">
        <f>'Stavební rozpočet'!H6</f>
        <v xml:space="preserve"> </v>
      </c>
      <c r="G8" s="546"/>
      <c r="H8" s="546" t="s">
        <v>11</v>
      </c>
      <c r="I8" s="552">
        <v>131</v>
      </c>
    </row>
    <row r="9" spans="1:9">
      <c r="A9" s="545"/>
      <c r="B9" s="546"/>
      <c r="C9" s="546"/>
      <c r="D9" s="546"/>
      <c r="E9" s="546"/>
      <c r="F9" s="546"/>
      <c r="G9" s="546"/>
      <c r="H9" s="546"/>
      <c r="I9" s="551"/>
    </row>
    <row r="10" spans="1:9">
      <c r="A10" s="547" t="s">
        <v>12</v>
      </c>
      <c r="B10" s="546"/>
      <c r="C10" s="549" t="str">
        <f>'Stavební rozpočet'!D8</f>
        <v xml:space="preserve"> </v>
      </c>
      <c r="D10" s="546"/>
      <c r="E10" s="549" t="s">
        <v>13</v>
      </c>
      <c r="F10" s="549" t="str">
        <f>'Stavební rozpočet'!J8</f>
        <v> </v>
      </c>
      <c r="G10" s="546"/>
      <c r="H10" s="546" t="s">
        <v>14</v>
      </c>
      <c r="I10" s="557">
        <f>'Stavební rozpočet'!H8</f>
        <v>0</v>
      </c>
    </row>
    <row r="11" spans="1:9">
      <c r="A11" s="562"/>
      <c r="B11" s="556"/>
      <c r="C11" s="556"/>
      <c r="D11" s="556"/>
      <c r="E11" s="556"/>
      <c r="F11" s="556"/>
      <c r="G11" s="556"/>
      <c r="H11" s="556"/>
      <c r="I11" s="558"/>
    </row>
    <row r="13" spans="1:9" ht="15.75">
      <c r="A13" s="593" t="s">
        <v>58</v>
      </c>
      <c r="B13" s="593"/>
      <c r="C13" s="593"/>
      <c r="D13" s="593"/>
      <c r="E13" s="593"/>
    </row>
    <row r="14" spans="1:9">
      <c r="A14" s="594" t="s">
        <v>59</v>
      </c>
      <c r="B14" s="595"/>
      <c r="C14" s="595"/>
      <c r="D14" s="595"/>
      <c r="E14" s="596"/>
      <c r="F14" s="18" t="s">
        <v>60</v>
      </c>
      <c r="G14" s="18" t="s">
        <v>61</v>
      </c>
      <c r="H14" s="18" t="s">
        <v>62</v>
      </c>
      <c r="I14" s="18" t="s">
        <v>60</v>
      </c>
    </row>
    <row r="15" spans="1:9">
      <c r="A15" s="597" t="s">
        <v>24</v>
      </c>
      <c r="B15" s="598"/>
      <c r="C15" s="598"/>
      <c r="D15" s="598"/>
      <c r="E15" s="599"/>
      <c r="F15" s="19">
        <v>0</v>
      </c>
      <c r="G15" s="20" t="s">
        <v>4</v>
      </c>
      <c r="H15" s="20" t="s">
        <v>4</v>
      </c>
      <c r="I15" s="19">
        <f>F15</f>
        <v>0</v>
      </c>
    </row>
    <row r="16" spans="1:9">
      <c r="A16" s="597" t="s">
        <v>27</v>
      </c>
      <c r="B16" s="598"/>
      <c r="C16" s="598"/>
      <c r="D16" s="598"/>
      <c r="E16" s="599"/>
      <c r="F16" s="19">
        <v>0</v>
      </c>
      <c r="G16" s="20" t="s">
        <v>4</v>
      </c>
      <c r="H16" s="20" t="s">
        <v>4</v>
      </c>
      <c r="I16" s="19">
        <f>F16</f>
        <v>0</v>
      </c>
    </row>
    <row r="17" spans="1:9">
      <c r="A17" s="600" t="s">
        <v>30</v>
      </c>
      <c r="B17" s="601"/>
      <c r="C17" s="601"/>
      <c r="D17" s="601"/>
      <c r="E17" s="602"/>
      <c r="F17" s="21">
        <v>0</v>
      </c>
      <c r="G17" s="22" t="s">
        <v>4</v>
      </c>
      <c r="H17" s="22" t="s">
        <v>4</v>
      </c>
      <c r="I17" s="21">
        <f>F17</f>
        <v>0</v>
      </c>
    </row>
    <row r="18" spans="1:9">
      <c r="A18" s="603" t="s">
        <v>63</v>
      </c>
      <c r="B18" s="604"/>
      <c r="C18" s="604"/>
      <c r="D18" s="604"/>
      <c r="E18" s="605"/>
      <c r="F18" s="23" t="s">
        <v>4</v>
      </c>
      <c r="G18" s="24" t="s">
        <v>4</v>
      </c>
      <c r="H18" s="24" t="s">
        <v>4</v>
      </c>
      <c r="I18" s="25">
        <f>SUM(I15:I17)</f>
        <v>0</v>
      </c>
    </row>
    <row r="20" spans="1:9">
      <c r="A20" s="594" t="s">
        <v>21</v>
      </c>
      <c r="B20" s="595"/>
      <c r="C20" s="595"/>
      <c r="D20" s="595"/>
      <c r="E20" s="596"/>
      <c r="F20" s="18" t="s">
        <v>60</v>
      </c>
      <c r="G20" s="18" t="s">
        <v>61</v>
      </c>
      <c r="H20" s="18" t="s">
        <v>62</v>
      </c>
      <c r="I20" s="18" t="s">
        <v>60</v>
      </c>
    </row>
    <row r="21" spans="1:9">
      <c r="A21" s="597" t="s">
        <v>25</v>
      </c>
      <c r="B21" s="598"/>
      <c r="C21" s="598"/>
      <c r="D21" s="598"/>
      <c r="E21" s="599"/>
      <c r="F21" s="19">
        <v>0</v>
      </c>
      <c r="G21" s="20" t="s">
        <v>4</v>
      </c>
      <c r="H21" s="20" t="s">
        <v>4</v>
      </c>
      <c r="I21" s="19">
        <f t="shared" ref="I21:I26" si="0">F21</f>
        <v>0</v>
      </c>
    </row>
    <row r="22" spans="1:9">
      <c r="A22" s="597" t="s">
        <v>28</v>
      </c>
      <c r="B22" s="598"/>
      <c r="C22" s="598"/>
      <c r="D22" s="598"/>
      <c r="E22" s="599"/>
      <c r="F22" s="19">
        <v>0</v>
      </c>
      <c r="G22" s="20" t="s">
        <v>4</v>
      </c>
      <c r="H22" s="20" t="s">
        <v>4</v>
      </c>
      <c r="I22" s="19">
        <f t="shared" si="0"/>
        <v>0</v>
      </c>
    </row>
    <row r="23" spans="1:9">
      <c r="A23" s="597" t="s">
        <v>31</v>
      </c>
      <c r="B23" s="598"/>
      <c r="C23" s="598"/>
      <c r="D23" s="598"/>
      <c r="E23" s="599"/>
      <c r="F23" s="19">
        <v>0</v>
      </c>
      <c r="G23" s="20" t="s">
        <v>4</v>
      </c>
      <c r="H23" s="20" t="s">
        <v>4</v>
      </c>
      <c r="I23" s="19">
        <f t="shared" si="0"/>
        <v>0</v>
      </c>
    </row>
    <row r="24" spans="1:9">
      <c r="A24" s="597" t="s">
        <v>32</v>
      </c>
      <c r="B24" s="598"/>
      <c r="C24" s="598"/>
      <c r="D24" s="598"/>
      <c r="E24" s="599"/>
      <c r="F24" s="19">
        <v>0</v>
      </c>
      <c r="G24" s="20" t="s">
        <v>4</v>
      </c>
      <c r="H24" s="20" t="s">
        <v>4</v>
      </c>
      <c r="I24" s="19">
        <f t="shared" si="0"/>
        <v>0</v>
      </c>
    </row>
    <row r="25" spans="1:9">
      <c r="A25" s="597" t="s">
        <v>34</v>
      </c>
      <c r="B25" s="598"/>
      <c r="C25" s="598"/>
      <c r="D25" s="598"/>
      <c r="E25" s="599"/>
      <c r="F25" s="19">
        <v>0</v>
      </c>
      <c r="G25" s="20" t="s">
        <v>4</v>
      </c>
      <c r="H25" s="20" t="s">
        <v>4</v>
      </c>
      <c r="I25" s="19">
        <f t="shared" si="0"/>
        <v>0</v>
      </c>
    </row>
    <row r="26" spans="1:9">
      <c r="A26" s="600" t="s">
        <v>35</v>
      </c>
      <c r="B26" s="601"/>
      <c r="C26" s="601"/>
      <c r="D26" s="601"/>
      <c r="E26" s="602"/>
      <c r="F26" s="21">
        <v>0</v>
      </c>
      <c r="G26" s="22" t="s">
        <v>4</v>
      </c>
      <c r="H26" s="22" t="s">
        <v>4</v>
      </c>
      <c r="I26" s="21">
        <f t="shared" si="0"/>
        <v>0</v>
      </c>
    </row>
    <row r="27" spans="1:9">
      <c r="A27" s="603" t="s">
        <v>64</v>
      </c>
      <c r="B27" s="604"/>
      <c r="C27" s="604"/>
      <c r="D27" s="604"/>
      <c r="E27" s="605"/>
      <c r="F27" s="23" t="s">
        <v>4</v>
      </c>
      <c r="G27" s="24" t="s">
        <v>4</v>
      </c>
      <c r="H27" s="24" t="s">
        <v>4</v>
      </c>
      <c r="I27" s="25">
        <f>SUM(I21:I26)</f>
        <v>0</v>
      </c>
    </row>
    <row r="29" spans="1:9" ht="15.75">
      <c r="A29" s="606" t="s">
        <v>65</v>
      </c>
      <c r="B29" s="607"/>
      <c r="C29" s="607"/>
      <c r="D29" s="607"/>
      <c r="E29" s="608"/>
      <c r="F29" s="609">
        <f>I18+I27</f>
        <v>0</v>
      </c>
      <c r="G29" s="610"/>
      <c r="H29" s="610"/>
      <c r="I29" s="611"/>
    </row>
    <row r="33" spans="1:9" ht="15.75">
      <c r="A33" s="593" t="s">
        <v>66</v>
      </c>
      <c r="B33" s="593"/>
      <c r="C33" s="593"/>
      <c r="D33" s="593"/>
      <c r="E33" s="593"/>
    </row>
    <row r="34" spans="1:9">
      <c r="A34" s="594" t="s">
        <v>67</v>
      </c>
      <c r="B34" s="595"/>
      <c r="C34" s="595"/>
      <c r="D34" s="595"/>
      <c r="E34" s="596"/>
      <c r="F34" s="18" t="s">
        <v>60</v>
      </c>
      <c r="G34" s="18" t="s">
        <v>61</v>
      </c>
      <c r="H34" s="18" t="s">
        <v>62</v>
      </c>
      <c r="I34" s="18" t="s">
        <v>60</v>
      </c>
    </row>
    <row r="35" spans="1:9">
      <c r="A35" s="597" t="s">
        <v>68</v>
      </c>
      <c r="B35" s="598"/>
      <c r="C35" s="598"/>
      <c r="D35" s="598"/>
      <c r="E35" s="599"/>
      <c r="F35" s="19">
        <f>SUM('Stavební rozpočet'!BM12:BM1097)</f>
        <v>0</v>
      </c>
      <c r="G35" s="20" t="s">
        <v>4</v>
      </c>
      <c r="H35" s="20" t="s">
        <v>4</v>
      </c>
      <c r="I35" s="19">
        <f t="shared" ref="I35:I44" si="1">F35</f>
        <v>0</v>
      </c>
    </row>
    <row r="36" spans="1:9">
      <c r="A36" s="597" t="s">
        <v>69</v>
      </c>
      <c r="B36" s="598"/>
      <c r="C36" s="598"/>
      <c r="D36" s="598"/>
      <c r="E36" s="599"/>
      <c r="F36" s="19">
        <f>SUM('Stavební rozpočet'!BN12:BN1097)</f>
        <v>0</v>
      </c>
      <c r="G36" s="20" t="s">
        <v>4</v>
      </c>
      <c r="H36" s="20" t="s">
        <v>4</v>
      </c>
      <c r="I36" s="19">
        <f t="shared" si="1"/>
        <v>0</v>
      </c>
    </row>
    <row r="37" spans="1:9">
      <c r="A37" s="597" t="s">
        <v>25</v>
      </c>
      <c r="B37" s="598"/>
      <c r="C37" s="598"/>
      <c r="D37" s="598"/>
      <c r="E37" s="599"/>
      <c r="F37" s="19">
        <f>SUM('Stavební rozpočet'!BO12:BO1097)</f>
        <v>0</v>
      </c>
      <c r="G37" s="20" t="s">
        <v>4</v>
      </c>
      <c r="H37" s="20" t="s">
        <v>4</v>
      </c>
      <c r="I37" s="19">
        <f t="shared" si="1"/>
        <v>0</v>
      </c>
    </row>
    <row r="38" spans="1:9">
      <c r="A38" s="597" t="s">
        <v>70</v>
      </c>
      <c r="B38" s="598"/>
      <c r="C38" s="598"/>
      <c r="D38" s="598"/>
      <c r="E38" s="599"/>
      <c r="F38" s="19">
        <f>SUM('Stavební rozpočet'!BP12:BP1097)</f>
        <v>0</v>
      </c>
      <c r="G38" s="20" t="s">
        <v>4</v>
      </c>
      <c r="H38" s="20" t="s">
        <v>4</v>
      </c>
      <c r="I38" s="19">
        <f t="shared" si="1"/>
        <v>0</v>
      </c>
    </row>
    <row r="39" spans="1:9">
      <c r="A39" s="597" t="s">
        <v>71</v>
      </c>
      <c r="B39" s="598"/>
      <c r="C39" s="598"/>
      <c r="D39" s="598"/>
      <c r="E39" s="599"/>
      <c r="F39" s="19">
        <f>SUM('Stavební rozpočet'!BQ12:BQ1097)</f>
        <v>0</v>
      </c>
      <c r="G39" s="20" t="s">
        <v>4</v>
      </c>
      <c r="H39" s="20" t="s">
        <v>4</v>
      </c>
      <c r="I39" s="19">
        <f t="shared" si="1"/>
        <v>0</v>
      </c>
    </row>
    <row r="40" spans="1:9">
      <c r="A40" s="597" t="s">
        <v>31</v>
      </c>
      <c r="B40" s="598"/>
      <c r="C40" s="598"/>
      <c r="D40" s="598"/>
      <c r="E40" s="599"/>
      <c r="F40" s="19">
        <f>SUM('Stavební rozpočet'!BR12:BR1097)</f>
        <v>0</v>
      </c>
      <c r="G40" s="20" t="s">
        <v>4</v>
      </c>
      <c r="H40" s="20" t="s">
        <v>4</v>
      </c>
      <c r="I40" s="19">
        <f t="shared" si="1"/>
        <v>0</v>
      </c>
    </row>
    <row r="41" spans="1:9">
      <c r="A41" s="597" t="s">
        <v>32</v>
      </c>
      <c r="B41" s="598"/>
      <c r="C41" s="598"/>
      <c r="D41" s="598"/>
      <c r="E41" s="599"/>
      <c r="F41" s="19">
        <f>SUM('Stavební rozpočet'!BS12:BS1097)</f>
        <v>0</v>
      </c>
      <c r="G41" s="20" t="s">
        <v>4</v>
      </c>
      <c r="H41" s="20" t="s">
        <v>4</v>
      </c>
      <c r="I41" s="19">
        <f t="shared" si="1"/>
        <v>0</v>
      </c>
    </row>
    <row r="42" spans="1:9">
      <c r="A42" s="597" t="s">
        <v>72</v>
      </c>
      <c r="B42" s="598"/>
      <c r="C42" s="598"/>
      <c r="D42" s="598"/>
      <c r="E42" s="599"/>
      <c r="F42" s="19">
        <f>SUM('Stavební rozpočet'!BT12:BT1097)</f>
        <v>0</v>
      </c>
      <c r="G42" s="20" t="s">
        <v>4</v>
      </c>
      <c r="H42" s="20" t="s">
        <v>4</v>
      </c>
      <c r="I42" s="19">
        <f t="shared" si="1"/>
        <v>0</v>
      </c>
    </row>
    <row r="43" spans="1:9">
      <c r="A43" s="597" t="s">
        <v>73</v>
      </c>
      <c r="B43" s="598"/>
      <c r="C43" s="598"/>
      <c r="D43" s="598"/>
      <c r="E43" s="599"/>
      <c r="F43" s="19">
        <f>SUM('Stavební rozpočet'!BU12:BU1097)</f>
        <v>0</v>
      </c>
      <c r="G43" s="20" t="s">
        <v>4</v>
      </c>
      <c r="H43" s="20" t="s">
        <v>4</v>
      </c>
      <c r="I43" s="19">
        <f t="shared" si="1"/>
        <v>0</v>
      </c>
    </row>
    <row r="44" spans="1:9">
      <c r="A44" s="600" t="s">
        <v>74</v>
      </c>
      <c r="B44" s="601"/>
      <c r="C44" s="601"/>
      <c r="D44" s="601"/>
      <c r="E44" s="602"/>
      <c r="F44" s="21">
        <f>SUM('Stavební rozpočet'!BV12:BV1097)</f>
        <v>0</v>
      </c>
      <c r="G44" s="22" t="s">
        <v>4</v>
      </c>
      <c r="H44" s="22" t="s">
        <v>4</v>
      </c>
      <c r="I44" s="21">
        <f t="shared" si="1"/>
        <v>0</v>
      </c>
    </row>
    <row r="45" spans="1:9">
      <c r="A45" s="603" t="s">
        <v>75</v>
      </c>
      <c r="B45" s="604"/>
      <c r="C45" s="604"/>
      <c r="D45" s="604"/>
      <c r="E45" s="605"/>
      <c r="F45" s="23" t="s">
        <v>4</v>
      </c>
      <c r="G45" s="24" t="s">
        <v>4</v>
      </c>
      <c r="H45" s="24" t="s">
        <v>4</v>
      </c>
      <c r="I45" s="25">
        <f>SUM(I35:I44)</f>
        <v>0</v>
      </c>
    </row>
  </sheetData>
  <sheetProtection password="CC2B" sheet="1"/>
  <mergeCells count="60">
    <mergeCell ref="A41:E41"/>
    <mergeCell ref="A42:E42"/>
    <mergeCell ref="A43:E43"/>
    <mergeCell ref="A44:E44"/>
    <mergeCell ref="A45:E45"/>
    <mergeCell ref="A36:E36"/>
    <mergeCell ref="A37:E37"/>
    <mergeCell ref="A38:E38"/>
    <mergeCell ref="A39:E39"/>
    <mergeCell ref="A40:E40"/>
    <mergeCell ref="A29:E29"/>
    <mergeCell ref="F29:I29"/>
    <mergeCell ref="A33:E33"/>
    <mergeCell ref="A34:E34"/>
    <mergeCell ref="A35:E35"/>
    <mergeCell ref="A23:E23"/>
    <mergeCell ref="A24:E24"/>
    <mergeCell ref="A25:E25"/>
    <mergeCell ref="A26:E26"/>
    <mergeCell ref="A27:E27"/>
    <mergeCell ref="A17:E17"/>
    <mergeCell ref="A18:E18"/>
    <mergeCell ref="A20:E20"/>
    <mergeCell ref="A21:E21"/>
    <mergeCell ref="A22:E22"/>
    <mergeCell ref="I10:I11"/>
    <mergeCell ref="A13:E13"/>
    <mergeCell ref="A14:E14"/>
    <mergeCell ref="A15:E15"/>
    <mergeCell ref="A16:E16"/>
    <mergeCell ref="H10:H11"/>
    <mergeCell ref="A10:B11"/>
    <mergeCell ref="C2:D3"/>
    <mergeCell ref="C4:D5"/>
    <mergeCell ref="C6:D7"/>
    <mergeCell ref="C8:D9"/>
    <mergeCell ref="C10:D11"/>
    <mergeCell ref="E8:E9"/>
    <mergeCell ref="E10:E11"/>
    <mergeCell ref="F2:G3"/>
    <mergeCell ref="F4:G5"/>
    <mergeCell ref="F6:G7"/>
    <mergeCell ref="F8:G9"/>
    <mergeCell ref="F10:G11"/>
    <mergeCell ref="A1:I1"/>
    <mergeCell ref="A2:B3"/>
    <mergeCell ref="A4:B5"/>
    <mergeCell ref="A6:B7"/>
    <mergeCell ref="A8:B9"/>
    <mergeCell ref="H2:H3"/>
    <mergeCell ref="H4:H5"/>
    <mergeCell ref="H6:H7"/>
    <mergeCell ref="H8:H9"/>
    <mergeCell ref="I2:I3"/>
    <mergeCell ref="I4:I5"/>
    <mergeCell ref="I6:I7"/>
    <mergeCell ref="I8:I9"/>
    <mergeCell ref="E2:E3"/>
    <mergeCell ref="E4:E5"/>
    <mergeCell ref="E6:E7"/>
  </mergeCells>
  <pageMargins left="0.393999993801117" right="0.393999993801117" top="0.59100002050399802" bottom="0.59100002050399802" header="0" footer="0"/>
  <pageSetup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Z1100"/>
  <sheetViews>
    <sheetView workbookViewId="0">
      <pane ySplit="11" topLeftCell="A12" activePane="bottomLeft" state="frozen"/>
      <selection pane="bottomLeft" activeCell="D2" sqref="D2:E3"/>
    </sheetView>
  </sheetViews>
  <sheetFormatPr defaultColWidth="12.140625" defaultRowHeight="15" customHeight="1"/>
  <cols>
    <col min="1" max="1" width="3.140625" customWidth="1"/>
    <col min="2" max="2" width="7.5703125" customWidth="1"/>
    <col min="3" max="3" width="17.85546875" customWidth="1"/>
    <col min="4" max="4" width="42.85546875" customWidth="1"/>
    <col min="5" max="5" width="35.7109375" customWidth="1"/>
    <col min="6" max="6" width="6.7109375" customWidth="1"/>
    <col min="7" max="7" width="12.85546875" customWidth="1"/>
    <col min="8" max="8" width="12" customWidth="1"/>
    <col min="9" max="9" width="15.7109375" customWidth="1"/>
    <col min="10" max="12" width="11.7109375" customWidth="1"/>
    <col min="13" max="13" width="13.42578125" customWidth="1"/>
    <col min="25" max="75" width="12.140625" hidden="1"/>
    <col min="76" max="76" width="78.5703125" hidden="1" customWidth="1"/>
    <col min="77" max="78" width="12.140625" hidden="1"/>
  </cols>
  <sheetData>
    <row r="1" spans="1:76" ht="54.75" customHeight="1">
      <c r="A1" s="542" t="s">
        <v>76</v>
      </c>
      <c r="B1" s="542"/>
      <c r="C1" s="542"/>
      <c r="D1" s="542"/>
      <c r="E1" s="542"/>
      <c r="F1" s="542"/>
      <c r="G1" s="542"/>
      <c r="H1" s="542"/>
      <c r="I1" s="542"/>
      <c r="J1" s="542"/>
      <c r="K1" s="542"/>
      <c r="L1" s="542"/>
      <c r="M1" s="542"/>
      <c r="AS1" s="26">
        <f>SUM(AJ1:AJ2)</f>
        <v>0</v>
      </c>
      <c r="AT1" s="26">
        <f>SUM(AK1:AK2)</f>
        <v>0</v>
      </c>
      <c r="AU1" s="26">
        <f>SUM(AL1:AL2)</f>
        <v>0</v>
      </c>
    </row>
    <row r="2" spans="1:76">
      <c r="A2" s="543" t="s">
        <v>1</v>
      </c>
      <c r="B2" s="544"/>
      <c r="C2" s="544"/>
      <c r="D2" s="553" t="s">
        <v>77</v>
      </c>
      <c r="E2" s="554"/>
      <c r="F2" s="544" t="s">
        <v>78</v>
      </c>
      <c r="G2" s="544"/>
      <c r="H2" s="617" t="s">
        <v>79</v>
      </c>
      <c r="I2" s="548" t="s">
        <v>2</v>
      </c>
      <c r="J2" s="544" t="s">
        <v>80</v>
      </c>
      <c r="K2" s="544"/>
      <c r="L2" s="544"/>
      <c r="M2" s="550"/>
    </row>
    <row r="3" spans="1:76">
      <c r="A3" s="545"/>
      <c r="B3" s="546"/>
      <c r="C3" s="546"/>
      <c r="D3" s="555"/>
      <c r="E3" s="555"/>
      <c r="F3" s="546"/>
      <c r="G3" s="546"/>
      <c r="H3" s="612"/>
      <c r="I3" s="546"/>
      <c r="J3" s="546"/>
      <c r="K3" s="546"/>
      <c r="L3" s="546"/>
      <c r="M3" s="551"/>
    </row>
    <row r="4" spans="1:76">
      <c r="A4" s="547" t="s">
        <v>5</v>
      </c>
      <c r="B4" s="546"/>
      <c r="C4" s="546"/>
      <c r="D4" s="549" t="s">
        <v>81</v>
      </c>
      <c r="E4" s="546"/>
      <c r="F4" s="546" t="s">
        <v>9</v>
      </c>
      <c r="G4" s="546"/>
      <c r="H4" s="612" t="s">
        <v>79</v>
      </c>
      <c r="I4" s="549" t="s">
        <v>6</v>
      </c>
      <c r="J4" s="549" t="s">
        <v>1339</v>
      </c>
      <c r="K4" s="546"/>
      <c r="L4" s="546"/>
      <c r="M4" s="551"/>
    </row>
    <row r="5" spans="1:76">
      <c r="A5" s="545"/>
      <c r="B5" s="546"/>
      <c r="C5" s="546"/>
      <c r="D5" s="546"/>
      <c r="E5" s="546"/>
      <c r="F5" s="546"/>
      <c r="G5" s="546"/>
      <c r="H5" s="612"/>
      <c r="I5" s="546"/>
      <c r="J5" s="546"/>
      <c r="K5" s="546"/>
      <c r="L5" s="546"/>
      <c r="M5" s="551"/>
    </row>
    <row r="6" spans="1:76">
      <c r="A6" s="547" t="s">
        <v>7</v>
      </c>
      <c r="B6" s="546"/>
      <c r="C6" s="546"/>
      <c r="D6" s="549" t="s">
        <v>82</v>
      </c>
      <c r="E6" s="546"/>
      <c r="F6" s="546" t="s">
        <v>10</v>
      </c>
      <c r="G6" s="546"/>
      <c r="H6" s="612" t="s">
        <v>79</v>
      </c>
      <c r="I6" s="549" t="s">
        <v>8</v>
      </c>
      <c r="J6" s="612"/>
      <c r="K6" s="612"/>
      <c r="L6" s="612"/>
      <c r="M6" s="613"/>
    </row>
    <row r="7" spans="1:76">
      <c r="A7" s="545"/>
      <c r="B7" s="546"/>
      <c r="C7" s="546"/>
      <c r="D7" s="546"/>
      <c r="E7" s="546"/>
      <c r="F7" s="546"/>
      <c r="G7" s="546"/>
      <c r="H7" s="612"/>
      <c r="I7" s="546"/>
      <c r="J7" s="612"/>
      <c r="K7" s="612"/>
      <c r="L7" s="612"/>
      <c r="M7" s="613"/>
    </row>
    <row r="8" spans="1:76">
      <c r="A8" s="547" t="s">
        <v>12</v>
      </c>
      <c r="B8" s="546"/>
      <c r="C8" s="546"/>
      <c r="D8" s="549" t="s">
        <v>79</v>
      </c>
      <c r="E8" s="546"/>
      <c r="F8" s="546" t="s">
        <v>83</v>
      </c>
      <c r="G8" s="546"/>
      <c r="H8" s="612"/>
      <c r="I8" s="549" t="s">
        <v>13</v>
      </c>
      <c r="J8" s="612" t="s">
        <v>80</v>
      </c>
      <c r="K8" s="612"/>
      <c r="L8" s="612"/>
      <c r="M8" s="613"/>
    </row>
    <row r="9" spans="1:76">
      <c r="A9" s="624"/>
      <c r="B9" s="616"/>
      <c r="C9" s="616"/>
      <c r="D9" s="616"/>
      <c r="E9" s="616"/>
      <c r="F9" s="616"/>
      <c r="G9" s="616"/>
      <c r="H9" s="614"/>
      <c r="I9" s="616"/>
      <c r="J9" s="614"/>
      <c r="K9" s="614"/>
      <c r="L9" s="614"/>
      <c r="M9" s="615"/>
    </row>
    <row r="10" spans="1:76">
      <c r="A10" s="27" t="s">
        <v>84</v>
      </c>
      <c r="B10" s="28" t="s">
        <v>85</v>
      </c>
      <c r="C10" s="28" t="s">
        <v>86</v>
      </c>
      <c r="D10" s="638" t="s">
        <v>87</v>
      </c>
      <c r="E10" s="639"/>
      <c r="F10" s="28" t="s">
        <v>88</v>
      </c>
      <c r="G10" s="29" t="s">
        <v>89</v>
      </c>
      <c r="H10" s="30" t="s">
        <v>90</v>
      </c>
      <c r="I10" s="31" t="s">
        <v>91</v>
      </c>
      <c r="J10" s="629" t="s">
        <v>92</v>
      </c>
      <c r="K10" s="630"/>
      <c r="L10" s="631"/>
      <c r="M10" s="32" t="s">
        <v>93</v>
      </c>
      <c r="BK10" s="33" t="s">
        <v>94</v>
      </c>
      <c r="BL10" s="34" t="s">
        <v>95</v>
      </c>
      <c r="BW10" s="34" t="s">
        <v>96</v>
      </c>
    </row>
    <row r="11" spans="1:76">
      <c r="A11" s="35" t="s">
        <v>79</v>
      </c>
      <c r="B11" s="36" t="s">
        <v>79</v>
      </c>
      <c r="C11" s="36" t="s">
        <v>79</v>
      </c>
      <c r="D11" s="627" t="s">
        <v>97</v>
      </c>
      <c r="E11" s="628"/>
      <c r="F11" s="36" t="s">
        <v>79</v>
      </c>
      <c r="G11" s="36" t="s">
        <v>79</v>
      </c>
      <c r="H11" s="37" t="s">
        <v>98</v>
      </c>
      <c r="I11" s="38" t="s">
        <v>99</v>
      </c>
      <c r="J11" s="39" t="s">
        <v>100</v>
      </c>
      <c r="K11" s="40" t="s">
        <v>101</v>
      </c>
      <c r="L11" s="41" t="s">
        <v>99</v>
      </c>
      <c r="M11" s="42" t="s">
        <v>102</v>
      </c>
      <c r="Z11" s="33" t="s">
        <v>103</v>
      </c>
      <c r="AA11" s="33" t="s">
        <v>104</v>
      </c>
      <c r="AB11" s="33" t="s">
        <v>105</v>
      </c>
      <c r="AC11" s="33" t="s">
        <v>106</v>
      </c>
      <c r="AD11" s="33" t="s">
        <v>107</v>
      </c>
      <c r="AE11" s="33" t="s">
        <v>108</v>
      </c>
      <c r="AF11" s="33" t="s">
        <v>109</v>
      </c>
      <c r="AG11" s="33" t="s">
        <v>110</v>
      </c>
      <c r="AH11" s="33" t="s">
        <v>111</v>
      </c>
      <c r="BH11" s="33" t="s">
        <v>112</v>
      </c>
      <c r="BI11" s="33" t="s">
        <v>113</v>
      </c>
      <c r="BJ11" s="33" t="s">
        <v>114</v>
      </c>
    </row>
    <row r="12" spans="1:76">
      <c r="A12" s="43" t="s">
        <v>4</v>
      </c>
      <c r="B12" s="44" t="s">
        <v>4</v>
      </c>
      <c r="C12" s="44" t="s">
        <v>4</v>
      </c>
      <c r="D12" s="632" t="s">
        <v>115</v>
      </c>
      <c r="E12" s="633"/>
      <c r="F12" s="45" t="s">
        <v>79</v>
      </c>
      <c r="G12" s="45" t="s">
        <v>79</v>
      </c>
      <c r="H12" s="46" t="s">
        <v>79</v>
      </c>
      <c r="I12" s="47">
        <f>I13+I22+I50+I97+I258+I346+I353+I422+I435+I564+I568+I573+I580+I585+I639+I677+I768+I802+I932+I935+I1001+I1033+I1066+I1068+I1082+I1085+I1088+I1091+I1094</f>
        <v>0</v>
      </c>
      <c r="J12" s="48" t="s">
        <v>4</v>
      </c>
      <c r="K12" s="48" t="s">
        <v>4</v>
      </c>
      <c r="L12" s="47">
        <f>L13+L22+L50+L97+L258+L346+L353+L422+L435+L564+L568+L573+L580+L585+L639+L677+L768+L802+L932+L935+L1001+L1033+L1066+L1068+L1082+L1085+L1088+L1091+L1094</f>
        <v>310.46213621740003</v>
      </c>
      <c r="M12" s="49" t="s">
        <v>4</v>
      </c>
    </row>
    <row r="13" spans="1:76">
      <c r="A13" s="50" t="s">
        <v>4</v>
      </c>
      <c r="B13" s="51" t="s">
        <v>4</v>
      </c>
      <c r="C13" s="51" t="s">
        <v>116</v>
      </c>
      <c r="D13" s="625" t="s">
        <v>117</v>
      </c>
      <c r="E13" s="626"/>
      <c r="F13" s="52" t="s">
        <v>79</v>
      </c>
      <c r="G13" s="52" t="s">
        <v>79</v>
      </c>
      <c r="H13" s="53" t="s">
        <v>79</v>
      </c>
      <c r="I13" s="26">
        <f>SUM(I14:I20)</f>
        <v>0</v>
      </c>
      <c r="J13" s="33" t="s">
        <v>4</v>
      </c>
      <c r="K13" s="33" t="s">
        <v>4</v>
      </c>
      <c r="L13" s="26">
        <f>SUM(L14:L20)</f>
        <v>48.414720000000003</v>
      </c>
      <c r="M13" s="54" t="s">
        <v>4</v>
      </c>
      <c r="AI13" s="33" t="s">
        <v>4</v>
      </c>
      <c r="AS13" s="26">
        <f>SUM(AJ14:AJ20)</f>
        <v>0</v>
      </c>
      <c r="AT13" s="26">
        <f>SUM(AK14:AK20)</f>
        <v>0</v>
      </c>
      <c r="AU13" s="26">
        <f>SUM(AL14:AL20)</f>
        <v>0</v>
      </c>
    </row>
    <row r="14" spans="1:76">
      <c r="A14" s="1" t="s">
        <v>118</v>
      </c>
      <c r="B14" s="2" t="s">
        <v>4</v>
      </c>
      <c r="C14" s="2" t="s">
        <v>119</v>
      </c>
      <c r="D14" s="549" t="s">
        <v>120</v>
      </c>
      <c r="E14" s="546"/>
      <c r="F14" s="2" t="s">
        <v>121</v>
      </c>
      <c r="G14" s="55">
        <v>40.345599999999997</v>
      </c>
      <c r="H14" s="56">
        <v>0</v>
      </c>
      <c r="I14" s="55">
        <f>G14*H14</f>
        <v>0</v>
      </c>
      <c r="J14" s="55">
        <v>0</v>
      </c>
      <c r="K14" s="55">
        <v>0</v>
      </c>
      <c r="L14" s="55">
        <f>G14*K14</f>
        <v>0</v>
      </c>
      <c r="M14" s="57" t="s">
        <v>122</v>
      </c>
      <c r="Z14" s="55">
        <f>IF(AQ14="5",BJ14,0)</f>
        <v>0</v>
      </c>
      <c r="AB14" s="55">
        <f>IF(AQ14="1",BH14,0)</f>
        <v>0</v>
      </c>
      <c r="AC14" s="55">
        <f>IF(AQ14="1",BI14,0)</f>
        <v>0</v>
      </c>
      <c r="AD14" s="55">
        <f>IF(AQ14="7",BH14,0)</f>
        <v>0</v>
      </c>
      <c r="AE14" s="55">
        <f>IF(AQ14="7",BI14,0)</f>
        <v>0</v>
      </c>
      <c r="AF14" s="55">
        <f>IF(AQ14="2",BH14,0)</f>
        <v>0</v>
      </c>
      <c r="AG14" s="55">
        <f>IF(AQ14="2",BI14,0)</f>
        <v>0</v>
      </c>
      <c r="AH14" s="55">
        <f>IF(AQ14="0",BJ14,0)</f>
        <v>0</v>
      </c>
      <c r="AI14" s="33" t="s">
        <v>4</v>
      </c>
      <c r="AJ14" s="55">
        <f>IF(AN14=0,I14,0)</f>
        <v>0</v>
      </c>
      <c r="AK14" s="55">
        <f>IF(AN14=12,I14,0)</f>
        <v>0</v>
      </c>
      <c r="AL14" s="55">
        <f>IF(AN14=21,I14,0)</f>
        <v>0</v>
      </c>
      <c r="AN14" s="55">
        <v>21</v>
      </c>
      <c r="AO14" s="55">
        <f>H14*0</f>
        <v>0</v>
      </c>
      <c r="AP14" s="55">
        <f>H14*(1-0)</f>
        <v>0</v>
      </c>
      <c r="AQ14" s="58" t="s">
        <v>118</v>
      </c>
      <c r="AV14" s="55">
        <f>AW14+AX14</f>
        <v>0</v>
      </c>
      <c r="AW14" s="55">
        <f>G14*AO14</f>
        <v>0</v>
      </c>
      <c r="AX14" s="55">
        <f>G14*AP14</f>
        <v>0</v>
      </c>
      <c r="AY14" s="58" t="s">
        <v>123</v>
      </c>
      <c r="AZ14" s="58" t="s">
        <v>124</v>
      </c>
      <c r="BA14" s="33" t="s">
        <v>125</v>
      </c>
      <c r="BB14" s="59">
        <v>100039</v>
      </c>
      <c r="BC14" s="55">
        <f>AW14+AX14</f>
        <v>0</v>
      </c>
      <c r="BD14" s="55">
        <f>H14/(100-BE14)*100</f>
        <v>0</v>
      </c>
      <c r="BE14" s="55">
        <v>0</v>
      </c>
      <c r="BF14" s="55">
        <f>L14</f>
        <v>0</v>
      </c>
      <c r="BH14" s="55">
        <f>G14*AO14</f>
        <v>0</v>
      </c>
      <c r="BI14" s="55">
        <f>G14*AP14</f>
        <v>0</v>
      </c>
      <c r="BJ14" s="55">
        <f>G14*H14</f>
        <v>0</v>
      </c>
      <c r="BK14" s="55"/>
      <c r="BL14" s="55">
        <v>17</v>
      </c>
      <c r="BW14" s="55">
        <v>21</v>
      </c>
      <c r="BX14" s="3" t="s">
        <v>120</v>
      </c>
    </row>
    <row r="15" spans="1:76">
      <c r="A15" s="60"/>
      <c r="D15" s="61" t="s">
        <v>126</v>
      </c>
      <c r="E15" s="61" t="s">
        <v>4</v>
      </c>
      <c r="G15" s="62">
        <v>40.345599999999997</v>
      </c>
      <c r="M15" s="63"/>
    </row>
    <row r="16" spans="1:76" ht="51">
      <c r="A16" s="60"/>
      <c r="C16" s="64" t="s">
        <v>127</v>
      </c>
      <c r="D16" s="618" t="s">
        <v>128</v>
      </c>
      <c r="E16" s="619"/>
      <c r="F16" s="619"/>
      <c r="G16" s="619"/>
      <c r="H16" s="620"/>
      <c r="I16" s="619"/>
      <c r="J16" s="619"/>
      <c r="K16" s="619"/>
      <c r="L16" s="619"/>
      <c r="M16" s="621"/>
      <c r="BX16" s="65" t="s">
        <v>128</v>
      </c>
    </row>
    <row r="17" spans="1:76">
      <c r="A17" s="66" t="s">
        <v>129</v>
      </c>
      <c r="B17" s="67" t="s">
        <v>4</v>
      </c>
      <c r="C17" s="67" t="s">
        <v>130</v>
      </c>
      <c r="D17" s="622" t="s">
        <v>131</v>
      </c>
      <c r="E17" s="623"/>
      <c r="F17" s="67" t="s">
        <v>132</v>
      </c>
      <c r="G17" s="69">
        <v>48.414720000000003</v>
      </c>
      <c r="H17" s="70">
        <v>0</v>
      </c>
      <c r="I17" s="69">
        <f>G17*H17</f>
        <v>0</v>
      </c>
      <c r="J17" s="69">
        <v>0</v>
      </c>
      <c r="K17" s="69">
        <v>1</v>
      </c>
      <c r="L17" s="69">
        <f>G17*K17</f>
        <v>48.414720000000003</v>
      </c>
      <c r="M17" s="71" t="s">
        <v>122</v>
      </c>
      <c r="Z17" s="55">
        <f>IF(AQ17="5",BJ17,0)</f>
        <v>0</v>
      </c>
      <c r="AB17" s="55">
        <f>IF(AQ17="1",BH17,0)</f>
        <v>0</v>
      </c>
      <c r="AC17" s="55">
        <f>IF(AQ17="1",BI17,0)</f>
        <v>0</v>
      </c>
      <c r="AD17" s="55">
        <f>IF(AQ17="7",BH17,0)</f>
        <v>0</v>
      </c>
      <c r="AE17" s="55">
        <f>IF(AQ17="7",BI17,0)</f>
        <v>0</v>
      </c>
      <c r="AF17" s="55">
        <f>IF(AQ17="2",BH17,0)</f>
        <v>0</v>
      </c>
      <c r="AG17" s="55">
        <f>IF(AQ17="2",BI17,0)</f>
        <v>0</v>
      </c>
      <c r="AH17" s="55">
        <f>IF(AQ17="0",BJ17,0)</f>
        <v>0</v>
      </c>
      <c r="AI17" s="33" t="s">
        <v>4</v>
      </c>
      <c r="AJ17" s="69">
        <f>IF(AN17=0,I17,0)</f>
        <v>0</v>
      </c>
      <c r="AK17" s="69">
        <f>IF(AN17=12,I17,0)</f>
        <v>0</v>
      </c>
      <c r="AL17" s="69">
        <f>IF(AN17=21,I17,0)</f>
        <v>0</v>
      </c>
      <c r="AN17" s="55">
        <v>21</v>
      </c>
      <c r="AO17" s="55">
        <f>H17*1</f>
        <v>0</v>
      </c>
      <c r="AP17" s="55">
        <f>H17*(1-1)</f>
        <v>0</v>
      </c>
      <c r="AQ17" s="72" t="s">
        <v>118</v>
      </c>
      <c r="AV17" s="55">
        <f>AW17+AX17</f>
        <v>0</v>
      </c>
      <c r="AW17" s="55">
        <f>G17*AO17</f>
        <v>0</v>
      </c>
      <c r="AX17" s="55">
        <f>G17*AP17</f>
        <v>0</v>
      </c>
      <c r="AY17" s="58" t="s">
        <v>123</v>
      </c>
      <c r="AZ17" s="58" t="s">
        <v>124</v>
      </c>
      <c r="BA17" s="33" t="s">
        <v>125</v>
      </c>
      <c r="BC17" s="55">
        <f>AW17+AX17</f>
        <v>0</v>
      </c>
      <c r="BD17" s="55">
        <f>H17/(100-BE17)*100</f>
        <v>0</v>
      </c>
      <c r="BE17" s="55">
        <v>0</v>
      </c>
      <c r="BF17" s="55">
        <f>L17</f>
        <v>48.414720000000003</v>
      </c>
      <c r="BH17" s="69">
        <f>G17*AO17</f>
        <v>0</v>
      </c>
      <c r="BI17" s="69">
        <f>G17*AP17</f>
        <v>0</v>
      </c>
      <c r="BJ17" s="69">
        <f>G17*H17</f>
        <v>0</v>
      </c>
      <c r="BK17" s="69"/>
      <c r="BL17" s="55">
        <v>17</v>
      </c>
      <c r="BW17" s="55">
        <v>21</v>
      </c>
      <c r="BX17" s="68" t="s">
        <v>131</v>
      </c>
    </row>
    <row r="18" spans="1:76">
      <c r="A18" s="60"/>
      <c r="D18" s="61" t="s">
        <v>133</v>
      </c>
      <c r="E18" s="61" t="s">
        <v>4</v>
      </c>
      <c r="G18" s="62">
        <v>48.414720000000003</v>
      </c>
      <c r="M18" s="63"/>
    </row>
    <row r="19" spans="1:76">
      <c r="A19" s="60"/>
      <c r="C19" s="64" t="s">
        <v>127</v>
      </c>
      <c r="D19" s="618" t="s">
        <v>134</v>
      </c>
      <c r="E19" s="619"/>
      <c r="F19" s="619"/>
      <c r="G19" s="619"/>
      <c r="H19" s="620"/>
      <c r="I19" s="619"/>
      <c r="J19" s="619"/>
      <c r="K19" s="619"/>
      <c r="L19" s="619"/>
      <c r="M19" s="621"/>
      <c r="BX19" s="73" t="s">
        <v>134</v>
      </c>
    </row>
    <row r="20" spans="1:76">
      <c r="A20" s="1" t="s">
        <v>135</v>
      </c>
      <c r="B20" s="2" t="s">
        <v>4</v>
      </c>
      <c r="C20" s="2" t="s">
        <v>136</v>
      </c>
      <c r="D20" s="549" t="s">
        <v>137</v>
      </c>
      <c r="E20" s="546"/>
      <c r="F20" s="2" t="s">
        <v>138</v>
      </c>
      <c r="G20" s="55">
        <v>1</v>
      </c>
      <c r="H20" s="56">
        <v>0</v>
      </c>
      <c r="I20" s="55">
        <f>G20*H20</f>
        <v>0</v>
      </c>
      <c r="J20" s="55">
        <v>0</v>
      </c>
      <c r="K20" s="55">
        <v>0</v>
      </c>
      <c r="L20" s="55">
        <f>G20*K20</f>
        <v>0</v>
      </c>
      <c r="M20" s="57" t="s">
        <v>122</v>
      </c>
      <c r="Z20" s="55">
        <f>IF(AQ20="5",BJ20,0)</f>
        <v>0</v>
      </c>
      <c r="AB20" s="55">
        <f>IF(AQ20="1",BH20,0)</f>
        <v>0</v>
      </c>
      <c r="AC20" s="55">
        <f>IF(AQ20="1",BI20,0)</f>
        <v>0</v>
      </c>
      <c r="AD20" s="55">
        <f>IF(AQ20="7",BH20,0)</f>
        <v>0</v>
      </c>
      <c r="AE20" s="55">
        <f>IF(AQ20="7",BI20,0)</f>
        <v>0</v>
      </c>
      <c r="AF20" s="55">
        <f>IF(AQ20="2",BH20,0)</f>
        <v>0</v>
      </c>
      <c r="AG20" s="55">
        <f>IF(AQ20="2",BI20,0)</f>
        <v>0</v>
      </c>
      <c r="AH20" s="55">
        <f>IF(AQ20="0",BJ20,0)</f>
        <v>0</v>
      </c>
      <c r="AI20" s="33" t="s">
        <v>4</v>
      </c>
      <c r="AJ20" s="55">
        <f>IF(AN20=0,I20,0)</f>
        <v>0</v>
      </c>
      <c r="AK20" s="55">
        <f>IF(AN20=12,I20,0)</f>
        <v>0</v>
      </c>
      <c r="AL20" s="55">
        <f>IF(AN20=21,I20,0)</f>
        <v>0</v>
      </c>
      <c r="AN20" s="55">
        <v>21</v>
      </c>
      <c r="AO20" s="55">
        <f>H20*0</f>
        <v>0</v>
      </c>
      <c r="AP20" s="55">
        <f>H20*(1-0)</f>
        <v>0</v>
      </c>
      <c r="AQ20" s="58" t="s">
        <v>139</v>
      </c>
      <c r="AV20" s="55">
        <f>AW20+AX20</f>
        <v>0</v>
      </c>
      <c r="AW20" s="55">
        <f>G20*AO20</f>
        <v>0</v>
      </c>
      <c r="AX20" s="55">
        <f>G20*AP20</f>
        <v>0</v>
      </c>
      <c r="AY20" s="58" t="s">
        <v>123</v>
      </c>
      <c r="AZ20" s="58" t="s">
        <v>124</v>
      </c>
      <c r="BA20" s="33" t="s">
        <v>125</v>
      </c>
      <c r="BB20" s="59">
        <v>100039</v>
      </c>
      <c r="BC20" s="55">
        <f>AW20+AX20</f>
        <v>0</v>
      </c>
      <c r="BD20" s="55">
        <f>H20/(100-BE20)*100</f>
        <v>0</v>
      </c>
      <c r="BE20" s="55">
        <v>0</v>
      </c>
      <c r="BF20" s="55">
        <f>L20</f>
        <v>0</v>
      </c>
      <c r="BH20" s="55">
        <f>G20*AO20</f>
        <v>0</v>
      </c>
      <c r="BI20" s="55">
        <f>G20*AP20</f>
        <v>0</v>
      </c>
      <c r="BJ20" s="55">
        <f>G20*H20</f>
        <v>0</v>
      </c>
      <c r="BK20" s="55"/>
      <c r="BL20" s="55">
        <v>17</v>
      </c>
      <c r="BW20" s="55">
        <v>21</v>
      </c>
      <c r="BX20" s="3" t="s">
        <v>137</v>
      </c>
    </row>
    <row r="21" spans="1:76">
      <c r="A21" s="60"/>
      <c r="D21" s="61" t="s">
        <v>118</v>
      </c>
      <c r="E21" s="61" t="s">
        <v>4</v>
      </c>
      <c r="G21" s="62">
        <v>1</v>
      </c>
      <c r="M21" s="63"/>
    </row>
    <row r="22" spans="1:76">
      <c r="A22" s="50" t="s">
        <v>4</v>
      </c>
      <c r="B22" s="51" t="s">
        <v>4</v>
      </c>
      <c r="C22" s="51" t="s">
        <v>140</v>
      </c>
      <c r="D22" s="625" t="s">
        <v>141</v>
      </c>
      <c r="E22" s="626"/>
      <c r="F22" s="52" t="s">
        <v>79</v>
      </c>
      <c r="G22" s="52" t="s">
        <v>79</v>
      </c>
      <c r="H22" s="53" t="s">
        <v>79</v>
      </c>
      <c r="I22" s="26">
        <f>SUM(I23:I48)</f>
        <v>0</v>
      </c>
      <c r="J22" s="33" t="s">
        <v>4</v>
      </c>
      <c r="K22" s="33" t="s">
        <v>4</v>
      </c>
      <c r="L22" s="26">
        <f>SUM(L23:L48)</f>
        <v>2.243468784</v>
      </c>
      <c r="M22" s="54" t="s">
        <v>4</v>
      </c>
      <c r="AI22" s="33" t="s">
        <v>4</v>
      </c>
      <c r="AS22" s="26">
        <f>SUM(AJ23:AJ48)</f>
        <v>0</v>
      </c>
      <c r="AT22" s="26">
        <f>SUM(AK23:AK48)</f>
        <v>0</v>
      </c>
      <c r="AU22" s="26">
        <f>SUM(AL23:AL48)</f>
        <v>0</v>
      </c>
    </row>
    <row r="23" spans="1:76">
      <c r="A23" s="1" t="s">
        <v>142</v>
      </c>
      <c r="B23" s="2" t="s">
        <v>4</v>
      </c>
      <c r="C23" s="2" t="s">
        <v>143</v>
      </c>
      <c r="D23" s="549" t="s">
        <v>144</v>
      </c>
      <c r="E23" s="546"/>
      <c r="F23" s="2" t="s">
        <v>145</v>
      </c>
      <c r="G23" s="55">
        <v>1</v>
      </c>
      <c r="H23" s="56">
        <v>0</v>
      </c>
      <c r="I23" s="55">
        <f>G23*H23</f>
        <v>0</v>
      </c>
      <c r="J23" s="55">
        <v>6.4000000000000001E-2</v>
      </c>
      <c r="K23" s="55">
        <v>0.14860000000000001</v>
      </c>
      <c r="L23" s="55">
        <f>G23*K23</f>
        <v>0.14860000000000001</v>
      </c>
      <c r="M23" s="57" t="s">
        <v>122</v>
      </c>
      <c r="Z23" s="55">
        <f>IF(AQ23="5",BJ23,0)</f>
        <v>0</v>
      </c>
      <c r="AB23" s="55">
        <f>IF(AQ23="1",BH23,0)</f>
        <v>0</v>
      </c>
      <c r="AC23" s="55">
        <f>IF(AQ23="1",BI23,0)</f>
        <v>0</v>
      </c>
      <c r="AD23" s="55">
        <f>IF(AQ23="7",BH23,0)</f>
        <v>0</v>
      </c>
      <c r="AE23" s="55">
        <f>IF(AQ23="7",BI23,0)</f>
        <v>0</v>
      </c>
      <c r="AF23" s="55">
        <f>IF(AQ23="2",BH23,0)</f>
        <v>0</v>
      </c>
      <c r="AG23" s="55">
        <f>IF(AQ23="2",BI23,0)</f>
        <v>0</v>
      </c>
      <c r="AH23" s="55">
        <f>IF(AQ23="0",BJ23,0)</f>
        <v>0</v>
      </c>
      <c r="AI23" s="33" t="s">
        <v>4</v>
      </c>
      <c r="AJ23" s="55">
        <f>IF(AN23=0,I23,0)</f>
        <v>0</v>
      </c>
      <c r="AK23" s="55">
        <f>IF(AN23=12,I23,0)</f>
        <v>0</v>
      </c>
      <c r="AL23" s="55">
        <f>IF(AN23=21,I23,0)</f>
        <v>0</v>
      </c>
      <c r="AN23" s="55">
        <v>21</v>
      </c>
      <c r="AO23" s="55">
        <f>H23*0.318110256</f>
        <v>0</v>
      </c>
      <c r="AP23" s="55">
        <f>H23*(1-0.318110256)</f>
        <v>0</v>
      </c>
      <c r="AQ23" s="58" t="s">
        <v>118</v>
      </c>
      <c r="AV23" s="55">
        <f>AW23+AX23</f>
        <v>0</v>
      </c>
      <c r="AW23" s="55">
        <f>G23*AO23</f>
        <v>0</v>
      </c>
      <c r="AX23" s="55">
        <f>G23*AP23</f>
        <v>0</v>
      </c>
      <c r="AY23" s="58" t="s">
        <v>146</v>
      </c>
      <c r="AZ23" s="58" t="s">
        <v>147</v>
      </c>
      <c r="BA23" s="33" t="s">
        <v>125</v>
      </c>
      <c r="BB23" s="59">
        <v>100035</v>
      </c>
      <c r="BC23" s="55">
        <f>AW23+AX23</f>
        <v>0</v>
      </c>
      <c r="BD23" s="55">
        <f>H23/(100-BE23)*100</f>
        <v>0</v>
      </c>
      <c r="BE23" s="55">
        <v>0</v>
      </c>
      <c r="BF23" s="55">
        <f>L23</f>
        <v>0.14860000000000001</v>
      </c>
      <c r="BH23" s="55">
        <f>G23*AO23</f>
        <v>0</v>
      </c>
      <c r="BI23" s="55">
        <f>G23*AP23</f>
        <v>0</v>
      </c>
      <c r="BJ23" s="55">
        <f>G23*H23</f>
        <v>0</v>
      </c>
      <c r="BK23" s="55"/>
      <c r="BL23" s="55">
        <v>31</v>
      </c>
      <c r="BW23" s="55">
        <v>21</v>
      </c>
      <c r="BX23" s="3" t="s">
        <v>144</v>
      </c>
    </row>
    <row r="24" spans="1:76" ht="13.5" customHeight="1">
      <c r="A24" s="60"/>
      <c r="D24" s="634" t="s">
        <v>148</v>
      </c>
      <c r="E24" s="635"/>
      <c r="F24" s="635"/>
      <c r="G24" s="635"/>
      <c r="H24" s="636"/>
      <c r="I24" s="635"/>
      <c r="J24" s="635"/>
      <c r="K24" s="635"/>
      <c r="L24" s="635"/>
      <c r="M24" s="637"/>
    </row>
    <row r="25" spans="1:76">
      <c r="A25" s="60"/>
      <c r="D25" s="61" t="s">
        <v>118</v>
      </c>
      <c r="E25" s="61" t="s">
        <v>149</v>
      </c>
      <c r="G25" s="62">
        <v>1</v>
      </c>
      <c r="M25" s="63"/>
    </row>
    <row r="26" spans="1:76" ht="38.25">
      <c r="A26" s="60"/>
      <c r="C26" s="64" t="s">
        <v>127</v>
      </c>
      <c r="D26" s="618" t="s">
        <v>150</v>
      </c>
      <c r="E26" s="619"/>
      <c r="F26" s="619"/>
      <c r="G26" s="619"/>
      <c r="H26" s="620"/>
      <c r="I26" s="619"/>
      <c r="J26" s="619"/>
      <c r="K26" s="619"/>
      <c r="L26" s="619"/>
      <c r="M26" s="621"/>
      <c r="BX26" s="65" t="s">
        <v>150</v>
      </c>
    </row>
    <row r="27" spans="1:76">
      <c r="A27" s="66" t="s">
        <v>139</v>
      </c>
      <c r="B27" s="67" t="s">
        <v>4</v>
      </c>
      <c r="C27" s="67" t="s">
        <v>151</v>
      </c>
      <c r="D27" s="622" t="s">
        <v>152</v>
      </c>
      <c r="E27" s="623"/>
      <c r="F27" s="67" t="s">
        <v>145</v>
      </c>
      <c r="G27" s="69">
        <v>1</v>
      </c>
      <c r="H27" s="70">
        <v>0</v>
      </c>
      <c r="I27" s="69">
        <f>G27*H27</f>
        <v>0</v>
      </c>
      <c r="J27" s="69">
        <v>0</v>
      </c>
      <c r="K27" s="69">
        <v>2.5999999999999999E-2</v>
      </c>
      <c r="L27" s="69">
        <f>G27*K27</f>
        <v>2.5999999999999999E-2</v>
      </c>
      <c r="M27" s="71" t="s">
        <v>122</v>
      </c>
      <c r="Z27" s="55">
        <f>IF(AQ27="5",BJ27,0)</f>
        <v>0</v>
      </c>
      <c r="AB27" s="55">
        <f>IF(AQ27="1",BH27,0)</f>
        <v>0</v>
      </c>
      <c r="AC27" s="55">
        <f>IF(AQ27="1",BI27,0)</f>
        <v>0</v>
      </c>
      <c r="AD27" s="55">
        <f>IF(AQ27="7",BH27,0)</f>
        <v>0</v>
      </c>
      <c r="AE27" s="55">
        <f>IF(AQ27="7",BI27,0)</f>
        <v>0</v>
      </c>
      <c r="AF27" s="55">
        <f>IF(AQ27="2",BH27,0)</f>
        <v>0</v>
      </c>
      <c r="AG27" s="55">
        <f>IF(AQ27="2",BI27,0)</f>
        <v>0</v>
      </c>
      <c r="AH27" s="55">
        <f>IF(AQ27="0",BJ27,0)</f>
        <v>0</v>
      </c>
      <c r="AI27" s="33" t="s">
        <v>4</v>
      </c>
      <c r="AJ27" s="69">
        <f>IF(AN27=0,I27,0)</f>
        <v>0</v>
      </c>
      <c r="AK27" s="69">
        <f>IF(AN27=12,I27,0)</f>
        <v>0</v>
      </c>
      <c r="AL27" s="69">
        <f>IF(AN27=21,I27,0)</f>
        <v>0</v>
      </c>
      <c r="AN27" s="55">
        <v>21</v>
      </c>
      <c r="AO27" s="55">
        <f>H27*1</f>
        <v>0</v>
      </c>
      <c r="AP27" s="55">
        <f>H27*(1-1)</f>
        <v>0</v>
      </c>
      <c r="AQ27" s="72" t="s">
        <v>118</v>
      </c>
      <c r="AV27" s="55">
        <f>AW27+AX27</f>
        <v>0</v>
      </c>
      <c r="AW27" s="55">
        <f>G27*AO27</f>
        <v>0</v>
      </c>
      <c r="AX27" s="55">
        <f>G27*AP27</f>
        <v>0</v>
      </c>
      <c r="AY27" s="58" t="s">
        <v>146</v>
      </c>
      <c r="AZ27" s="58" t="s">
        <v>147</v>
      </c>
      <c r="BA27" s="33" t="s">
        <v>125</v>
      </c>
      <c r="BC27" s="55">
        <f>AW27+AX27</f>
        <v>0</v>
      </c>
      <c r="BD27" s="55">
        <f>H27/(100-BE27)*100</f>
        <v>0</v>
      </c>
      <c r="BE27" s="55">
        <v>0</v>
      </c>
      <c r="BF27" s="55">
        <f>L27</f>
        <v>2.5999999999999999E-2</v>
      </c>
      <c r="BH27" s="69">
        <f>G27*AO27</f>
        <v>0</v>
      </c>
      <c r="BI27" s="69">
        <f>G27*AP27</f>
        <v>0</v>
      </c>
      <c r="BJ27" s="69">
        <f>G27*H27</f>
        <v>0</v>
      </c>
      <c r="BK27" s="69"/>
      <c r="BL27" s="55">
        <v>31</v>
      </c>
      <c r="BW27" s="55">
        <v>21</v>
      </c>
      <c r="BX27" s="68" t="s">
        <v>152</v>
      </c>
    </row>
    <row r="28" spans="1:76">
      <c r="A28" s="60"/>
      <c r="D28" s="61" t="s">
        <v>118</v>
      </c>
      <c r="E28" s="61" t="s">
        <v>4</v>
      </c>
      <c r="G28" s="62">
        <v>1</v>
      </c>
      <c r="M28" s="63"/>
    </row>
    <row r="29" spans="1:76" ht="51">
      <c r="A29" s="60"/>
      <c r="C29" s="64" t="s">
        <v>127</v>
      </c>
      <c r="D29" s="618" t="s">
        <v>153</v>
      </c>
      <c r="E29" s="619"/>
      <c r="F29" s="619"/>
      <c r="G29" s="619"/>
      <c r="H29" s="620"/>
      <c r="I29" s="619"/>
      <c r="J29" s="619"/>
      <c r="K29" s="619"/>
      <c r="L29" s="619"/>
      <c r="M29" s="621"/>
      <c r="BX29" s="73" t="s">
        <v>153</v>
      </c>
    </row>
    <row r="30" spans="1:76">
      <c r="A30" s="1" t="s">
        <v>154</v>
      </c>
      <c r="B30" s="2" t="s">
        <v>4</v>
      </c>
      <c r="C30" s="2" t="s">
        <v>155</v>
      </c>
      <c r="D30" s="549" t="s">
        <v>156</v>
      </c>
      <c r="E30" s="546"/>
      <c r="F30" s="2" t="s">
        <v>157</v>
      </c>
      <c r="G30" s="55">
        <v>12.2776</v>
      </c>
      <c r="H30" s="56">
        <v>0</v>
      </c>
      <c r="I30" s="55">
        <f>G30*H30</f>
        <v>0</v>
      </c>
      <c r="J30" s="55">
        <v>0</v>
      </c>
      <c r="K30" s="55">
        <v>0.14704</v>
      </c>
      <c r="L30" s="55">
        <f>G30*K30</f>
        <v>1.8052983039999999</v>
      </c>
      <c r="M30" s="57" t="s">
        <v>122</v>
      </c>
      <c r="Z30" s="55">
        <f>IF(AQ30="5",BJ30,0)</f>
        <v>0</v>
      </c>
      <c r="AB30" s="55">
        <f>IF(AQ30="1",BH30,0)</f>
        <v>0</v>
      </c>
      <c r="AC30" s="55">
        <f>IF(AQ30="1",BI30,0)</f>
        <v>0</v>
      </c>
      <c r="AD30" s="55">
        <f>IF(AQ30="7",BH30,0)</f>
        <v>0</v>
      </c>
      <c r="AE30" s="55">
        <f>IF(AQ30="7",BI30,0)</f>
        <v>0</v>
      </c>
      <c r="AF30" s="55">
        <f>IF(AQ30="2",BH30,0)</f>
        <v>0</v>
      </c>
      <c r="AG30" s="55">
        <f>IF(AQ30="2",BI30,0)</f>
        <v>0</v>
      </c>
      <c r="AH30" s="55">
        <f>IF(AQ30="0",BJ30,0)</f>
        <v>0</v>
      </c>
      <c r="AI30" s="33" t="s">
        <v>4</v>
      </c>
      <c r="AJ30" s="55">
        <f>IF(AN30=0,I30,0)</f>
        <v>0</v>
      </c>
      <c r="AK30" s="55">
        <f>IF(AN30=12,I30,0)</f>
        <v>0</v>
      </c>
      <c r="AL30" s="55">
        <f>IF(AN30=21,I30,0)</f>
        <v>0</v>
      </c>
      <c r="AN30" s="55">
        <v>21</v>
      </c>
      <c r="AO30" s="55">
        <f>H30*0.771315702</f>
        <v>0</v>
      </c>
      <c r="AP30" s="55">
        <f>H30*(1-0.771315702)</f>
        <v>0</v>
      </c>
      <c r="AQ30" s="58" t="s">
        <v>118</v>
      </c>
      <c r="AV30" s="55">
        <f>AW30+AX30</f>
        <v>0</v>
      </c>
      <c r="AW30" s="55">
        <f>G30*AO30</f>
        <v>0</v>
      </c>
      <c r="AX30" s="55">
        <f>G30*AP30</f>
        <v>0</v>
      </c>
      <c r="AY30" s="58" t="s">
        <v>146</v>
      </c>
      <c r="AZ30" s="58" t="s">
        <v>147</v>
      </c>
      <c r="BA30" s="33" t="s">
        <v>125</v>
      </c>
      <c r="BB30" s="59">
        <v>100035</v>
      </c>
      <c r="BC30" s="55">
        <f>AW30+AX30</f>
        <v>0</v>
      </c>
      <c r="BD30" s="55">
        <f>H30/(100-BE30)*100</f>
        <v>0</v>
      </c>
      <c r="BE30" s="55">
        <v>0</v>
      </c>
      <c r="BF30" s="55">
        <f>L30</f>
        <v>1.8052983039999999</v>
      </c>
      <c r="BH30" s="55">
        <f>G30*AO30</f>
        <v>0</v>
      </c>
      <c r="BI30" s="55">
        <f>G30*AP30</f>
        <v>0</v>
      </c>
      <c r="BJ30" s="55">
        <f>G30*H30</f>
        <v>0</v>
      </c>
      <c r="BK30" s="55"/>
      <c r="BL30" s="55">
        <v>31</v>
      </c>
      <c r="BW30" s="55">
        <v>21</v>
      </c>
      <c r="BX30" s="3" t="s">
        <v>156</v>
      </c>
    </row>
    <row r="31" spans="1:76" ht="13.5" customHeight="1">
      <c r="A31" s="60"/>
      <c r="D31" s="634" t="s">
        <v>158</v>
      </c>
      <c r="E31" s="635"/>
      <c r="F31" s="635"/>
      <c r="G31" s="635"/>
      <c r="H31" s="636"/>
      <c r="I31" s="635"/>
      <c r="J31" s="635"/>
      <c r="K31" s="635"/>
      <c r="L31" s="635"/>
      <c r="M31" s="637"/>
    </row>
    <row r="32" spans="1:76">
      <c r="A32" s="60"/>
      <c r="D32" s="61" t="s">
        <v>159</v>
      </c>
      <c r="E32" s="61" t="s">
        <v>160</v>
      </c>
      <c r="G32" s="62">
        <v>12.2776</v>
      </c>
      <c r="M32" s="63"/>
    </row>
    <row r="33" spans="1:76" ht="25.5">
      <c r="A33" s="60"/>
      <c r="C33" s="64" t="s">
        <v>127</v>
      </c>
      <c r="D33" s="618" t="s">
        <v>161</v>
      </c>
      <c r="E33" s="619"/>
      <c r="F33" s="619"/>
      <c r="G33" s="619"/>
      <c r="H33" s="620"/>
      <c r="I33" s="619"/>
      <c r="J33" s="619"/>
      <c r="K33" s="619"/>
      <c r="L33" s="619"/>
      <c r="M33" s="621"/>
      <c r="BX33" s="65" t="s">
        <v>161</v>
      </c>
    </row>
    <row r="34" spans="1:76">
      <c r="A34" s="1" t="s">
        <v>162</v>
      </c>
      <c r="B34" s="2" t="s">
        <v>4</v>
      </c>
      <c r="C34" s="2" t="s">
        <v>163</v>
      </c>
      <c r="D34" s="549" t="s">
        <v>164</v>
      </c>
      <c r="E34" s="546"/>
      <c r="F34" s="2" t="s">
        <v>145</v>
      </c>
      <c r="G34" s="55">
        <v>16</v>
      </c>
      <c r="H34" s="56">
        <v>0</v>
      </c>
      <c r="I34" s="55">
        <f>G34*H34</f>
        <v>0</v>
      </c>
      <c r="J34" s="55">
        <v>0</v>
      </c>
      <c r="K34" s="55">
        <v>7.1300000000000001E-3</v>
      </c>
      <c r="L34" s="55">
        <f>G34*K34</f>
        <v>0.11408</v>
      </c>
      <c r="M34" s="57" t="s">
        <v>122</v>
      </c>
      <c r="Z34" s="55">
        <f>IF(AQ34="5",BJ34,0)</f>
        <v>0</v>
      </c>
      <c r="AB34" s="55">
        <f>IF(AQ34="1",BH34,0)</f>
        <v>0</v>
      </c>
      <c r="AC34" s="55">
        <f>IF(AQ34="1",BI34,0)</f>
        <v>0</v>
      </c>
      <c r="AD34" s="55">
        <f>IF(AQ34="7",BH34,0)</f>
        <v>0</v>
      </c>
      <c r="AE34" s="55">
        <f>IF(AQ34="7",BI34,0)</f>
        <v>0</v>
      </c>
      <c r="AF34" s="55">
        <f>IF(AQ34="2",BH34,0)</f>
        <v>0</v>
      </c>
      <c r="AG34" s="55">
        <f>IF(AQ34="2",BI34,0)</f>
        <v>0</v>
      </c>
      <c r="AH34" s="55">
        <f>IF(AQ34="0",BJ34,0)</f>
        <v>0</v>
      </c>
      <c r="AI34" s="33" t="s">
        <v>4</v>
      </c>
      <c r="AJ34" s="55">
        <f>IF(AN34=0,I34,0)</f>
        <v>0</v>
      </c>
      <c r="AK34" s="55">
        <f>IF(AN34=12,I34,0)</f>
        <v>0</v>
      </c>
      <c r="AL34" s="55">
        <f>IF(AN34=21,I34,0)</f>
        <v>0</v>
      </c>
      <c r="AN34" s="55">
        <v>21</v>
      </c>
      <c r="AO34" s="55">
        <f>H34*0.054716157</f>
        <v>0</v>
      </c>
      <c r="AP34" s="55">
        <f>H34*(1-0.054716157)</f>
        <v>0</v>
      </c>
      <c r="AQ34" s="58" t="s">
        <v>118</v>
      </c>
      <c r="AV34" s="55">
        <f>AW34+AX34</f>
        <v>0</v>
      </c>
      <c r="AW34" s="55">
        <f>G34*AO34</f>
        <v>0</v>
      </c>
      <c r="AX34" s="55">
        <f>G34*AP34</f>
        <v>0</v>
      </c>
      <c r="AY34" s="58" t="s">
        <v>146</v>
      </c>
      <c r="AZ34" s="58" t="s">
        <v>147</v>
      </c>
      <c r="BA34" s="33" t="s">
        <v>125</v>
      </c>
      <c r="BB34" s="59">
        <v>100035</v>
      </c>
      <c r="BC34" s="55">
        <f>AW34+AX34</f>
        <v>0</v>
      </c>
      <c r="BD34" s="55">
        <f>H34/(100-BE34)*100</f>
        <v>0</v>
      </c>
      <c r="BE34" s="55">
        <v>0</v>
      </c>
      <c r="BF34" s="55">
        <f>L34</f>
        <v>0.11408</v>
      </c>
      <c r="BH34" s="55">
        <f>G34*AO34</f>
        <v>0</v>
      </c>
      <c r="BI34" s="55">
        <f>G34*AP34</f>
        <v>0</v>
      </c>
      <c r="BJ34" s="55">
        <f>G34*H34</f>
        <v>0</v>
      </c>
      <c r="BK34" s="55"/>
      <c r="BL34" s="55">
        <v>31</v>
      </c>
      <c r="BW34" s="55">
        <v>21</v>
      </c>
      <c r="BX34" s="3" t="s">
        <v>164</v>
      </c>
    </row>
    <row r="35" spans="1:76" ht="13.5" customHeight="1">
      <c r="A35" s="60"/>
      <c r="D35" s="634" t="s">
        <v>165</v>
      </c>
      <c r="E35" s="635"/>
      <c r="F35" s="635"/>
      <c r="G35" s="635"/>
      <c r="H35" s="636"/>
      <c r="I35" s="635"/>
      <c r="J35" s="635"/>
      <c r="K35" s="635"/>
      <c r="L35" s="635"/>
      <c r="M35" s="637"/>
    </row>
    <row r="36" spans="1:76">
      <c r="A36" s="60"/>
      <c r="D36" s="61" t="s">
        <v>166</v>
      </c>
      <c r="E36" s="61" t="s">
        <v>167</v>
      </c>
      <c r="G36" s="62">
        <v>14</v>
      </c>
      <c r="M36" s="63"/>
    </row>
    <row r="37" spans="1:76">
      <c r="A37" s="60"/>
      <c r="D37" s="61" t="s">
        <v>129</v>
      </c>
      <c r="E37" s="61" t="s">
        <v>168</v>
      </c>
      <c r="G37" s="62">
        <v>2</v>
      </c>
      <c r="M37" s="63"/>
    </row>
    <row r="38" spans="1:76">
      <c r="A38" s="66" t="s">
        <v>169</v>
      </c>
      <c r="B38" s="67" t="s">
        <v>4</v>
      </c>
      <c r="C38" s="67" t="s">
        <v>170</v>
      </c>
      <c r="D38" s="622" t="s">
        <v>171</v>
      </c>
      <c r="E38" s="623"/>
      <c r="F38" s="67" t="s">
        <v>132</v>
      </c>
      <c r="G38" s="69">
        <v>5.5660000000000001E-2</v>
      </c>
      <c r="H38" s="70">
        <v>0</v>
      </c>
      <c r="I38" s="69">
        <f>G38*H38</f>
        <v>0</v>
      </c>
      <c r="J38" s="69">
        <v>0</v>
      </c>
      <c r="K38" s="69">
        <v>1</v>
      </c>
      <c r="L38" s="69">
        <f>G38*K38</f>
        <v>5.5660000000000001E-2</v>
      </c>
      <c r="M38" s="71" t="s">
        <v>122</v>
      </c>
      <c r="Z38" s="55">
        <f>IF(AQ38="5",BJ38,0)</f>
        <v>0</v>
      </c>
      <c r="AB38" s="55">
        <f>IF(AQ38="1",BH38,0)</f>
        <v>0</v>
      </c>
      <c r="AC38" s="55">
        <f>IF(AQ38="1",BI38,0)</f>
        <v>0</v>
      </c>
      <c r="AD38" s="55">
        <f>IF(AQ38="7",BH38,0)</f>
        <v>0</v>
      </c>
      <c r="AE38" s="55">
        <f>IF(AQ38="7",BI38,0)</f>
        <v>0</v>
      </c>
      <c r="AF38" s="55">
        <f>IF(AQ38="2",BH38,0)</f>
        <v>0</v>
      </c>
      <c r="AG38" s="55">
        <f>IF(AQ38="2",BI38,0)</f>
        <v>0</v>
      </c>
      <c r="AH38" s="55">
        <f>IF(AQ38="0",BJ38,0)</f>
        <v>0</v>
      </c>
      <c r="AI38" s="33" t="s">
        <v>4</v>
      </c>
      <c r="AJ38" s="69">
        <f>IF(AN38=0,I38,0)</f>
        <v>0</v>
      </c>
      <c r="AK38" s="69">
        <f>IF(AN38=12,I38,0)</f>
        <v>0</v>
      </c>
      <c r="AL38" s="69">
        <f>IF(AN38=21,I38,0)</f>
        <v>0</v>
      </c>
      <c r="AN38" s="55">
        <v>21</v>
      </c>
      <c r="AO38" s="55">
        <f>H38*1</f>
        <v>0</v>
      </c>
      <c r="AP38" s="55">
        <f>H38*(1-1)</f>
        <v>0</v>
      </c>
      <c r="AQ38" s="72" t="s">
        <v>118</v>
      </c>
      <c r="AV38" s="55">
        <f>AW38+AX38</f>
        <v>0</v>
      </c>
      <c r="AW38" s="55">
        <f>G38*AO38</f>
        <v>0</v>
      </c>
      <c r="AX38" s="55">
        <f>G38*AP38</f>
        <v>0</v>
      </c>
      <c r="AY38" s="58" t="s">
        <v>146</v>
      </c>
      <c r="AZ38" s="58" t="s">
        <v>147</v>
      </c>
      <c r="BA38" s="33" t="s">
        <v>125</v>
      </c>
      <c r="BC38" s="55">
        <f>AW38+AX38</f>
        <v>0</v>
      </c>
      <c r="BD38" s="55">
        <f>H38/(100-BE38)*100</f>
        <v>0</v>
      </c>
      <c r="BE38" s="55">
        <v>0</v>
      </c>
      <c r="BF38" s="55">
        <f>L38</f>
        <v>5.5660000000000001E-2</v>
      </c>
      <c r="BH38" s="69">
        <f>G38*AO38</f>
        <v>0</v>
      </c>
      <c r="BI38" s="69">
        <f>G38*AP38</f>
        <v>0</v>
      </c>
      <c r="BJ38" s="69">
        <f>G38*H38</f>
        <v>0</v>
      </c>
      <c r="BK38" s="69"/>
      <c r="BL38" s="55">
        <v>31</v>
      </c>
      <c r="BW38" s="55">
        <v>21</v>
      </c>
      <c r="BX38" s="68" t="s">
        <v>171</v>
      </c>
    </row>
    <row r="39" spans="1:76">
      <c r="A39" s="60"/>
      <c r="D39" s="61" t="s">
        <v>172</v>
      </c>
      <c r="E39" s="61" t="s">
        <v>4</v>
      </c>
      <c r="G39" s="62">
        <v>4.743E-2</v>
      </c>
      <c r="M39" s="63"/>
    </row>
    <row r="40" spans="1:76">
      <c r="A40" s="60"/>
      <c r="D40" s="61" t="s">
        <v>173</v>
      </c>
      <c r="E40" s="61" t="s">
        <v>4</v>
      </c>
      <c r="G40" s="62">
        <v>8.2299999999999995E-3</v>
      </c>
      <c r="M40" s="63"/>
    </row>
    <row r="41" spans="1:76" ht="25.5">
      <c r="A41" s="60"/>
      <c r="C41" s="64" t="s">
        <v>127</v>
      </c>
      <c r="D41" s="618" t="s">
        <v>174</v>
      </c>
      <c r="E41" s="619"/>
      <c r="F41" s="619"/>
      <c r="G41" s="619"/>
      <c r="H41" s="620"/>
      <c r="I41" s="619"/>
      <c r="J41" s="619"/>
      <c r="K41" s="619"/>
      <c r="L41" s="619"/>
      <c r="M41" s="621"/>
      <c r="BX41" s="73" t="s">
        <v>174</v>
      </c>
    </row>
    <row r="42" spans="1:76">
      <c r="A42" s="1" t="s">
        <v>175</v>
      </c>
      <c r="B42" s="2" t="s">
        <v>4</v>
      </c>
      <c r="C42" s="2" t="s">
        <v>176</v>
      </c>
      <c r="D42" s="549" t="s">
        <v>177</v>
      </c>
      <c r="E42" s="546"/>
      <c r="F42" s="2" t="s">
        <v>157</v>
      </c>
      <c r="G42" s="55">
        <v>7.6440000000000001</v>
      </c>
      <c r="H42" s="56">
        <v>0</v>
      </c>
      <c r="I42" s="55">
        <f>G42*H42</f>
        <v>0</v>
      </c>
      <c r="J42" s="55">
        <v>0</v>
      </c>
      <c r="K42" s="55">
        <v>5.4200000000000003E-3</v>
      </c>
      <c r="L42" s="55">
        <f>G42*K42</f>
        <v>4.1430480000000006E-2</v>
      </c>
      <c r="M42" s="57" t="s">
        <v>122</v>
      </c>
      <c r="Z42" s="55">
        <f>IF(AQ42="5",BJ42,0)</f>
        <v>0</v>
      </c>
      <c r="AB42" s="55">
        <f>IF(AQ42="1",BH42,0)</f>
        <v>0</v>
      </c>
      <c r="AC42" s="55">
        <f>IF(AQ42="1",BI42,0)</f>
        <v>0</v>
      </c>
      <c r="AD42" s="55">
        <f>IF(AQ42="7",BH42,0)</f>
        <v>0</v>
      </c>
      <c r="AE42" s="55">
        <f>IF(AQ42="7",BI42,0)</f>
        <v>0</v>
      </c>
      <c r="AF42" s="55">
        <f>IF(AQ42="2",BH42,0)</f>
        <v>0</v>
      </c>
      <c r="AG42" s="55">
        <f>IF(AQ42="2",BI42,0)</f>
        <v>0</v>
      </c>
      <c r="AH42" s="55">
        <f>IF(AQ42="0",BJ42,0)</f>
        <v>0</v>
      </c>
      <c r="AI42" s="33" t="s">
        <v>4</v>
      </c>
      <c r="AJ42" s="55">
        <f>IF(AN42=0,I42,0)</f>
        <v>0</v>
      </c>
      <c r="AK42" s="55">
        <f>IF(AN42=12,I42,0)</f>
        <v>0</v>
      </c>
      <c r="AL42" s="55">
        <f>IF(AN42=21,I42,0)</f>
        <v>0</v>
      </c>
      <c r="AN42" s="55">
        <v>21</v>
      </c>
      <c r="AO42" s="55">
        <f>H42*0.174733945</f>
        <v>0</v>
      </c>
      <c r="AP42" s="55">
        <f>H42*(1-0.174733945)</f>
        <v>0</v>
      </c>
      <c r="AQ42" s="58" t="s">
        <v>118</v>
      </c>
      <c r="AV42" s="55">
        <f>AW42+AX42</f>
        <v>0</v>
      </c>
      <c r="AW42" s="55">
        <f>G42*AO42</f>
        <v>0</v>
      </c>
      <c r="AX42" s="55">
        <f>G42*AP42</f>
        <v>0</v>
      </c>
      <c r="AY42" s="58" t="s">
        <v>146</v>
      </c>
      <c r="AZ42" s="58" t="s">
        <v>147</v>
      </c>
      <c r="BA42" s="33" t="s">
        <v>125</v>
      </c>
      <c r="BB42" s="59">
        <v>100035</v>
      </c>
      <c r="BC42" s="55">
        <f>AW42+AX42</f>
        <v>0</v>
      </c>
      <c r="BD42" s="55">
        <f>H42/(100-BE42)*100</f>
        <v>0</v>
      </c>
      <c r="BE42" s="55">
        <v>0</v>
      </c>
      <c r="BF42" s="55">
        <f>L42</f>
        <v>4.1430480000000006E-2</v>
      </c>
      <c r="BH42" s="55">
        <f>G42*AO42</f>
        <v>0</v>
      </c>
      <c r="BI42" s="55">
        <f>G42*AP42</f>
        <v>0</v>
      </c>
      <c r="BJ42" s="55">
        <f>G42*H42</f>
        <v>0</v>
      </c>
      <c r="BK42" s="55"/>
      <c r="BL42" s="55">
        <v>31</v>
      </c>
      <c r="BW42" s="55">
        <v>21</v>
      </c>
      <c r="BX42" s="3" t="s">
        <v>177</v>
      </c>
    </row>
    <row r="43" spans="1:76" ht="13.5" customHeight="1">
      <c r="A43" s="60"/>
      <c r="D43" s="634" t="s">
        <v>178</v>
      </c>
      <c r="E43" s="635"/>
      <c r="F43" s="635"/>
      <c r="G43" s="635"/>
      <c r="H43" s="636"/>
      <c r="I43" s="635"/>
      <c r="J43" s="635"/>
      <c r="K43" s="635"/>
      <c r="L43" s="635"/>
      <c r="M43" s="637"/>
    </row>
    <row r="44" spans="1:76">
      <c r="A44" s="60"/>
      <c r="D44" s="61" t="s">
        <v>179</v>
      </c>
      <c r="E44" s="61" t="s">
        <v>167</v>
      </c>
      <c r="G44" s="62">
        <v>7.6440000000000001</v>
      </c>
      <c r="M44" s="63"/>
    </row>
    <row r="45" spans="1:76" ht="25.5">
      <c r="A45" s="60"/>
      <c r="C45" s="64" t="s">
        <v>127</v>
      </c>
      <c r="D45" s="618" t="s">
        <v>180</v>
      </c>
      <c r="E45" s="619"/>
      <c r="F45" s="619"/>
      <c r="G45" s="619"/>
      <c r="H45" s="620"/>
      <c r="I45" s="619"/>
      <c r="J45" s="619"/>
      <c r="K45" s="619"/>
      <c r="L45" s="619"/>
      <c r="M45" s="621"/>
      <c r="BX45" s="65" t="s">
        <v>180</v>
      </c>
    </row>
    <row r="46" spans="1:76">
      <c r="A46" s="1" t="s">
        <v>181</v>
      </c>
      <c r="B46" s="2" t="s">
        <v>4</v>
      </c>
      <c r="C46" s="2" t="s">
        <v>182</v>
      </c>
      <c r="D46" s="549" t="s">
        <v>183</v>
      </c>
      <c r="E46" s="546"/>
      <c r="F46" s="2" t="s">
        <v>145</v>
      </c>
      <c r="G46" s="55">
        <v>1</v>
      </c>
      <c r="H46" s="56">
        <v>0</v>
      </c>
      <c r="I46" s="55">
        <f>G46*H46</f>
        <v>0</v>
      </c>
      <c r="J46" s="55">
        <v>0</v>
      </c>
      <c r="K46" s="55">
        <v>2.0400000000000001E-2</v>
      </c>
      <c r="L46" s="55">
        <f>G46*K46</f>
        <v>2.0400000000000001E-2</v>
      </c>
      <c r="M46" s="57" t="s">
        <v>122</v>
      </c>
      <c r="Z46" s="55">
        <f>IF(AQ46="5",BJ46,0)</f>
        <v>0</v>
      </c>
      <c r="AB46" s="55">
        <f>IF(AQ46="1",BH46,0)</f>
        <v>0</v>
      </c>
      <c r="AC46" s="55">
        <f>IF(AQ46="1",BI46,0)</f>
        <v>0</v>
      </c>
      <c r="AD46" s="55">
        <f>IF(AQ46="7",BH46,0)</f>
        <v>0</v>
      </c>
      <c r="AE46" s="55">
        <f>IF(AQ46="7",BI46,0)</f>
        <v>0</v>
      </c>
      <c r="AF46" s="55">
        <f>IF(AQ46="2",BH46,0)</f>
        <v>0</v>
      </c>
      <c r="AG46" s="55">
        <f>IF(AQ46="2",BI46,0)</f>
        <v>0</v>
      </c>
      <c r="AH46" s="55">
        <f>IF(AQ46="0",BJ46,0)</f>
        <v>0</v>
      </c>
      <c r="AI46" s="33" t="s">
        <v>4</v>
      </c>
      <c r="AJ46" s="55">
        <f>IF(AN46=0,I46,0)</f>
        <v>0</v>
      </c>
      <c r="AK46" s="55">
        <f>IF(AN46=12,I46,0)</f>
        <v>0</v>
      </c>
      <c r="AL46" s="55">
        <f>IF(AN46=21,I46,0)</f>
        <v>0</v>
      </c>
      <c r="AN46" s="55">
        <v>21</v>
      </c>
      <c r="AO46" s="55">
        <f>H46*0</f>
        <v>0</v>
      </c>
      <c r="AP46" s="55">
        <f>H46*(1-0)</f>
        <v>0</v>
      </c>
      <c r="AQ46" s="58" t="s">
        <v>118</v>
      </c>
      <c r="AV46" s="55">
        <f>AW46+AX46</f>
        <v>0</v>
      </c>
      <c r="AW46" s="55">
        <f>G46*AO46</f>
        <v>0</v>
      </c>
      <c r="AX46" s="55">
        <f>G46*AP46</f>
        <v>0</v>
      </c>
      <c r="AY46" s="58" t="s">
        <v>146</v>
      </c>
      <c r="AZ46" s="58" t="s">
        <v>147</v>
      </c>
      <c r="BA46" s="33" t="s">
        <v>125</v>
      </c>
      <c r="BB46" s="59">
        <v>100035</v>
      </c>
      <c r="BC46" s="55">
        <f>AW46+AX46</f>
        <v>0</v>
      </c>
      <c r="BD46" s="55">
        <f>H46/(100-BE46)*100</f>
        <v>0</v>
      </c>
      <c r="BE46" s="55">
        <v>0</v>
      </c>
      <c r="BF46" s="55">
        <f>L46</f>
        <v>2.0400000000000001E-2</v>
      </c>
      <c r="BH46" s="55">
        <f>G46*AO46</f>
        <v>0</v>
      </c>
      <c r="BI46" s="55">
        <f>G46*AP46</f>
        <v>0</v>
      </c>
      <c r="BJ46" s="55">
        <f>G46*H46</f>
        <v>0</v>
      </c>
      <c r="BK46" s="55"/>
      <c r="BL46" s="55">
        <v>31</v>
      </c>
      <c r="BW46" s="55">
        <v>21</v>
      </c>
      <c r="BX46" s="3" t="s">
        <v>183</v>
      </c>
    </row>
    <row r="47" spans="1:76">
      <c r="A47" s="60"/>
      <c r="D47" s="61" t="s">
        <v>118</v>
      </c>
      <c r="E47" s="61" t="s">
        <v>4</v>
      </c>
      <c r="G47" s="62">
        <v>1</v>
      </c>
      <c r="M47" s="63"/>
    </row>
    <row r="48" spans="1:76">
      <c r="A48" s="66" t="s">
        <v>184</v>
      </c>
      <c r="B48" s="67" t="s">
        <v>4</v>
      </c>
      <c r="C48" s="67" t="s">
        <v>185</v>
      </c>
      <c r="D48" s="622" t="s">
        <v>186</v>
      </c>
      <c r="E48" s="623"/>
      <c r="F48" s="67" t="s">
        <v>145</v>
      </c>
      <c r="G48" s="69">
        <v>1</v>
      </c>
      <c r="H48" s="70">
        <v>0</v>
      </c>
      <c r="I48" s="69">
        <f>G48*H48</f>
        <v>0</v>
      </c>
      <c r="J48" s="69">
        <v>0</v>
      </c>
      <c r="K48" s="69">
        <v>3.2000000000000001E-2</v>
      </c>
      <c r="L48" s="69">
        <f>G48*K48</f>
        <v>3.2000000000000001E-2</v>
      </c>
      <c r="M48" s="71" t="s">
        <v>122</v>
      </c>
      <c r="Z48" s="55">
        <f>IF(AQ48="5",BJ48,0)</f>
        <v>0</v>
      </c>
      <c r="AB48" s="55">
        <f>IF(AQ48="1",BH48,0)</f>
        <v>0</v>
      </c>
      <c r="AC48" s="55">
        <f>IF(AQ48="1",BI48,0)</f>
        <v>0</v>
      </c>
      <c r="AD48" s="55">
        <f>IF(AQ48="7",BH48,0)</f>
        <v>0</v>
      </c>
      <c r="AE48" s="55">
        <f>IF(AQ48="7",BI48,0)</f>
        <v>0</v>
      </c>
      <c r="AF48" s="55">
        <f>IF(AQ48="2",BH48,0)</f>
        <v>0</v>
      </c>
      <c r="AG48" s="55">
        <f>IF(AQ48="2",BI48,0)</f>
        <v>0</v>
      </c>
      <c r="AH48" s="55">
        <f>IF(AQ48="0",BJ48,0)</f>
        <v>0</v>
      </c>
      <c r="AI48" s="33" t="s">
        <v>4</v>
      </c>
      <c r="AJ48" s="69">
        <f>IF(AN48=0,I48,0)</f>
        <v>0</v>
      </c>
      <c r="AK48" s="69">
        <f>IF(AN48=12,I48,0)</f>
        <v>0</v>
      </c>
      <c r="AL48" s="69">
        <f>IF(AN48=21,I48,0)</f>
        <v>0</v>
      </c>
      <c r="AN48" s="55">
        <v>21</v>
      </c>
      <c r="AO48" s="55">
        <f>H48*1</f>
        <v>0</v>
      </c>
      <c r="AP48" s="55">
        <f>H48*(1-1)</f>
        <v>0</v>
      </c>
      <c r="AQ48" s="72" t="s">
        <v>118</v>
      </c>
      <c r="AV48" s="55">
        <f>AW48+AX48</f>
        <v>0</v>
      </c>
      <c r="AW48" s="55">
        <f>G48*AO48</f>
        <v>0</v>
      </c>
      <c r="AX48" s="55">
        <f>G48*AP48</f>
        <v>0</v>
      </c>
      <c r="AY48" s="58" t="s">
        <v>146</v>
      </c>
      <c r="AZ48" s="58" t="s">
        <v>147</v>
      </c>
      <c r="BA48" s="33" t="s">
        <v>125</v>
      </c>
      <c r="BC48" s="55">
        <f>AW48+AX48</f>
        <v>0</v>
      </c>
      <c r="BD48" s="55">
        <f>H48/(100-BE48)*100</f>
        <v>0</v>
      </c>
      <c r="BE48" s="55">
        <v>0</v>
      </c>
      <c r="BF48" s="55">
        <f>L48</f>
        <v>3.2000000000000001E-2</v>
      </c>
      <c r="BH48" s="69">
        <f>G48*AO48</f>
        <v>0</v>
      </c>
      <c r="BI48" s="69">
        <f>G48*AP48</f>
        <v>0</v>
      </c>
      <c r="BJ48" s="69">
        <f>G48*H48</f>
        <v>0</v>
      </c>
      <c r="BK48" s="69"/>
      <c r="BL48" s="55">
        <v>31</v>
      </c>
      <c r="BW48" s="55">
        <v>21</v>
      </c>
      <c r="BX48" s="68" t="s">
        <v>186</v>
      </c>
    </row>
    <row r="49" spans="1:76">
      <c r="A49" s="60"/>
      <c r="D49" s="61" t="s">
        <v>118</v>
      </c>
      <c r="E49" s="61" t="s">
        <v>4</v>
      </c>
      <c r="G49" s="62">
        <v>1</v>
      </c>
      <c r="M49" s="63"/>
    </row>
    <row r="50" spans="1:76">
      <c r="A50" s="50" t="s">
        <v>4</v>
      </c>
      <c r="B50" s="51" t="s">
        <v>4</v>
      </c>
      <c r="C50" s="51" t="s">
        <v>187</v>
      </c>
      <c r="D50" s="625" t="s">
        <v>188</v>
      </c>
      <c r="E50" s="626"/>
      <c r="F50" s="52" t="s">
        <v>79</v>
      </c>
      <c r="G50" s="52" t="s">
        <v>79</v>
      </c>
      <c r="H50" s="53" t="s">
        <v>79</v>
      </c>
      <c r="I50" s="26">
        <f>SUM(I51:I93)</f>
        <v>0</v>
      </c>
      <c r="J50" s="33" t="s">
        <v>4</v>
      </c>
      <c r="K50" s="33" t="s">
        <v>4</v>
      </c>
      <c r="L50" s="26">
        <f>SUM(L51:L93)</f>
        <v>27.50647635</v>
      </c>
      <c r="M50" s="54" t="s">
        <v>4</v>
      </c>
      <c r="AI50" s="33" t="s">
        <v>4</v>
      </c>
      <c r="AS50" s="26">
        <f>SUM(AJ51:AJ93)</f>
        <v>0</v>
      </c>
      <c r="AT50" s="26">
        <f>SUM(AK51:AK93)</f>
        <v>0</v>
      </c>
      <c r="AU50" s="26">
        <f>SUM(AL51:AL93)</f>
        <v>0</v>
      </c>
    </row>
    <row r="51" spans="1:76">
      <c r="A51" s="1" t="s">
        <v>189</v>
      </c>
      <c r="B51" s="2" t="s">
        <v>4</v>
      </c>
      <c r="C51" s="2" t="s">
        <v>190</v>
      </c>
      <c r="D51" s="549" t="s">
        <v>191</v>
      </c>
      <c r="E51" s="546"/>
      <c r="F51" s="2" t="s">
        <v>157</v>
      </c>
      <c r="G51" s="55">
        <v>72.049000000000007</v>
      </c>
      <c r="H51" s="56">
        <v>0</v>
      </c>
      <c r="I51" s="55">
        <f>G51*H51</f>
        <v>0</v>
      </c>
      <c r="J51" s="55">
        <v>0</v>
      </c>
      <c r="K51" s="55">
        <v>9.4810000000000005E-2</v>
      </c>
      <c r="L51" s="55">
        <f>G51*K51</f>
        <v>6.8309656900000011</v>
      </c>
      <c r="M51" s="57" t="s">
        <v>122</v>
      </c>
      <c r="Z51" s="55">
        <f>IF(AQ51="5",BJ51,0)</f>
        <v>0</v>
      </c>
      <c r="AB51" s="55">
        <f>IF(AQ51="1",BH51,0)</f>
        <v>0</v>
      </c>
      <c r="AC51" s="55">
        <f>IF(AQ51="1",BI51,0)</f>
        <v>0</v>
      </c>
      <c r="AD51" s="55">
        <f>IF(AQ51="7",BH51,0)</f>
        <v>0</v>
      </c>
      <c r="AE51" s="55">
        <f>IF(AQ51="7",BI51,0)</f>
        <v>0</v>
      </c>
      <c r="AF51" s="55">
        <f>IF(AQ51="2",BH51,0)</f>
        <v>0</v>
      </c>
      <c r="AG51" s="55">
        <f>IF(AQ51="2",BI51,0)</f>
        <v>0</v>
      </c>
      <c r="AH51" s="55">
        <f>IF(AQ51="0",BJ51,0)</f>
        <v>0</v>
      </c>
      <c r="AI51" s="33" t="s">
        <v>4</v>
      </c>
      <c r="AJ51" s="55">
        <f>IF(AN51=0,I51,0)</f>
        <v>0</v>
      </c>
      <c r="AK51" s="55">
        <f>IF(AN51=12,I51,0)</f>
        <v>0</v>
      </c>
      <c r="AL51" s="55">
        <f>IF(AN51=21,I51,0)</f>
        <v>0</v>
      </c>
      <c r="AN51" s="55">
        <v>21</v>
      </c>
      <c r="AO51" s="55">
        <f>H51*0.701544531</f>
        <v>0</v>
      </c>
      <c r="AP51" s="55">
        <f>H51*(1-0.701544531)</f>
        <v>0</v>
      </c>
      <c r="AQ51" s="58" t="s">
        <v>118</v>
      </c>
      <c r="AV51" s="55">
        <f>AW51+AX51</f>
        <v>0</v>
      </c>
      <c r="AW51" s="55">
        <f>G51*AO51</f>
        <v>0</v>
      </c>
      <c r="AX51" s="55">
        <f>G51*AP51</f>
        <v>0</v>
      </c>
      <c r="AY51" s="58" t="s">
        <v>192</v>
      </c>
      <c r="AZ51" s="58" t="s">
        <v>147</v>
      </c>
      <c r="BA51" s="33" t="s">
        <v>125</v>
      </c>
      <c r="BB51" s="59">
        <v>100036</v>
      </c>
      <c r="BC51" s="55">
        <f>AW51+AX51</f>
        <v>0</v>
      </c>
      <c r="BD51" s="55">
        <f>H51/(100-BE51)*100</f>
        <v>0</v>
      </c>
      <c r="BE51" s="55">
        <v>0</v>
      </c>
      <c r="BF51" s="55">
        <f>L51</f>
        <v>6.8309656900000011</v>
      </c>
      <c r="BH51" s="55">
        <f>G51*AO51</f>
        <v>0</v>
      </c>
      <c r="BI51" s="55">
        <f>G51*AP51</f>
        <v>0</v>
      </c>
      <c r="BJ51" s="55">
        <f>G51*H51</f>
        <v>0</v>
      </c>
      <c r="BK51" s="55"/>
      <c r="BL51" s="55">
        <v>34</v>
      </c>
      <c r="BW51" s="55">
        <v>21</v>
      </c>
      <c r="BX51" s="3" t="s">
        <v>191</v>
      </c>
    </row>
    <row r="52" spans="1:76">
      <c r="A52" s="60"/>
      <c r="D52" s="61" t="s">
        <v>193</v>
      </c>
      <c r="E52" s="61" t="s">
        <v>194</v>
      </c>
      <c r="G52" s="62">
        <v>19.472000000000001</v>
      </c>
      <c r="M52" s="63"/>
    </row>
    <row r="53" spans="1:76">
      <c r="A53" s="60"/>
      <c r="D53" s="61" t="s">
        <v>195</v>
      </c>
      <c r="E53" s="61" t="s">
        <v>196</v>
      </c>
      <c r="G53" s="62">
        <v>24.041</v>
      </c>
      <c r="M53" s="63"/>
    </row>
    <row r="54" spans="1:76">
      <c r="A54" s="60"/>
      <c r="D54" s="61" t="s">
        <v>197</v>
      </c>
      <c r="E54" s="61" t="s">
        <v>198</v>
      </c>
      <c r="G54" s="62">
        <v>20.677</v>
      </c>
      <c r="M54" s="63"/>
    </row>
    <row r="55" spans="1:76">
      <c r="A55" s="60"/>
      <c r="D55" s="61" t="s">
        <v>199</v>
      </c>
      <c r="E55" s="61" t="s">
        <v>200</v>
      </c>
      <c r="G55" s="62">
        <v>7.859</v>
      </c>
      <c r="M55" s="63"/>
    </row>
    <row r="56" spans="1:76">
      <c r="A56" s="1" t="s">
        <v>201</v>
      </c>
      <c r="B56" s="2" t="s">
        <v>4</v>
      </c>
      <c r="C56" s="2" t="s">
        <v>202</v>
      </c>
      <c r="D56" s="549" t="s">
        <v>203</v>
      </c>
      <c r="E56" s="546"/>
      <c r="F56" s="2" t="s">
        <v>157</v>
      </c>
      <c r="G56" s="55">
        <v>65.834000000000003</v>
      </c>
      <c r="H56" s="56">
        <v>0</v>
      </c>
      <c r="I56" s="55">
        <f>G56*H56</f>
        <v>0</v>
      </c>
      <c r="J56" s="55">
        <v>0</v>
      </c>
      <c r="K56" s="55">
        <v>9.4810000000000005E-2</v>
      </c>
      <c r="L56" s="55">
        <f>G56*K56</f>
        <v>6.2417215400000003</v>
      </c>
      <c r="M56" s="57" t="s">
        <v>122</v>
      </c>
      <c r="Z56" s="55">
        <f>IF(AQ56="5",BJ56,0)</f>
        <v>0</v>
      </c>
      <c r="AB56" s="55">
        <f>IF(AQ56="1",BH56,0)</f>
        <v>0</v>
      </c>
      <c r="AC56" s="55">
        <f>IF(AQ56="1",BI56,0)</f>
        <v>0</v>
      </c>
      <c r="AD56" s="55">
        <f>IF(AQ56="7",BH56,0)</f>
        <v>0</v>
      </c>
      <c r="AE56" s="55">
        <f>IF(AQ56="7",BI56,0)</f>
        <v>0</v>
      </c>
      <c r="AF56" s="55">
        <f>IF(AQ56="2",BH56,0)</f>
        <v>0</v>
      </c>
      <c r="AG56" s="55">
        <f>IF(AQ56="2",BI56,0)</f>
        <v>0</v>
      </c>
      <c r="AH56" s="55">
        <f>IF(AQ56="0",BJ56,0)</f>
        <v>0</v>
      </c>
      <c r="AI56" s="33" t="s">
        <v>4</v>
      </c>
      <c r="AJ56" s="55">
        <f>IF(AN56=0,I56,0)</f>
        <v>0</v>
      </c>
      <c r="AK56" s="55">
        <f>IF(AN56=12,I56,0)</f>
        <v>0</v>
      </c>
      <c r="AL56" s="55">
        <f>IF(AN56=21,I56,0)</f>
        <v>0</v>
      </c>
      <c r="AN56" s="55">
        <v>21</v>
      </c>
      <c r="AO56" s="55">
        <f>H56*0.701549411</f>
        <v>0</v>
      </c>
      <c r="AP56" s="55">
        <f>H56*(1-0.701549411)</f>
        <v>0</v>
      </c>
      <c r="AQ56" s="58" t="s">
        <v>118</v>
      </c>
      <c r="AV56" s="55">
        <f>AW56+AX56</f>
        <v>0</v>
      </c>
      <c r="AW56" s="55">
        <f>G56*AO56</f>
        <v>0</v>
      </c>
      <c r="AX56" s="55">
        <f>G56*AP56</f>
        <v>0</v>
      </c>
      <c r="AY56" s="58" t="s">
        <v>192</v>
      </c>
      <c r="AZ56" s="58" t="s">
        <v>147</v>
      </c>
      <c r="BA56" s="33" t="s">
        <v>125</v>
      </c>
      <c r="BB56" s="59">
        <v>100036</v>
      </c>
      <c r="BC56" s="55">
        <f>AW56+AX56</f>
        <v>0</v>
      </c>
      <c r="BD56" s="55">
        <f>H56/(100-BE56)*100</f>
        <v>0</v>
      </c>
      <c r="BE56" s="55">
        <v>0</v>
      </c>
      <c r="BF56" s="55">
        <f>L56</f>
        <v>6.2417215400000003</v>
      </c>
      <c r="BH56" s="55">
        <f>G56*AO56</f>
        <v>0</v>
      </c>
      <c r="BI56" s="55">
        <f>G56*AP56</f>
        <v>0</v>
      </c>
      <c r="BJ56" s="55">
        <f>G56*H56</f>
        <v>0</v>
      </c>
      <c r="BK56" s="55"/>
      <c r="BL56" s="55">
        <v>34</v>
      </c>
      <c r="BW56" s="55">
        <v>21</v>
      </c>
      <c r="BX56" s="3" t="s">
        <v>203</v>
      </c>
    </row>
    <row r="57" spans="1:76">
      <c r="A57" s="60"/>
      <c r="D57" s="61" t="s">
        <v>204</v>
      </c>
      <c r="E57" s="61" t="s">
        <v>205</v>
      </c>
      <c r="G57" s="62">
        <v>30.655000000000001</v>
      </c>
      <c r="M57" s="63"/>
    </row>
    <row r="58" spans="1:76">
      <c r="A58" s="60"/>
      <c r="D58" s="61" t="s">
        <v>206</v>
      </c>
      <c r="E58" s="61" t="s">
        <v>207</v>
      </c>
      <c r="G58" s="62">
        <v>2.4649999999999999</v>
      </c>
      <c r="M58" s="63"/>
    </row>
    <row r="59" spans="1:76">
      <c r="A59" s="60"/>
      <c r="D59" s="61" t="s">
        <v>208</v>
      </c>
      <c r="E59" s="61" t="s">
        <v>209</v>
      </c>
      <c r="G59" s="62">
        <v>12.617000000000001</v>
      </c>
      <c r="M59" s="63"/>
    </row>
    <row r="60" spans="1:76">
      <c r="A60" s="60"/>
      <c r="D60" s="61" t="s">
        <v>210</v>
      </c>
      <c r="E60" s="61" t="s">
        <v>211</v>
      </c>
      <c r="G60" s="62">
        <v>20.097000000000001</v>
      </c>
      <c r="M60" s="63"/>
    </row>
    <row r="61" spans="1:76">
      <c r="A61" s="1" t="s">
        <v>166</v>
      </c>
      <c r="B61" s="2" t="s">
        <v>4</v>
      </c>
      <c r="C61" s="2" t="s">
        <v>212</v>
      </c>
      <c r="D61" s="549" t="s">
        <v>213</v>
      </c>
      <c r="E61" s="546"/>
      <c r="F61" s="2" t="s">
        <v>157</v>
      </c>
      <c r="G61" s="55">
        <v>2.581</v>
      </c>
      <c r="H61" s="56">
        <v>0</v>
      </c>
      <c r="I61" s="55">
        <f>G61*H61</f>
        <v>0</v>
      </c>
      <c r="J61" s="55">
        <v>0</v>
      </c>
      <c r="K61" s="55">
        <v>5.7099999999999998E-2</v>
      </c>
      <c r="L61" s="55">
        <f>G61*K61</f>
        <v>0.14737509999999998</v>
      </c>
      <c r="M61" s="57" t="s">
        <v>122</v>
      </c>
      <c r="Z61" s="55">
        <f>IF(AQ61="5",BJ61,0)</f>
        <v>0</v>
      </c>
      <c r="AB61" s="55">
        <f>IF(AQ61="1",BH61,0)</f>
        <v>0</v>
      </c>
      <c r="AC61" s="55">
        <f>IF(AQ61="1",BI61,0)</f>
        <v>0</v>
      </c>
      <c r="AD61" s="55">
        <f>IF(AQ61="7",BH61,0)</f>
        <v>0</v>
      </c>
      <c r="AE61" s="55">
        <f>IF(AQ61="7",BI61,0)</f>
        <v>0</v>
      </c>
      <c r="AF61" s="55">
        <f>IF(AQ61="2",BH61,0)</f>
        <v>0</v>
      </c>
      <c r="AG61" s="55">
        <f>IF(AQ61="2",BI61,0)</f>
        <v>0</v>
      </c>
      <c r="AH61" s="55">
        <f>IF(AQ61="0",BJ61,0)</f>
        <v>0</v>
      </c>
      <c r="AI61" s="33" t="s">
        <v>4</v>
      </c>
      <c r="AJ61" s="55">
        <f>IF(AN61=0,I61,0)</f>
        <v>0</v>
      </c>
      <c r="AK61" s="55">
        <f>IF(AN61=12,I61,0)</f>
        <v>0</v>
      </c>
      <c r="AL61" s="55">
        <f>IF(AN61=21,I61,0)</f>
        <v>0</v>
      </c>
      <c r="AN61" s="55">
        <v>21</v>
      </c>
      <c r="AO61" s="55">
        <f>H61*0.615031907</f>
        <v>0</v>
      </c>
      <c r="AP61" s="55">
        <f>H61*(1-0.615031907)</f>
        <v>0</v>
      </c>
      <c r="AQ61" s="58" t="s">
        <v>118</v>
      </c>
      <c r="AV61" s="55">
        <f>AW61+AX61</f>
        <v>0</v>
      </c>
      <c r="AW61" s="55">
        <f>G61*AO61</f>
        <v>0</v>
      </c>
      <c r="AX61" s="55">
        <f>G61*AP61</f>
        <v>0</v>
      </c>
      <c r="AY61" s="58" t="s">
        <v>192</v>
      </c>
      <c r="AZ61" s="58" t="s">
        <v>147</v>
      </c>
      <c r="BA61" s="33" t="s">
        <v>125</v>
      </c>
      <c r="BB61" s="59">
        <v>100036</v>
      </c>
      <c r="BC61" s="55">
        <f>AW61+AX61</f>
        <v>0</v>
      </c>
      <c r="BD61" s="55">
        <f>H61/(100-BE61)*100</f>
        <v>0</v>
      </c>
      <c r="BE61" s="55">
        <v>0</v>
      </c>
      <c r="BF61" s="55">
        <f>L61</f>
        <v>0.14737509999999998</v>
      </c>
      <c r="BH61" s="55">
        <f>G61*AO61</f>
        <v>0</v>
      </c>
      <c r="BI61" s="55">
        <f>G61*AP61</f>
        <v>0</v>
      </c>
      <c r="BJ61" s="55">
        <f>G61*H61</f>
        <v>0</v>
      </c>
      <c r="BK61" s="55"/>
      <c r="BL61" s="55">
        <v>34</v>
      </c>
      <c r="BW61" s="55">
        <v>21</v>
      </c>
      <c r="BX61" s="3" t="s">
        <v>213</v>
      </c>
    </row>
    <row r="62" spans="1:76">
      <c r="A62" s="60"/>
      <c r="D62" s="61" t="s">
        <v>214</v>
      </c>
      <c r="E62" s="61" t="s">
        <v>215</v>
      </c>
      <c r="G62" s="62">
        <v>2.581</v>
      </c>
      <c r="M62" s="63"/>
    </row>
    <row r="63" spans="1:76">
      <c r="A63" s="1" t="s">
        <v>216</v>
      </c>
      <c r="B63" s="2" t="s">
        <v>4</v>
      </c>
      <c r="C63" s="2" t="s">
        <v>217</v>
      </c>
      <c r="D63" s="549" t="s">
        <v>218</v>
      </c>
      <c r="E63" s="546"/>
      <c r="F63" s="2" t="s">
        <v>219</v>
      </c>
      <c r="G63" s="55">
        <v>65.39</v>
      </c>
      <c r="H63" s="56">
        <v>0</v>
      </c>
      <c r="I63" s="55">
        <f>G63*H63</f>
        <v>0</v>
      </c>
      <c r="J63" s="55">
        <v>0</v>
      </c>
      <c r="K63" s="55">
        <v>1.0200000000000001E-3</v>
      </c>
      <c r="L63" s="55">
        <f>G63*K63</f>
        <v>6.6697800000000002E-2</v>
      </c>
      <c r="M63" s="57" t="s">
        <v>122</v>
      </c>
      <c r="Z63" s="55">
        <f>IF(AQ63="5",BJ63,0)</f>
        <v>0</v>
      </c>
      <c r="AB63" s="55">
        <f>IF(AQ63="1",BH63,0)</f>
        <v>0</v>
      </c>
      <c r="AC63" s="55">
        <f>IF(AQ63="1",BI63,0)</f>
        <v>0</v>
      </c>
      <c r="AD63" s="55">
        <f>IF(AQ63="7",BH63,0)</f>
        <v>0</v>
      </c>
      <c r="AE63" s="55">
        <f>IF(AQ63="7",BI63,0)</f>
        <v>0</v>
      </c>
      <c r="AF63" s="55">
        <f>IF(AQ63="2",BH63,0)</f>
        <v>0</v>
      </c>
      <c r="AG63" s="55">
        <f>IF(AQ63="2",BI63,0)</f>
        <v>0</v>
      </c>
      <c r="AH63" s="55">
        <f>IF(AQ63="0",BJ63,0)</f>
        <v>0</v>
      </c>
      <c r="AI63" s="33" t="s">
        <v>4</v>
      </c>
      <c r="AJ63" s="55">
        <f>IF(AN63=0,I63,0)</f>
        <v>0</v>
      </c>
      <c r="AK63" s="55">
        <f>IF(AN63=12,I63,0)</f>
        <v>0</v>
      </c>
      <c r="AL63" s="55">
        <f>IF(AN63=21,I63,0)</f>
        <v>0</v>
      </c>
      <c r="AN63" s="55">
        <v>21</v>
      </c>
      <c r="AO63" s="55">
        <f>H63*0.327388916</f>
        <v>0</v>
      </c>
      <c r="AP63" s="55">
        <f>H63*(1-0.327388916)</f>
        <v>0</v>
      </c>
      <c r="AQ63" s="58" t="s">
        <v>118</v>
      </c>
      <c r="AV63" s="55">
        <f>AW63+AX63</f>
        <v>0</v>
      </c>
      <c r="AW63" s="55">
        <f>G63*AO63</f>
        <v>0</v>
      </c>
      <c r="AX63" s="55">
        <f>G63*AP63</f>
        <v>0</v>
      </c>
      <c r="AY63" s="58" t="s">
        <v>192</v>
      </c>
      <c r="AZ63" s="58" t="s">
        <v>147</v>
      </c>
      <c r="BA63" s="33" t="s">
        <v>125</v>
      </c>
      <c r="BB63" s="59">
        <v>100036</v>
      </c>
      <c r="BC63" s="55">
        <f>AW63+AX63</f>
        <v>0</v>
      </c>
      <c r="BD63" s="55">
        <f>H63/(100-BE63)*100</f>
        <v>0</v>
      </c>
      <c r="BE63" s="55">
        <v>0</v>
      </c>
      <c r="BF63" s="55">
        <f>L63</f>
        <v>6.6697800000000002E-2</v>
      </c>
      <c r="BH63" s="55">
        <f>G63*AO63</f>
        <v>0</v>
      </c>
      <c r="BI63" s="55">
        <f>G63*AP63</f>
        <v>0</v>
      </c>
      <c r="BJ63" s="55">
        <f>G63*H63</f>
        <v>0</v>
      </c>
      <c r="BK63" s="55"/>
      <c r="BL63" s="55">
        <v>34</v>
      </c>
      <c r="BW63" s="55">
        <v>21</v>
      </c>
      <c r="BX63" s="3" t="s">
        <v>218</v>
      </c>
    </row>
    <row r="64" spans="1:76">
      <c r="A64" s="60"/>
      <c r="D64" s="61" t="s">
        <v>220</v>
      </c>
      <c r="E64" s="61" t="s">
        <v>221</v>
      </c>
      <c r="G64" s="62">
        <v>8.02</v>
      </c>
      <c r="M64" s="63"/>
    </row>
    <row r="65" spans="1:76">
      <c r="A65" s="60"/>
      <c r="D65" s="61" t="s">
        <v>222</v>
      </c>
      <c r="E65" s="61" t="s">
        <v>223</v>
      </c>
      <c r="G65" s="62">
        <v>5.3</v>
      </c>
      <c r="M65" s="63"/>
    </row>
    <row r="66" spans="1:76">
      <c r="A66" s="60"/>
      <c r="D66" s="61" t="s">
        <v>224</v>
      </c>
      <c r="E66" s="61" t="s">
        <v>196</v>
      </c>
      <c r="G66" s="62">
        <v>8.2899999999999991</v>
      </c>
      <c r="M66" s="63"/>
    </row>
    <row r="67" spans="1:76">
      <c r="A67" s="60"/>
      <c r="D67" s="61" t="s">
        <v>225</v>
      </c>
      <c r="E67" s="61" t="s">
        <v>198</v>
      </c>
      <c r="G67" s="62">
        <v>7.13</v>
      </c>
      <c r="M67" s="63"/>
    </row>
    <row r="68" spans="1:76">
      <c r="A68" s="60"/>
      <c r="D68" s="61" t="s">
        <v>226</v>
      </c>
      <c r="E68" s="61" t="s">
        <v>227</v>
      </c>
      <c r="G68" s="62">
        <v>4.9800000000000004</v>
      </c>
      <c r="M68" s="63"/>
    </row>
    <row r="69" spans="1:76">
      <c r="A69" s="60"/>
      <c r="D69" s="61" t="s">
        <v>228</v>
      </c>
      <c r="E69" s="61" t="s">
        <v>205</v>
      </c>
      <c r="G69" s="62">
        <v>11.25</v>
      </c>
      <c r="M69" s="63"/>
    </row>
    <row r="70" spans="1:76">
      <c r="A70" s="60"/>
      <c r="D70" s="61" t="s">
        <v>229</v>
      </c>
      <c r="E70" s="61" t="s">
        <v>207</v>
      </c>
      <c r="G70" s="62">
        <v>0.85</v>
      </c>
      <c r="M70" s="63"/>
    </row>
    <row r="71" spans="1:76">
      <c r="A71" s="60"/>
      <c r="D71" s="61" t="s">
        <v>230</v>
      </c>
      <c r="E71" s="61" t="s">
        <v>209</v>
      </c>
      <c r="G71" s="62">
        <v>5.03</v>
      </c>
      <c r="M71" s="63"/>
    </row>
    <row r="72" spans="1:76">
      <c r="A72" s="60"/>
      <c r="D72" s="61" t="s">
        <v>231</v>
      </c>
      <c r="E72" s="61" t="s">
        <v>200</v>
      </c>
      <c r="G72" s="62">
        <v>2.71</v>
      </c>
      <c r="M72" s="63"/>
    </row>
    <row r="73" spans="1:76">
      <c r="A73" s="60"/>
      <c r="D73" s="61" t="s">
        <v>232</v>
      </c>
      <c r="E73" s="61" t="s">
        <v>233</v>
      </c>
      <c r="G73" s="62">
        <v>4.9000000000000004</v>
      </c>
      <c r="M73" s="63"/>
    </row>
    <row r="74" spans="1:76">
      <c r="A74" s="60"/>
      <c r="D74" s="61" t="s">
        <v>234</v>
      </c>
      <c r="E74" s="61" t="s">
        <v>211</v>
      </c>
      <c r="G74" s="62">
        <v>6.93</v>
      </c>
      <c r="M74" s="63"/>
    </row>
    <row r="75" spans="1:76">
      <c r="A75" s="60"/>
      <c r="C75" s="64" t="s">
        <v>127</v>
      </c>
      <c r="D75" s="618" t="s">
        <v>235</v>
      </c>
      <c r="E75" s="619"/>
      <c r="F75" s="619"/>
      <c r="G75" s="619"/>
      <c r="H75" s="620"/>
      <c r="I75" s="619"/>
      <c r="J75" s="619"/>
      <c r="K75" s="619"/>
      <c r="L75" s="619"/>
      <c r="M75" s="621"/>
      <c r="BX75" s="65" t="s">
        <v>235</v>
      </c>
    </row>
    <row r="76" spans="1:76">
      <c r="A76" s="1" t="s">
        <v>236</v>
      </c>
      <c r="B76" s="2" t="s">
        <v>4</v>
      </c>
      <c r="C76" s="2" t="s">
        <v>237</v>
      </c>
      <c r="D76" s="549" t="s">
        <v>238</v>
      </c>
      <c r="E76" s="546"/>
      <c r="F76" s="2" t="s">
        <v>157</v>
      </c>
      <c r="G76" s="55">
        <v>81.819000000000003</v>
      </c>
      <c r="H76" s="56">
        <v>0</v>
      </c>
      <c r="I76" s="55">
        <f>G76*H76</f>
        <v>0</v>
      </c>
      <c r="J76" s="55">
        <v>0</v>
      </c>
      <c r="K76" s="55">
        <v>0.125</v>
      </c>
      <c r="L76" s="55">
        <f>G76*K76</f>
        <v>10.227375</v>
      </c>
      <c r="M76" s="57" t="s">
        <v>122</v>
      </c>
      <c r="Z76" s="55">
        <f>IF(AQ76="5",BJ76,0)</f>
        <v>0</v>
      </c>
      <c r="AB76" s="55">
        <f>IF(AQ76="1",BH76,0)</f>
        <v>0</v>
      </c>
      <c r="AC76" s="55">
        <f>IF(AQ76="1",BI76,0)</f>
        <v>0</v>
      </c>
      <c r="AD76" s="55">
        <f>IF(AQ76="7",BH76,0)</f>
        <v>0</v>
      </c>
      <c r="AE76" s="55">
        <f>IF(AQ76="7",BI76,0)</f>
        <v>0</v>
      </c>
      <c r="AF76" s="55">
        <f>IF(AQ76="2",BH76,0)</f>
        <v>0</v>
      </c>
      <c r="AG76" s="55">
        <f>IF(AQ76="2",BI76,0)</f>
        <v>0</v>
      </c>
      <c r="AH76" s="55">
        <f>IF(AQ76="0",BJ76,0)</f>
        <v>0</v>
      </c>
      <c r="AI76" s="33" t="s">
        <v>4</v>
      </c>
      <c r="AJ76" s="55">
        <f>IF(AN76=0,I76,0)</f>
        <v>0</v>
      </c>
      <c r="AK76" s="55">
        <f>IF(AN76=12,I76,0)</f>
        <v>0</v>
      </c>
      <c r="AL76" s="55">
        <f>IF(AN76=21,I76,0)</f>
        <v>0</v>
      </c>
      <c r="AN76" s="55">
        <v>21</v>
      </c>
      <c r="AO76" s="55">
        <f>H76*0.766010639</f>
        <v>0</v>
      </c>
      <c r="AP76" s="55">
        <f>H76*(1-0.766010639)</f>
        <v>0</v>
      </c>
      <c r="AQ76" s="58" t="s">
        <v>118</v>
      </c>
      <c r="AV76" s="55">
        <f>AW76+AX76</f>
        <v>0</v>
      </c>
      <c r="AW76" s="55">
        <f>G76*AO76</f>
        <v>0</v>
      </c>
      <c r="AX76" s="55">
        <f>G76*AP76</f>
        <v>0</v>
      </c>
      <c r="AY76" s="58" t="s">
        <v>192</v>
      </c>
      <c r="AZ76" s="58" t="s">
        <v>147</v>
      </c>
      <c r="BA76" s="33" t="s">
        <v>125</v>
      </c>
      <c r="BB76" s="59">
        <v>100036</v>
      </c>
      <c r="BC76" s="55">
        <f>AW76+AX76</f>
        <v>0</v>
      </c>
      <c r="BD76" s="55">
        <f>H76/(100-BE76)*100</f>
        <v>0</v>
      </c>
      <c r="BE76" s="55">
        <v>0</v>
      </c>
      <c r="BF76" s="55">
        <f>L76</f>
        <v>10.227375</v>
      </c>
      <c r="BH76" s="55">
        <f>G76*AO76</f>
        <v>0</v>
      </c>
      <c r="BI76" s="55">
        <f>G76*AP76</f>
        <v>0</v>
      </c>
      <c r="BJ76" s="55">
        <f>G76*H76</f>
        <v>0</v>
      </c>
      <c r="BK76" s="55"/>
      <c r="BL76" s="55">
        <v>34</v>
      </c>
      <c r="BW76" s="55">
        <v>21</v>
      </c>
      <c r="BX76" s="3" t="s">
        <v>238</v>
      </c>
    </row>
    <row r="77" spans="1:76">
      <c r="A77" s="60"/>
      <c r="D77" s="61" t="s">
        <v>239</v>
      </c>
      <c r="E77" s="61" t="s">
        <v>240</v>
      </c>
      <c r="G77" s="62">
        <v>14.154</v>
      </c>
      <c r="M77" s="63"/>
    </row>
    <row r="78" spans="1:76">
      <c r="A78" s="60"/>
      <c r="D78" s="61" t="s">
        <v>241</v>
      </c>
      <c r="E78" s="61" t="s">
        <v>223</v>
      </c>
      <c r="G78" s="62">
        <v>13.4</v>
      </c>
      <c r="M78" s="63"/>
    </row>
    <row r="79" spans="1:76">
      <c r="A79" s="60"/>
      <c r="D79" s="61" t="s">
        <v>242</v>
      </c>
      <c r="E79" s="61" t="s">
        <v>243</v>
      </c>
      <c r="G79" s="62">
        <v>14.183</v>
      </c>
      <c r="M79" s="63"/>
    </row>
    <row r="80" spans="1:76">
      <c r="A80" s="60"/>
      <c r="D80" s="61" t="s">
        <v>241</v>
      </c>
      <c r="E80" s="61" t="s">
        <v>244</v>
      </c>
      <c r="G80" s="62">
        <v>13.4</v>
      </c>
      <c r="M80" s="63"/>
    </row>
    <row r="81" spans="1:76">
      <c r="A81" s="60"/>
      <c r="D81" s="61" t="s">
        <v>245</v>
      </c>
      <c r="E81" s="61" t="s">
        <v>227</v>
      </c>
      <c r="G81" s="62">
        <v>12.472</v>
      </c>
      <c r="M81" s="63"/>
    </row>
    <row r="82" spans="1:76">
      <c r="A82" s="60"/>
      <c r="D82" s="61" t="s">
        <v>246</v>
      </c>
      <c r="E82" s="61" t="s">
        <v>233</v>
      </c>
      <c r="G82" s="62">
        <v>14.21</v>
      </c>
      <c r="M82" s="63"/>
    </row>
    <row r="83" spans="1:76" ht="63.75">
      <c r="A83" s="60"/>
      <c r="C83" s="64" t="s">
        <v>127</v>
      </c>
      <c r="D83" s="618" t="s">
        <v>247</v>
      </c>
      <c r="E83" s="619"/>
      <c r="F83" s="619"/>
      <c r="G83" s="619"/>
      <c r="H83" s="620"/>
      <c r="I83" s="619"/>
      <c r="J83" s="619"/>
      <c r="K83" s="619"/>
      <c r="L83" s="619"/>
      <c r="M83" s="621"/>
      <c r="BX83" s="65" t="s">
        <v>247</v>
      </c>
    </row>
    <row r="84" spans="1:76">
      <c r="A84" s="1" t="s">
        <v>116</v>
      </c>
      <c r="B84" s="2" t="s">
        <v>4</v>
      </c>
      <c r="C84" s="2" t="s">
        <v>248</v>
      </c>
      <c r="D84" s="549" t="s">
        <v>249</v>
      </c>
      <c r="E84" s="546"/>
      <c r="F84" s="2" t="s">
        <v>157</v>
      </c>
      <c r="G84" s="55">
        <v>18.7362</v>
      </c>
      <c r="H84" s="56">
        <v>0</v>
      </c>
      <c r="I84" s="55">
        <f>G84*H84</f>
        <v>0</v>
      </c>
      <c r="J84" s="55">
        <v>0</v>
      </c>
      <c r="K84" s="55">
        <v>0.1231</v>
      </c>
      <c r="L84" s="55">
        <f>G84*K84</f>
        <v>2.3064262200000001</v>
      </c>
      <c r="M84" s="57" t="s">
        <v>122</v>
      </c>
      <c r="Z84" s="55">
        <f>IF(AQ84="5",BJ84,0)</f>
        <v>0</v>
      </c>
      <c r="AB84" s="55">
        <f>IF(AQ84="1",BH84,0)</f>
        <v>0</v>
      </c>
      <c r="AC84" s="55">
        <f>IF(AQ84="1",BI84,0)</f>
        <v>0</v>
      </c>
      <c r="AD84" s="55">
        <f>IF(AQ84="7",BH84,0)</f>
        <v>0</v>
      </c>
      <c r="AE84" s="55">
        <f>IF(AQ84="7",BI84,0)</f>
        <v>0</v>
      </c>
      <c r="AF84" s="55">
        <f>IF(AQ84="2",BH84,0)</f>
        <v>0</v>
      </c>
      <c r="AG84" s="55">
        <f>IF(AQ84="2",BI84,0)</f>
        <v>0</v>
      </c>
      <c r="AH84" s="55">
        <f>IF(AQ84="0",BJ84,0)</f>
        <v>0</v>
      </c>
      <c r="AI84" s="33" t="s">
        <v>4</v>
      </c>
      <c r="AJ84" s="55">
        <f>IF(AN84=0,I84,0)</f>
        <v>0</v>
      </c>
      <c r="AK84" s="55">
        <f>IF(AN84=12,I84,0)</f>
        <v>0</v>
      </c>
      <c r="AL84" s="55">
        <f>IF(AN84=21,I84,0)</f>
        <v>0</v>
      </c>
      <c r="AN84" s="55">
        <v>21</v>
      </c>
      <c r="AO84" s="55">
        <f>H84*0.531675045</f>
        <v>0</v>
      </c>
      <c r="AP84" s="55">
        <f>H84*(1-0.531675045)</f>
        <v>0</v>
      </c>
      <c r="AQ84" s="58" t="s">
        <v>118</v>
      </c>
      <c r="AV84" s="55">
        <f>AW84+AX84</f>
        <v>0</v>
      </c>
      <c r="AW84" s="55">
        <f>G84*AO84</f>
        <v>0</v>
      </c>
      <c r="AX84" s="55">
        <f>G84*AP84</f>
        <v>0</v>
      </c>
      <c r="AY84" s="58" t="s">
        <v>192</v>
      </c>
      <c r="AZ84" s="58" t="s">
        <v>147</v>
      </c>
      <c r="BA84" s="33" t="s">
        <v>125</v>
      </c>
      <c r="BB84" s="59">
        <v>100036</v>
      </c>
      <c r="BC84" s="55">
        <f>AW84+AX84</f>
        <v>0</v>
      </c>
      <c r="BD84" s="55">
        <f>H84/(100-BE84)*100</f>
        <v>0</v>
      </c>
      <c r="BE84" s="55">
        <v>0</v>
      </c>
      <c r="BF84" s="55">
        <f>L84</f>
        <v>2.3064262200000001</v>
      </c>
      <c r="BH84" s="55">
        <f>G84*AO84</f>
        <v>0</v>
      </c>
      <c r="BI84" s="55">
        <f>G84*AP84</f>
        <v>0</v>
      </c>
      <c r="BJ84" s="55">
        <f>G84*H84</f>
        <v>0</v>
      </c>
      <c r="BK84" s="55"/>
      <c r="BL84" s="55">
        <v>34</v>
      </c>
      <c r="BW84" s="55">
        <v>21</v>
      </c>
      <c r="BX84" s="3" t="s">
        <v>249</v>
      </c>
    </row>
    <row r="85" spans="1:76">
      <c r="A85" s="60"/>
      <c r="D85" s="61" t="s">
        <v>250</v>
      </c>
      <c r="E85" s="61" t="s">
        <v>251</v>
      </c>
      <c r="G85" s="62">
        <v>4.5644999999999998</v>
      </c>
      <c r="M85" s="63"/>
    </row>
    <row r="86" spans="1:76">
      <c r="A86" s="60"/>
      <c r="D86" s="61" t="s">
        <v>252</v>
      </c>
      <c r="E86" s="61" t="s">
        <v>253</v>
      </c>
      <c r="G86" s="62">
        <v>2.915</v>
      </c>
      <c r="M86" s="63"/>
    </row>
    <row r="87" spans="1:76">
      <c r="A87" s="60"/>
      <c r="D87" s="61" t="s">
        <v>254</v>
      </c>
      <c r="E87" s="61" t="s">
        <v>255</v>
      </c>
      <c r="G87" s="62">
        <v>2.915</v>
      </c>
      <c r="M87" s="63"/>
    </row>
    <row r="88" spans="1:76">
      <c r="A88" s="60"/>
      <c r="D88" s="61" t="s">
        <v>256</v>
      </c>
      <c r="E88" s="61" t="s">
        <v>257</v>
      </c>
      <c r="G88" s="62">
        <v>1.9401999999999999</v>
      </c>
      <c r="M88" s="63"/>
    </row>
    <row r="89" spans="1:76">
      <c r="A89" s="60"/>
      <c r="D89" s="61" t="s">
        <v>258</v>
      </c>
      <c r="E89" s="61" t="s">
        <v>259</v>
      </c>
      <c r="G89" s="62">
        <v>2</v>
      </c>
      <c r="M89" s="63"/>
    </row>
    <row r="90" spans="1:76">
      <c r="A90" s="60"/>
      <c r="D90" s="61" t="s">
        <v>260</v>
      </c>
      <c r="E90" s="61" t="s">
        <v>261</v>
      </c>
      <c r="G90" s="62">
        <v>1.8</v>
      </c>
      <c r="M90" s="63"/>
    </row>
    <row r="91" spans="1:76">
      <c r="A91" s="60"/>
      <c r="D91" s="61" t="s">
        <v>262</v>
      </c>
      <c r="E91" s="61" t="s">
        <v>263</v>
      </c>
      <c r="G91" s="62">
        <v>2.6015000000000001</v>
      </c>
      <c r="M91" s="63"/>
    </row>
    <row r="92" spans="1:76" ht="25.5">
      <c r="A92" s="60"/>
      <c r="C92" s="64" t="s">
        <v>127</v>
      </c>
      <c r="D92" s="618" t="s">
        <v>264</v>
      </c>
      <c r="E92" s="619"/>
      <c r="F92" s="619"/>
      <c r="G92" s="619"/>
      <c r="H92" s="620"/>
      <c r="I92" s="619"/>
      <c r="J92" s="619"/>
      <c r="K92" s="619"/>
      <c r="L92" s="619"/>
      <c r="M92" s="621"/>
      <c r="BX92" s="65" t="s">
        <v>264</v>
      </c>
    </row>
    <row r="93" spans="1:76">
      <c r="A93" s="1" t="s">
        <v>265</v>
      </c>
      <c r="B93" s="2" t="s">
        <v>4</v>
      </c>
      <c r="C93" s="2" t="s">
        <v>266</v>
      </c>
      <c r="D93" s="549" t="s">
        <v>267</v>
      </c>
      <c r="E93" s="546"/>
      <c r="F93" s="2" t="s">
        <v>157</v>
      </c>
      <c r="G93" s="55">
        <v>30.652999999999999</v>
      </c>
      <c r="H93" s="56">
        <v>0</v>
      </c>
      <c r="I93" s="55">
        <f>G93*H93</f>
        <v>0</v>
      </c>
      <c r="J93" s="55">
        <v>0</v>
      </c>
      <c r="K93" s="55">
        <v>5.5E-2</v>
      </c>
      <c r="L93" s="55">
        <f>G93*K93</f>
        <v>1.6859149999999998</v>
      </c>
      <c r="M93" s="57" t="s">
        <v>122</v>
      </c>
      <c r="Z93" s="55">
        <f>IF(AQ93="5",BJ93,0)</f>
        <v>0</v>
      </c>
      <c r="AB93" s="55">
        <f>IF(AQ93="1",BH93,0)</f>
        <v>0</v>
      </c>
      <c r="AC93" s="55">
        <f>IF(AQ93="1",BI93,0)</f>
        <v>0</v>
      </c>
      <c r="AD93" s="55">
        <f>IF(AQ93="7",BH93,0)</f>
        <v>0</v>
      </c>
      <c r="AE93" s="55">
        <f>IF(AQ93="7",BI93,0)</f>
        <v>0</v>
      </c>
      <c r="AF93" s="55">
        <f>IF(AQ93="2",BH93,0)</f>
        <v>0</v>
      </c>
      <c r="AG93" s="55">
        <f>IF(AQ93="2",BI93,0)</f>
        <v>0</v>
      </c>
      <c r="AH93" s="55">
        <f>IF(AQ93="0",BJ93,0)</f>
        <v>0</v>
      </c>
      <c r="AI93" s="33" t="s">
        <v>4</v>
      </c>
      <c r="AJ93" s="55">
        <f>IF(AN93=0,I93,0)</f>
        <v>0</v>
      </c>
      <c r="AK93" s="55">
        <f>IF(AN93=12,I93,0)</f>
        <v>0</v>
      </c>
      <c r="AL93" s="55">
        <f>IF(AN93=21,I93,0)</f>
        <v>0</v>
      </c>
      <c r="AN93" s="55">
        <v>21</v>
      </c>
      <c r="AO93" s="55">
        <f>H93*0.634050228</f>
        <v>0</v>
      </c>
      <c r="AP93" s="55">
        <f>H93*(1-0.634050228)</f>
        <v>0</v>
      </c>
      <c r="AQ93" s="58" t="s">
        <v>118</v>
      </c>
      <c r="AV93" s="55">
        <f>AW93+AX93</f>
        <v>0</v>
      </c>
      <c r="AW93" s="55">
        <f>G93*AO93</f>
        <v>0</v>
      </c>
      <c r="AX93" s="55">
        <f>G93*AP93</f>
        <v>0</v>
      </c>
      <c r="AY93" s="58" t="s">
        <v>192</v>
      </c>
      <c r="AZ93" s="58" t="s">
        <v>147</v>
      </c>
      <c r="BA93" s="33" t="s">
        <v>125</v>
      </c>
      <c r="BB93" s="59">
        <v>100036</v>
      </c>
      <c r="BC93" s="55">
        <f>AW93+AX93</f>
        <v>0</v>
      </c>
      <c r="BD93" s="55">
        <f>H93/(100-BE93)*100</f>
        <v>0</v>
      </c>
      <c r="BE93" s="55">
        <v>0</v>
      </c>
      <c r="BF93" s="55">
        <f>L93</f>
        <v>1.6859149999999998</v>
      </c>
      <c r="BH93" s="55">
        <f>G93*AO93</f>
        <v>0</v>
      </c>
      <c r="BI93" s="55">
        <f>G93*AP93</f>
        <v>0</v>
      </c>
      <c r="BJ93" s="55">
        <f>G93*H93</f>
        <v>0</v>
      </c>
      <c r="BK93" s="55"/>
      <c r="BL93" s="55">
        <v>34</v>
      </c>
      <c r="BW93" s="55">
        <v>21</v>
      </c>
      <c r="BX93" s="3" t="s">
        <v>267</v>
      </c>
    </row>
    <row r="94" spans="1:76">
      <c r="A94" s="60"/>
      <c r="D94" s="61" t="s">
        <v>268</v>
      </c>
      <c r="E94" s="61" t="s">
        <v>269</v>
      </c>
      <c r="G94" s="62">
        <v>15.37</v>
      </c>
      <c r="M94" s="63"/>
    </row>
    <row r="95" spans="1:76">
      <c r="A95" s="60"/>
      <c r="D95" s="61" t="s">
        <v>270</v>
      </c>
      <c r="E95" s="61" t="s">
        <v>271</v>
      </c>
      <c r="G95" s="62">
        <v>15.282999999999999</v>
      </c>
      <c r="M95" s="63"/>
    </row>
    <row r="96" spans="1:76" ht="63.75">
      <c r="A96" s="60"/>
      <c r="C96" s="64" t="s">
        <v>127</v>
      </c>
      <c r="D96" s="618" t="s">
        <v>272</v>
      </c>
      <c r="E96" s="619"/>
      <c r="F96" s="619"/>
      <c r="G96" s="619"/>
      <c r="H96" s="620"/>
      <c r="I96" s="619"/>
      <c r="J96" s="619"/>
      <c r="K96" s="619"/>
      <c r="L96" s="619"/>
      <c r="M96" s="621"/>
      <c r="BX96" s="65" t="s">
        <v>272</v>
      </c>
    </row>
    <row r="97" spans="1:76">
      <c r="A97" s="50" t="s">
        <v>4</v>
      </c>
      <c r="B97" s="51" t="s">
        <v>4</v>
      </c>
      <c r="C97" s="51" t="s">
        <v>273</v>
      </c>
      <c r="D97" s="625" t="s">
        <v>274</v>
      </c>
      <c r="E97" s="626"/>
      <c r="F97" s="52" t="s">
        <v>79</v>
      </c>
      <c r="G97" s="52" t="s">
        <v>79</v>
      </c>
      <c r="H97" s="53" t="s">
        <v>79</v>
      </c>
      <c r="I97" s="26">
        <f>SUM(I98:I255)</f>
        <v>0</v>
      </c>
      <c r="J97" s="33" t="s">
        <v>4</v>
      </c>
      <c r="K97" s="33" t="s">
        <v>4</v>
      </c>
      <c r="L97" s="26">
        <f>SUM(L98:L255)</f>
        <v>37.853644154000008</v>
      </c>
      <c r="M97" s="54" t="s">
        <v>4</v>
      </c>
      <c r="AI97" s="33" t="s">
        <v>4</v>
      </c>
      <c r="AS97" s="26">
        <f>SUM(AJ98:AJ255)</f>
        <v>0</v>
      </c>
      <c r="AT97" s="26">
        <f>SUM(AK98:AK255)</f>
        <v>0</v>
      </c>
      <c r="AU97" s="26">
        <f>SUM(AL98:AL255)</f>
        <v>0</v>
      </c>
    </row>
    <row r="98" spans="1:76">
      <c r="A98" s="1" t="s">
        <v>275</v>
      </c>
      <c r="B98" s="2" t="s">
        <v>4</v>
      </c>
      <c r="C98" s="2" t="s">
        <v>276</v>
      </c>
      <c r="D98" s="549" t="s">
        <v>277</v>
      </c>
      <c r="E98" s="546"/>
      <c r="F98" s="2" t="s">
        <v>157</v>
      </c>
      <c r="G98" s="55">
        <v>680.89549999999997</v>
      </c>
      <c r="H98" s="56">
        <v>0</v>
      </c>
      <c r="I98" s="55">
        <f>G98*H98</f>
        <v>0</v>
      </c>
      <c r="J98" s="55">
        <v>0</v>
      </c>
      <c r="K98" s="55">
        <v>9.3900000000000008E-3</v>
      </c>
      <c r="L98" s="55">
        <f>G98*K98</f>
        <v>6.3936087449999999</v>
      </c>
      <c r="M98" s="57" t="s">
        <v>122</v>
      </c>
      <c r="Z98" s="55">
        <f>IF(AQ98="5",BJ98,0)</f>
        <v>0</v>
      </c>
      <c r="AB98" s="55">
        <f>IF(AQ98="1",BH98,0)</f>
        <v>0</v>
      </c>
      <c r="AC98" s="55">
        <f>IF(AQ98="1",BI98,0)</f>
        <v>0</v>
      </c>
      <c r="AD98" s="55">
        <f>IF(AQ98="7",BH98,0)</f>
        <v>0</v>
      </c>
      <c r="AE98" s="55">
        <f>IF(AQ98="7",BI98,0)</f>
        <v>0</v>
      </c>
      <c r="AF98" s="55">
        <f>IF(AQ98="2",BH98,0)</f>
        <v>0</v>
      </c>
      <c r="AG98" s="55">
        <f>IF(AQ98="2",BI98,0)</f>
        <v>0</v>
      </c>
      <c r="AH98" s="55">
        <f>IF(AQ98="0",BJ98,0)</f>
        <v>0</v>
      </c>
      <c r="AI98" s="33" t="s">
        <v>4</v>
      </c>
      <c r="AJ98" s="55">
        <f>IF(AN98=0,I98,0)</f>
        <v>0</v>
      </c>
      <c r="AK98" s="55">
        <f>IF(AN98=12,I98,0)</f>
        <v>0</v>
      </c>
      <c r="AL98" s="55">
        <f>IF(AN98=21,I98,0)</f>
        <v>0</v>
      </c>
      <c r="AN98" s="55">
        <v>21</v>
      </c>
      <c r="AO98" s="55">
        <f>H98*0.434334223</f>
        <v>0</v>
      </c>
      <c r="AP98" s="55">
        <f>H98*(1-0.434334223)</f>
        <v>0</v>
      </c>
      <c r="AQ98" s="58" t="s">
        <v>118</v>
      </c>
      <c r="AV98" s="55">
        <f>AW98+AX98</f>
        <v>0</v>
      </c>
      <c r="AW98" s="55">
        <f>G98*AO98</f>
        <v>0</v>
      </c>
      <c r="AX98" s="55">
        <f>G98*AP98</f>
        <v>0</v>
      </c>
      <c r="AY98" s="58" t="s">
        <v>278</v>
      </c>
      <c r="AZ98" s="58" t="s">
        <v>279</v>
      </c>
      <c r="BA98" s="33" t="s">
        <v>125</v>
      </c>
      <c r="BB98" s="59">
        <v>100027</v>
      </c>
      <c r="BC98" s="55">
        <f>AW98+AX98</f>
        <v>0</v>
      </c>
      <c r="BD98" s="55">
        <f>H98/(100-BE98)*100</f>
        <v>0</v>
      </c>
      <c r="BE98" s="55">
        <v>0</v>
      </c>
      <c r="BF98" s="55">
        <f>L98</f>
        <v>6.3936087449999999</v>
      </c>
      <c r="BH98" s="55">
        <f>G98*AO98</f>
        <v>0</v>
      </c>
      <c r="BI98" s="55">
        <f>G98*AP98</f>
        <v>0</v>
      </c>
      <c r="BJ98" s="55">
        <f>G98*H98</f>
        <v>0</v>
      </c>
      <c r="BK98" s="55"/>
      <c r="BL98" s="55">
        <v>60</v>
      </c>
      <c r="BW98" s="55">
        <v>21</v>
      </c>
      <c r="BX98" s="3" t="s">
        <v>277</v>
      </c>
    </row>
    <row r="99" spans="1:76" ht="13.5" customHeight="1">
      <c r="A99" s="60"/>
      <c r="D99" s="634" t="s">
        <v>280</v>
      </c>
      <c r="E99" s="635"/>
      <c r="F99" s="635"/>
      <c r="G99" s="635"/>
      <c r="H99" s="636"/>
      <c r="I99" s="635"/>
      <c r="J99" s="635"/>
      <c r="K99" s="635"/>
      <c r="L99" s="635"/>
      <c r="M99" s="637"/>
    </row>
    <row r="100" spans="1:76">
      <c r="A100" s="60"/>
      <c r="D100" s="61" t="s">
        <v>281</v>
      </c>
      <c r="E100" s="61" t="s">
        <v>282</v>
      </c>
      <c r="G100" s="62">
        <v>-3.516</v>
      </c>
      <c r="M100" s="63"/>
    </row>
    <row r="101" spans="1:76">
      <c r="A101" s="60"/>
      <c r="D101" s="61" t="s">
        <v>283</v>
      </c>
      <c r="E101" s="61" t="s">
        <v>284</v>
      </c>
      <c r="G101" s="62">
        <v>22.0655</v>
      </c>
      <c r="M101" s="63"/>
    </row>
    <row r="102" spans="1:76">
      <c r="A102" s="60"/>
      <c r="D102" s="61" t="s">
        <v>285</v>
      </c>
      <c r="E102" s="61" t="s">
        <v>286</v>
      </c>
      <c r="G102" s="62">
        <v>8.4</v>
      </c>
      <c r="M102" s="63"/>
    </row>
    <row r="103" spans="1:76">
      <c r="A103" s="60"/>
      <c r="D103" s="61" t="s">
        <v>287</v>
      </c>
      <c r="E103" s="61" t="s">
        <v>288</v>
      </c>
      <c r="G103" s="62">
        <v>1.67</v>
      </c>
      <c r="M103" s="63"/>
    </row>
    <row r="104" spans="1:76">
      <c r="A104" s="60"/>
      <c r="D104" s="61" t="s">
        <v>289</v>
      </c>
      <c r="E104" s="61" t="s">
        <v>290</v>
      </c>
      <c r="G104" s="62">
        <v>36.3245</v>
      </c>
      <c r="M104" s="63"/>
    </row>
    <row r="105" spans="1:76">
      <c r="A105" s="60"/>
      <c r="D105" s="61" t="s">
        <v>291</v>
      </c>
      <c r="E105" s="61" t="s">
        <v>292</v>
      </c>
      <c r="G105" s="62">
        <v>7.87</v>
      </c>
      <c r="M105" s="63"/>
    </row>
    <row r="106" spans="1:76">
      <c r="A106" s="60"/>
      <c r="D106" s="61" t="s">
        <v>293</v>
      </c>
      <c r="E106" s="61" t="s">
        <v>294</v>
      </c>
      <c r="G106" s="62">
        <v>9.9105000000000008</v>
      </c>
      <c r="M106" s="63"/>
    </row>
    <row r="107" spans="1:76">
      <c r="A107" s="60"/>
      <c r="D107" s="61" t="s">
        <v>295</v>
      </c>
      <c r="E107" s="61" t="s">
        <v>296</v>
      </c>
      <c r="G107" s="62">
        <v>21.994499999999999</v>
      </c>
      <c r="M107" s="63"/>
    </row>
    <row r="108" spans="1:76">
      <c r="A108" s="60"/>
      <c r="D108" s="61" t="s">
        <v>297</v>
      </c>
      <c r="E108" s="61" t="s">
        <v>298</v>
      </c>
      <c r="G108" s="62">
        <v>21.6235</v>
      </c>
      <c r="M108" s="63"/>
    </row>
    <row r="109" spans="1:76">
      <c r="A109" s="60"/>
      <c r="D109" s="61" t="s">
        <v>299</v>
      </c>
      <c r="E109" s="61" t="s">
        <v>300</v>
      </c>
      <c r="G109" s="62">
        <v>16.5535</v>
      </c>
      <c r="M109" s="63"/>
    </row>
    <row r="110" spans="1:76">
      <c r="A110" s="60"/>
      <c r="D110" s="61" t="s">
        <v>301</v>
      </c>
      <c r="E110" s="61" t="s">
        <v>302</v>
      </c>
      <c r="G110" s="62">
        <v>13.981999999999999</v>
      </c>
      <c r="M110" s="63"/>
    </row>
    <row r="111" spans="1:76">
      <c r="A111" s="60"/>
      <c r="D111" s="61" t="s">
        <v>303</v>
      </c>
      <c r="E111" s="61" t="s">
        <v>304</v>
      </c>
      <c r="G111" s="62">
        <v>35.393999999999998</v>
      </c>
      <c r="M111" s="63"/>
    </row>
    <row r="112" spans="1:76">
      <c r="A112" s="60"/>
      <c r="D112" s="61" t="s">
        <v>305</v>
      </c>
      <c r="E112" s="61" t="s">
        <v>306</v>
      </c>
      <c r="G112" s="62">
        <v>40.530500000000004</v>
      </c>
      <c r="M112" s="63"/>
    </row>
    <row r="113" spans="1:76">
      <c r="A113" s="60"/>
      <c r="D113" s="61" t="s">
        <v>307</v>
      </c>
      <c r="E113" s="61" t="s">
        <v>308</v>
      </c>
      <c r="G113" s="62">
        <v>23.050999999999998</v>
      </c>
      <c r="M113" s="63"/>
    </row>
    <row r="114" spans="1:76">
      <c r="A114" s="60"/>
      <c r="D114" s="61" t="s">
        <v>309</v>
      </c>
      <c r="E114" s="61" t="s">
        <v>310</v>
      </c>
      <c r="G114" s="62">
        <v>207.44200000000001</v>
      </c>
      <c r="M114" s="63"/>
    </row>
    <row r="115" spans="1:76">
      <c r="A115" s="60"/>
      <c r="D115" s="61" t="s">
        <v>311</v>
      </c>
      <c r="E115" s="61" t="s">
        <v>312</v>
      </c>
      <c r="G115" s="62">
        <v>20.164000000000001</v>
      </c>
      <c r="M115" s="63"/>
    </row>
    <row r="116" spans="1:76">
      <c r="A116" s="60"/>
      <c r="D116" s="61" t="s">
        <v>313</v>
      </c>
      <c r="E116" s="61" t="s">
        <v>314</v>
      </c>
      <c r="G116" s="62">
        <v>28.7575</v>
      </c>
      <c r="M116" s="63"/>
    </row>
    <row r="117" spans="1:76">
      <c r="A117" s="60"/>
      <c r="D117" s="61" t="s">
        <v>315</v>
      </c>
      <c r="E117" s="61" t="s">
        <v>316</v>
      </c>
      <c r="G117" s="62">
        <v>21.641500000000001</v>
      </c>
      <c r="M117" s="63"/>
    </row>
    <row r="118" spans="1:76">
      <c r="A118" s="60"/>
      <c r="D118" s="61" t="s">
        <v>317</v>
      </c>
      <c r="E118" s="61" t="s">
        <v>318</v>
      </c>
      <c r="G118" s="62">
        <v>13.188499999999999</v>
      </c>
      <c r="M118" s="63"/>
    </row>
    <row r="119" spans="1:76">
      <c r="A119" s="60"/>
      <c r="D119" s="61" t="s">
        <v>319</v>
      </c>
      <c r="E119" s="61" t="s">
        <v>320</v>
      </c>
      <c r="G119" s="62">
        <v>11.7095</v>
      </c>
      <c r="M119" s="63"/>
    </row>
    <row r="120" spans="1:76">
      <c r="A120" s="60"/>
      <c r="D120" s="61" t="s">
        <v>321</v>
      </c>
      <c r="E120" s="61" t="s">
        <v>322</v>
      </c>
      <c r="G120" s="62">
        <v>20.312999999999999</v>
      </c>
      <c r="M120" s="63"/>
    </row>
    <row r="121" spans="1:76">
      <c r="A121" s="60"/>
      <c r="D121" s="61" t="s">
        <v>323</v>
      </c>
      <c r="E121" s="61" t="s">
        <v>324</v>
      </c>
      <c r="G121" s="62">
        <v>21.119</v>
      </c>
      <c r="M121" s="63"/>
    </row>
    <row r="122" spans="1:76">
      <c r="A122" s="60"/>
      <c r="D122" s="61" t="s">
        <v>325</v>
      </c>
      <c r="E122" s="61" t="s">
        <v>326</v>
      </c>
      <c r="G122" s="62">
        <v>20.991499999999998</v>
      </c>
      <c r="M122" s="63"/>
    </row>
    <row r="123" spans="1:76">
      <c r="A123" s="60"/>
      <c r="D123" s="61" t="s">
        <v>327</v>
      </c>
      <c r="E123" s="61" t="s">
        <v>328</v>
      </c>
      <c r="G123" s="62">
        <v>37.616500000000002</v>
      </c>
      <c r="M123" s="63"/>
    </row>
    <row r="124" spans="1:76">
      <c r="A124" s="60"/>
      <c r="D124" s="61" t="s">
        <v>329</v>
      </c>
      <c r="E124" s="61" t="s">
        <v>330</v>
      </c>
      <c r="G124" s="62">
        <v>22.099</v>
      </c>
      <c r="M124" s="63"/>
    </row>
    <row r="125" spans="1:76" ht="63.75">
      <c r="A125" s="60"/>
      <c r="C125" s="64" t="s">
        <v>127</v>
      </c>
      <c r="D125" s="618" t="s">
        <v>331</v>
      </c>
      <c r="E125" s="619"/>
      <c r="F125" s="619"/>
      <c r="G125" s="619"/>
      <c r="H125" s="620"/>
      <c r="I125" s="619"/>
      <c r="J125" s="619"/>
      <c r="K125" s="619"/>
      <c r="L125" s="619"/>
      <c r="M125" s="621"/>
      <c r="BX125" s="65" t="s">
        <v>331</v>
      </c>
    </row>
    <row r="126" spans="1:76">
      <c r="A126" s="1" t="s">
        <v>332</v>
      </c>
      <c r="B126" s="2" t="s">
        <v>4</v>
      </c>
      <c r="C126" s="2" t="s">
        <v>333</v>
      </c>
      <c r="D126" s="549" t="s">
        <v>334</v>
      </c>
      <c r="E126" s="546"/>
      <c r="F126" s="2" t="s">
        <v>157</v>
      </c>
      <c r="G126" s="55">
        <v>1015.8275</v>
      </c>
      <c r="H126" s="56">
        <v>0</v>
      </c>
      <c r="I126" s="55">
        <f>G126*H126</f>
        <v>0</v>
      </c>
      <c r="J126" s="55">
        <v>0</v>
      </c>
      <c r="K126" s="55">
        <v>2.0830000000000001E-2</v>
      </c>
      <c r="L126" s="55">
        <f>G126*K126</f>
        <v>21.159686825000001</v>
      </c>
      <c r="M126" s="57" t="s">
        <v>122</v>
      </c>
      <c r="Z126" s="55">
        <f>IF(AQ126="5",BJ126,0)</f>
        <v>0</v>
      </c>
      <c r="AB126" s="55">
        <f>IF(AQ126="1",BH126,0)</f>
        <v>0</v>
      </c>
      <c r="AC126" s="55">
        <f>IF(AQ126="1",BI126,0)</f>
        <v>0</v>
      </c>
      <c r="AD126" s="55">
        <f>IF(AQ126="7",BH126,0)</f>
        <v>0</v>
      </c>
      <c r="AE126" s="55">
        <f>IF(AQ126="7",BI126,0)</f>
        <v>0</v>
      </c>
      <c r="AF126" s="55">
        <f>IF(AQ126="2",BH126,0)</f>
        <v>0</v>
      </c>
      <c r="AG126" s="55">
        <f>IF(AQ126="2",BI126,0)</f>
        <v>0</v>
      </c>
      <c r="AH126" s="55">
        <f>IF(AQ126="0",BJ126,0)</f>
        <v>0</v>
      </c>
      <c r="AI126" s="33" t="s">
        <v>4</v>
      </c>
      <c r="AJ126" s="55">
        <f>IF(AN126=0,I126,0)</f>
        <v>0</v>
      </c>
      <c r="AK126" s="55">
        <f>IF(AN126=12,I126,0)</f>
        <v>0</v>
      </c>
      <c r="AL126" s="55">
        <f>IF(AN126=21,I126,0)</f>
        <v>0</v>
      </c>
      <c r="AN126" s="55">
        <v>21</v>
      </c>
      <c r="AO126" s="55">
        <f>H126*0.383590553</f>
        <v>0</v>
      </c>
      <c r="AP126" s="55">
        <f>H126*(1-0.383590553)</f>
        <v>0</v>
      </c>
      <c r="AQ126" s="58" t="s">
        <v>118</v>
      </c>
      <c r="AV126" s="55">
        <f>AW126+AX126</f>
        <v>0</v>
      </c>
      <c r="AW126" s="55">
        <f>G126*AO126</f>
        <v>0</v>
      </c>
      <c r="AX126" s="55">
        <f>G126*AP126</f>
        <v>0</v>
      </c>
      <c r="AY126" s="58" t="s">
        <v>278</v>
      </c>
      <c r="AZ126" s="58" t="s">
        <v>279</v>
      </c>
      <c r="BA126" s="33" t="s">
        <v>125</v>
      </c>
      <c r="BB126" s="59">
        <v>100027</v>
      </c>
      <c r="BC126" s="55">
        <f>AW126+AX126</f>
        <v>0</v>
      </c>
      <c r="BD126" s="55">
        <f>H126/(100-BE126)*100</f>
        <v>0</v>
      </c>
      <c r="BE126" s="55">
        <v>0</v>
      </c>
      <c r="BF126" s="55">
        <f>L126</f>
        <v>21.159686825000001</v>
      </c>
      <c r="BH126" s="55">
        <f>G126*AO126</f>
        <v>0</v>
      </c>
      <c r="BI126" s="55">
        <f>G126*AP126</f>
        <v>0</v>
      </c>
      <c r="BJ126" s="55">
        <f>G126*H126</f>
        <v>0</v>
      </c>
      <c r="BK126" s="55"/>
      <c r="BL126" s="55">
        <v>60</v>
      </c>
      <c r="BW126" s="55">
        <v>21</v>
      </c>
      <c r="BX126" s="3" t="s">
        <v>334</v>
      </c>
    </row>
    <row r="127" spans="1:76" ht="13.5" customHeight="1">
      <c r="A127" s="60"/>
      <c r="D127" s="634" t="s">
        <v>335</v>
      </c>
      <c r="E127" s="635"/>
      <c r="F127" s="635"/>
      <c r="G127" s="635"/>
      <c r="H127" s="636"/>
      <c r="I127" s="635"/>
      <c r="J127" s="635"/>
      <c r="K127" s="635"/>
      <c r="L127" s="635"/>
      <c r="M127" s="637"/>
    </row>
    <row r="128" spans="1:76">
      <c r="A128" s="60"/>
      <c r="D128" s="61" t="s">
        <v>281</v>
      </c>
      <c r="E128" s="61" t="s">
        <v>336</v>
      </c>
      <c r="G128" s="62">
        <v>-3.516</v>
      </c>
      <c r="M128" s="63"/>
    </row>
    <row r="129" spans="1:13">
      <c r="A129" s="60"/>
      <c r="D129" s="61" t="s">
        <v>337</v>
      </c>
      <c r="E129" s="61" t="s">
        <v>284</v>
      </c>
      <c r="G129" s="62">
        <v>145.71250000000001</v>
      </c>
      <c r="M129" s="63"/>
    </row>
    <row r="130" spans="1:13">
      <c r="A130" s="60"/>
      <c r="D130" s="61" t="s">
        <v>338</v>
      </c>
      <c r="E130" s="61" t="s">
        <v>339</v>
      </c>
      <c r="G130" s="62">
        <v>15.303000000000001</v>
      </c>
      <c r="M130" s="63"/>
    </row>
    <row r="131" spans="1:13">
      <c r="A131" s="60"/>
      <c r="D131" s="61" t="s">
        <v>340</v>
      </c>
      <c r="E131" s="61" t="s">
        <v>341</v>
      </c>
      <c r="G131" s="62">
        <v>14.125</v>
      </c>
      <c r="M131" s="63"/>
    </row>
    <row r="132" spans="1:13">
      <c r="A132" s="60"/>
      <c r="D132" s="61" t="s">
        <v>342</v>
      </c>
      <c r="E132" s="61" t="s">
        <v>343</v>
      </c>
      <c r="G132" s="62">
        <v>22.076499999999999</v>
      </c>
      <c r="M132" s="63"/>
    </row>
    <row r="133" spans="1:13">
      <c r="A133" s="60"/>
      <c r="D133" s="61" t="s">
        <v>344</v>
      </c>
      <c r="E133" s="61" t="s">
        <v>345</v>
      </c>
      <c r="G133" s="62">
        <v>12.923</v>
      </c>
      <c r="M133" s="63"/>
    </row>
    <row r="134" spans="1:13">
      <c r="A134" s="60"/>
      <c r="D134" s="61" t="s">
        <v>285</v>
      </c>
      <c r="E134" s="61" t="s">
        <v>286</v>
      </c>
      <c r="G134" s="62">
        <v>8.4</v>
      </c>
      <c r="M134" s="63"/>
    </row>
    <row r="135" spans="1:13">
      <c r="A135" s="60"/>
      <c r="D135" s="61" t="s">
        <v>346</v>
      </c>
      <c r="E135" s="61" t="s">
        <v>288</v>
      </c>
      <c r="G135" s="62">
        <v>8.0555000000000003</v>
      </c>
      <c r="M135" s="63"/>
    </row>
    <row r="136" spans="1:13">
      <c r="A136" s="60"/>
      <c r="D136" s="61" t="s">
        <v>347</v>
      </c>
      <c r="E136" s="61" t="s">
        <v>348</v>
      </c>
      <c r="G136" s="62">
        <v>12.074999999999999</v>
      </c>
      <c r="M136" s="63"/>
    </row>
    <row r="137" spans="1:13">
      <c r="A137" s="60"/>
      <c r="D137" s="61" t="s">
        <v>289</v>
      </c>
      <c r="E137" s="61" t="s">
        <v>290</v>
      </c>
      <c r="G137" s="62">
        <v>36.3245</v>
      </c>
      <c r="M137" s="63"/>
    </row>
    <row r="138" spans="1:13">
      <c r="A138" s="60"/>
      <c r="D138" s="61" t="s">
        <v>349</v>
      </c>
      <c r="E138" s="61" t="s">
        <v>243</v>
      </c>
      <c r="G138" s="62">
        <v>12.7905</v>
      </c>
      <c r="M138" s="63"/>
    </row>
    <row r="139" spans="1:13">
      <c r="A139" s="60"/>
      <c r="D139" s="61" t="s">
        <v>291</v>
      </c>
      <c r="E139" s="61" t="s">
        <v>292</v>
      </c>
      <c r="G139" s="62">
        <v>7.87</v>
      </c>
      <c r="M139" s="63"/>
    </row>
    <row r="140" spans="1:13">
      <c r="A140" s="60"/>
      <c r="D140" s="61" t="s">
        <v>347</v>
      </c>
      <c r="E140" s="61" t="s">
        <v>244</v>
      </c>
      <c r="G140" s="62">
        <v>12.074999999999999</v>
      </c>
      <c r="M140" s="63"/>
    </row>
    <row r="141" spans="1:13">
      <c r="A141" s="60"/>
      <c r="D141" s="61" t="s">
        <v>293</v>
      </c>
      <c r="E141" s="61" t="s">
        <v>294</v>
      </c>
      <c r="G141" s="62">
        <v>9.9105000000000008</v>
      </c>
      <c r="M141" s="63"/>
    </row>
    <row r="142" spans="1:13">
      <c r="A142" s="60"/>
      <c r="D142" s="61" t="s">
        <v>350</v>
      </c>
      <c r="E142" s="61" t="s">
        <v>351</v>
      </c>
      <c r="G142" s="62">
        <v>38.134999999999998</v>
      </c>
      <c r="M142" s="63"/>
    </row>
    <row r="143" spans="1:13">
      <c r="A143" s="60"/>
      <c r="D143" s="61" t="s">
        <v>352</v>
      </c>
      <c r="E143" s="61" t="s">
        <v>227</v>
      </c>
      <c r="G143" s="62">
        <v>11.227</v>
      </c>
      <c r="M143" s="63"/>
    </row>
    <row r="144" spans="1:13">
      <c r="A144" s="60"/>
      <c r="D144" s="61" t="s">
        <v>295</v>
      </c>
      <c r="E144" s="61" t="s">
        <v>296</v>
      </c>
      <c r="G144" s="62">
        <v>21.994499999999999</v>
      </c>
      <c r="M144" s="63"/>
    </row>
    <row r="145" spans="1:13">
      <c r="A145" s="60"/>
      <c r="D145" s="61" t="s">
        <v>353</v>
      </c>
      <c r="E145" s="61" t="s">
        <v>354</v>
      </c>
      <c r="G145" s="62">
        <v>11.9955</v>
      </c>
      <c r="M145" s="63"/>
    </row>
    <row r="146" spans="1:13">
      <c r="A146" s="60"/>
      <c r="D146" s="61" t="s">
        <v>297</v>
      </c>
      <c r="E146" s="61" t="s">
        <v>298</v>
      </c>
      <c r="G146" s="62">
        <v>21.6235</v>
      </c>
      <c r="M146" s="63"/>
    </row>
    <row r="147" spans="1:13">
      <c r="A147" s="60"/>
      <c r="D147" s="61" t="s">
        <v>299</v>
      </c>
      <c r="E147" s="61" t="s">
        <v>300</v>
      </c>
      <c r="G147" s="62">
        <v>16.5535</v>
      </c>
      <c r="M147" s="63"/>
    </row>
    <row r="148" spans="1:13">
      <c r="A148" s="60"/>
      <c r="D148" s="61" t="s">
        <v>355</v>
      </c>
      <c r="E148" s="61" t="s">
        <v>356</v>
      </c>
      <c r="G148" s="62">
        <v>14.4955</v>
      </c>
      <c r="M148" s="63"/>
    </row>
    <row r="149" spans="1:13">
      <c r="A149" s="60"/>
      <c r="D149" s="61" t="s">
        <v>301</v>
      </c>
      <c r="E149" s="61" t="s">
        <v>302</v>
      </c>
      <c r="G149" s="62">
        <v>13.981999999999999</v>
      </c>
      <c r="M149" s="63"/>
    </row>
    <row r="150" spans="1:13">
      <c r="A150" s="60"/>
      <c r="D150" s="61" t="s">
        <v>303</v>
      </c>
      <c r="E150" s="61" t="s">
        <v>304</v>
      </c>
      <c r="G150" s="62">
        <v>35.393999999999998</v>
      </c>
      <c r="M150" s="63"/>
    </row>
    <row r="151" spans="1:13">
      <c r="A151" s="60"/>
      <c r="D151" s="61" t="s">
        <v>305</v>
      </c>
      <c r="E151" s="61" t="s">
        <v>306</v>
      </c>
      <c r="G151" s="62">
        <v>40.530500000000004</v>
      </c>
      <c r="M151" s="63"/>
    </row>
    <row r="152" spans="1:13">
      <c r="A152" s="60"/>
      <c r="D152" s="61" t="s">
        <v>357</v>
      </c>
      <c r="E152" s="61" t="s">
        <v>358</v>
      </c>
      <c r="G152" s="62">
        <v>13.541499999999999</v>
      </c>
      <c r="M152" s="63"/>
    </row>
    <row r="153" spans="1:13">
      <c r="A153" s="60"/>
      <c r="D153" s="61" t="s">
        <v>307</v>
      </c>
      <c r="E153" s="61" t="s">
        <v>308</v>
      </c>
      <c r="G153" s="62">
        <v>23.050999999999998</v>
      </c>
      <c r="M153" s="63"/>
    </row>
    <row r="154" spans="1:13">
      <c r="A154" s="60"/>
      <c r="D154" s="61" t="s">
        <v>309</v>
      </c>
      <c r="E154" s="61" t="s">
        <v>310</v>
      </c>
      <c r="G154" s="62">
        <v>207.44200000000001</v>
      </c>
      <c r="M154" s="63"/>
    </row>
    <row r="155" spans="1:13">
      <c r="A155" s="60"/>
      <c r="D155" s="61" t="s">
        <v>311</v>
      </c>
      <c r="E155" s="61" t="s">
        <v>312</v>
      </c>
      <c r="G155" s="62">
        <v>20.164000000000001</v>
      </c>
      <c r="M155" s="63"/>
    </row>
    <row r="156" spans="1:13">
      <c r="A156" s="60"/>
      <c r="D156" s="61" t="s">
        <v>359</v>
      </c>
      <c r="E156" s="61" t="s">
        <v>314</v>
      </c>
      <c r="G156" s="62">
        <v>29.962499999999999</v>
      </c>
      <c r="M156" s="63"/>
    </row>
    <row r="157" spans="1:13">
      <c r="A157" s="60"/>
      <c r="D157" s="61" t="s">
        <v>315</v>
      </c>
      <c r="E157" s="61" t="s">
        <v>316</v>
      </c>
      <c r="G157" s="62">
        <v>21.641500000000001</v>
      </c>
      <c r="M157" s="63"/>
    </row>
    <row r="158" spans="1:13">
      <c r="A158" s="60"/>
      <c r="D158" s="61" t="s">
        <v>317</v>
      </c>
      <c r="E158" s="61" t="s">
        <v>318</v>
      </c>
      <c r="G158" s="62">
        <v>13.188499999999999</v>
      </c>
      <c r="M158" s="63"/>
    </row>
    <row r="159" spans="1:13">
      <c r="A159" s="60"/>
      <c r="D159" s="61" t="s">
        <v>319</v>
      </c>
      <c r="E159" s="61" t="s">
        <v>320</v>
      </c>
      <c r="G159" s="62">
        <v>11.7095</v>
      </c>
      <c r="M159" s="63"/>
    </row>
    <row r="160" spans="1:13">
      <c r="A160" s="60"/>
      <c r="D160" s="61" t="s">
        <v>360</v>
      </c>
      <c r="E160" s="61" t="s">
        <v>361</v>
      </c>
      <c r="G160" s="62">
        <v>12.932</v>
      </c>
      <c r="M160" s="63"/>
    </row>
    <row r="161" spans="1:76">
      <c r="A161" s="60"/>
      <c r="D161" s="61" t="s">
        <v>321</v>
      </c>
      <c r="E161" s="61" t="s">
        <v>322</v>
      </c>
      <c r="G161" s="62">
        <v>20.312999999999999</v>
      </c>
      <c r="M161" s="63"/>
    </row>
    <row r="162" spans="1:76">
      <c r="A162" s="60"/>
      <c r="D162" s="61" t="s">
        <v>323</v>
      </c>
      <c r="E162" s="61" t="s">
        <v>324</v>
      </c>
      <c r="G162" s="62">
        <v>21.119</v>
      </c>
      <c r="M162" s="63"/>
    </row>
    <row r="163" spans="1:76">
      <c r="A163" s="60"/>
      <c r="D163" s="61" t="s">
        <v>325</v>
      </c>
      <c r="E163" s="61" t="s">
        <v>326</v>
      </c>
      <c r="G163" s="62">
        <v>20.991499999999998</v>
      </c>
      <c r="M163" s="63"/>
    </row>
    <row r="164" spans="1:76">
      <c r="A164" s="60"/>
      <c r="D164" s="61" t="s">
        <v>327</v>
      </c>
      <c r="E164" s="61" t="s">
        <v>328</v>
      </c>
      <c r="G164" s="62">
        <v>37.616500000000002</v>
      </c>
      <c r="M164" s="63"/>
    </row>
    <row r="165" spans="1:76">
      <c r="A165" s="60"/>
      <c r="D165" s="61" t="s">
        <v>329</v>
      </c>
      <c r="E165" s="61" t="s">
        <v>330</v>
      </c>
      <c r="G165" s="62">
        <v>22.099</v>
      </c>
      <c r="M165" s="63"/>
    </row>
    <row r="166" spans="1:76" ht="51">
      <c r="A166" s="60"/>
      <c r="C166" s="64" t="s">
        <v>127</v>
      </c>
      <c r="D166" s="618" t="s">
        <v>362</v>
      </c>
      <c r="E166" s="619"/>
      <c r="F166" s="619"/>
      <c r="G166" s="619"/>
      <c r="H166" s="620"/>
      <c r="I166" s="619"/>
      <c r="J166" s="619"/>
      <c r="K166" s="619"/>
      <c r="L166" s="619"/>
      <c r="M166" s="621"/>
      <c r="BX166" s="65" t="s">
        <v>362</v>
      </c>
    </row>
    <row r="167" spans="1:76">
      <c r="A167" s="1" t="s">
        <v>363</v>
      </c>
      <c r="B167" s="2" t="s">
        <v>4</v>
      </c>
      <c r="C167" s="2" t="s">
        <v>364</v>
      </c>
      <c r="D167" s="549" t="s">
        <v>365</v>
      </c>
      <c r="E167" s="546"/>
      <c r="F167" s="2" t="s">
        <v>157</v>
      </c>
      <c r="G167" s="55">
        <v>286.13400000000001</v>
      </c>
      <c r="H167" s="56">
        <v>0</v>
      </c>
      <c r="I167" s="55">
        <f>G167*H167</f>
        <v>0</v>
      </c>
      <c r="J167" s="55">
        <v>0</v>
      </c>
      <c r="K167" s="55">
        <v>2.12E-2</v>
      </c>
      <c r="L167" s="55">
        <f>G167*K167</f>
        <v>6.0660408000000006</v>
      </c>
      <c r="M167" s="57" t="s">
        <v>122</v>
      </c>
      <c r="Z167" s="55">
        <f>IF(AQ167="5",BJ167,0)</f>
        <v>0</v>
      </c>
      <c r="AB167" s="55">
        <f>IF(AQ167="1",BH167,0)</f>
        <v>0</v>
      </c>
      <c r="AC167" s="55">
        <f>IF(AQ167="1",BI167,0)</f>
        <v>0</v>
      </c>
      <c r="AD167" s="55">
        <f>IF(AQ167="7",BH167,0)</f>
        <v>0</v>
      </c>
      <c r="AE167" s="55">
        <f>IF(AQ167="7",BI167,0)</f>
        <v>0</v>
      </c>
      <c r="AF167" s="55">
        <f>IF(AQ167="2",BH167,0)</f>
        <v>0</v>
      </c>
      <c r="AG167" s="55">
        <f>IF(AQ167="2",BI167,0)</f>
        <v>0</v>
      </c>
      <c r="AH167" s="55">
        <f>IF(AQ167="0",BJ167,0)</f>
        <v>0</v>
      </c>
      <c r="AI167" s="33" t="s">
        <v>4</v>
      </c>
      <c r="AJ167" s="55">
        <f>IF(AN167=0,I167,0)</f>
        <v>0</v>
      </c>
      <c r="AK167" s="55">
        <f>IF(AN167=12,I167,0)</f>
        <v>0</v>
      </c>
      <c r="AL167" s="55">
        <f>IF(AN167=21,I167,0)</f>
        <v>0</v>
      </c>
      <c r="AN167" s="55">
        <v>21</v>
      </c>
      <c r="AO167" s="55">
        <f>H167*0.113405407</f>
        <v>0</v>
      </c>
      <c r="AP167" s="55">
        <f>H167*(1-0.113405407)</f>
        <v>0</v>
      </c>
      <c r="AQ167" s="58" t="s">
        <v>118</v>
      </c>
      <c r="AV167" s="55">
        <f>AW167+AX167</f>
        <v>0</v>
      </c>
      <c r="AW167" s="55">
        <f>G167*AO167</f>
        <v>0</v>
      </c>
      <c r="AX167" s="55">
        <f>G167*AP167</f>
        <v>0</v>
      </c>
      <c r="AY167" s="58" t="s">
        <v>278</v>
      </c>
      <c r="AZ167" s="58" t="s">
        <v>279</v>
      </c>
      <c r="BA167" s="33" t="s">
        <v>125</v>
      </c>
      <c r="BB167" s="59">
        <v>100027</v>
      </c>
      <c r="BC167" s="55">
        <f>AW167+AX167</f>
        <v>0</v>
      </c>
      <c r="BD167" s="55">
        <f>H167/(100-BE167)*100</f>
        <v>0</v>
      </c>
      <c r="BE167" s="55">
        <v>0</v>
      </c>
      <c r="BF167" s="55">
        <f>L167</f>
        <v>6.0660408000000006</v>
      </c>
      <c r="BH167" s="55">
        <f>G167*AO167</f>
        <v>0</v>
      </c>
      <c r="BI167" s="55">
        <f>G167*AP167</f>
        <v>0</v>
      </c>
      <c r="BJ167" s="55">
        <f>G167*H167</f>
        <v>0</v>
      </c>
      <c r="BK167" s="55"/>
      <c r="BL167" s="55">
        <v>60</v>
      </c>
      <c r="BW167" s="55">
        <v>21</v>
      </c>
      <c r="BX167" s="3" t="s">
        <v>365</v>
      </c>
    </row>
    <row r="168" spans="1:76">
      <c r="A168" s="60"/>
      <c r="D168" s="61" t="s">
        <v>338</v>
      </c>
      <c r="E168" s="61" t="s">
        <v>339</v>
      </c>
      <c r="G168" s="62">
        <v>15.303000000000001</v>
      </c>
      <c r="M168" s="63"/>
    </row>
    <row r="169" spans="1:76">
      <c r="A169" s="60"/>
      <c r="D169" s="61" t="s">
        <v>340</v>
      </c>
      <c r="E169" s="61" t="s">
        <v>341</v>
      </c>
      <c r="G169" s="62">
        <v>14.125</v>
      </c>
      <c r="M169" s="63"/>
    </row>
    <row r="170" spans="1:76">
      <c r="A170" s="60"/>
      <c r="D170" s="61" t="s">
        <v>342</v>
      </c>
      <c r="E170" s="61" t="s">
        <v>343</v>
      </c>
      <c r="G170" s="62">
        <v>22.076499999999999</v>
      </c>
      <c r="M170" s="63"/>
    </row>
    <row r="171" spans="1:76">
      <c r="A171" s="60"/>
      <c r="D171" s="61" t="s">
        <v>289</v>
      </c>
      <c r="E171" s="61" t="s">
        <v>290</v>
      </c>
      <c r="G171" s="62">
        <v>36.3245</v>
      </c>
      <c r="M171" s="63"/>
    </row>
    <row r="172" spans="1:76">
      <c r="A172" s="60"/>
      <c r="D172" s="61" t="s">
        <v>350</v>
      </c>
      <c r="E172" s="61" t="s">
        <v>351</v>
      </c>
      <c r="G172" s="62">
        <v>38.134999999999998</v>
      </c>
      <c r="M172" s="63"/>
    </row>
    <row r="173" spans="1:76">
      <c r="A173" s="60"/>
      <c r="D173" s="61" t="s">
        <v>366</v>
      </c>
      <c r="E173" s="61" t="s">
        <v>300</v>
      </c>
      <c r="G173" s="62">
        <v>15.8545</v>
      </c>
      <c r="M173" s="63"/>
    </row>
    <row r="174" spans="1:76">
      <c r="A174" s="60"/>
      <c r="D174" s="61" t="s">
        <v>303</v>
      </c>
      <c r="E174" s="61" t="s">
        <v>304</v>
      </c>
      <c r="G174" s="62">
        <v>35.393999999999998</v>
      </c>
      <c r="M174" s="63"/>
    </row>
    <row r="175" spans="1:76">
      <c r="A175" s="60"/>
      <c r="D175" s="61" t="s">
        <v>307</v>
      </c>
      <c r="E175" s="61" t="s">
        <v>308</v>
      </c>
      <c r="G175" s="62">
        <v>23.050999999999998</v>
      </c>
      <c r="M175" s="63"/>
    </row>
    <row r="176" spans="1:76">
      <c r="A176" s="60"/>
      <c r="D176" s="61" t="s">
        <v>367</v>
      </c>
      <c r="E176" s="61" t="s">
        <v>312</v>
      </c>
      <c r="G176" s="62">
        <v>18.861999999999998</v>
      </c>
      <c r="M176" s="63"/>
    </row>
    <row r="177" spans="1:76">
      <c r="A177" s="60"/>
      <c r="D177" s="61" t="s">
        <v>317</v>
      </c>
      <c r="E177" s="61" t="s">
        <v>318</v>
      </c>
      <c r="G177" s="62">
        <v>13.188499999999999</v>
      </c>
      <c r="M177" s="63"/>
    </row>
    <row r="178" spans="1:76">
      <c r="A178" s="60"/>
      <c r="D178" s="61" t="s">
        <v>319</v>
      </c>
      <c r="E178" s="61" t="s">
        <v>320</v>
      </c>
      <c r="G178" s="62">
        <v>11.7095</v>
      </c>
      <c r="M178" s="63"/>
    </row>
    <row r="179" spans="1:76">
      <c r="A179" s="60"/>
      <c r="D179" s="61" t="s">
        <v>323</v>
      </c>
      <c r="E179" s="61" t="s">
        <v>324</v>
      </c>
      <c r="G179" s="62">
        <v>21.119</v>
      </c>
      <c r="M179" s="63"/>
    </row>
    <row r="180" spans="1:76">
      <c r="A180" s="60"/>
      <c r="D180" s="61" t="s">
        <v>325</v>
      </c>
      <c r="E180" s="61" t="s">
        <v>326</v>
      </c>
      <c r="G180" s="62">
        <v>20.991499999999998</v>
      </c>
      <c r="M180" s="63"/>
    </row>
    <row r="181" spans="1:76">
      <c r="A181" s="1" t="s">
        <v>368</v>
      </c>
      <c r="B181" s="2" t="s">
        <v>4</v>
      </c>
      <c r="C181" s="2" t="s">
        <v>369</v>
      </c>
      <c r="D181" s="549" t="s">
        <v>370</v>
      </c>
      <c r="E181" s="546"/>
      <c r="F181" s="2" t="s">
        <v>157</v>
      </c>
      <c r="G181" s="55">
        <v>810.79610000000002</v>
      </c>
      <c r="H181" s="56">
        <v>0</v>
      </c>
      <c r="I181" s="55">
        <f>G181*H181</f>
        <v>0</v>
      </c>
      <c r="J181" s="55">
        <v>0</v>
      </c>
      <c r="K181" s="55">
        <v>3.2000000000000003E-4</v>
      </c>
      <c r="L181" s="55">
        <f>G181*K181</f>
        <v>0.25945475200000001</v>
      </c>
      <c r="M181" s="57" t="s">
        <v>122</v>
      </c>
      <c r="Z181" s="55">
        <f>IF(AQ181="5",BJ181,0)</f>
        <v>0</v>
      </c>
      <c r="AB181" s="55">
        <f>IF(AQ181="1",BH181,0)</f>
        <v>0</v>
      </c>
      <c r="AC181" s="55">
        <f>IF(AQ181="1",BI181,0)</f>
        <v>0</v>
      </c>
      <c r="AD181" s="55">
        <f>IF(AQ181="7",BH181,0)</f>
        <v>0</v>
      </c>
      <c r="AE181" s="55">
        <f>IF(AQ181="7",BI181,0)</f>
        <v>0</v>
      </c>
      <c r="AF181" s="55">
        <f>IF(AQ181="2",BH181,0)</f>
        <v>0</v>
      </c>
      <c r="AG181" s="55">
        <f>IF(AQ181="2",BI181,0)</f>
        <v>0</v>
      </c>
      <c r="AH181" s="55">
        <f>IF(AQ181="0",BJ181,0)</f>
        <v>0</v>
      </c>
      <c r="AI181" s="33" t="s">
        <v>4</v>
      </c>
      <c r="AJ181" s="55">
        <f>IF(AN181=0,I181,0)</f>
        <v>0</v>
      </c>
      <c r="AK181" s="55">
        <f>IF(AN181=12,I181,0)</f>
        <v>0</v>
      </c>
      <c r="AL181" s="55">
        <f>IF(AN181=21,I181,0)</f>
        <v>0</v>
      </c>
      <c r="AN181" s="55">
        <v>21</v>
      </c>
      <c r="AO181" s="55">
        <f>H181*0.464175856</f>
        <v>0</v>
      </c>
      <c r="AP181" s="55">
        <f>H181*(1-0.464175856)</f>
        <v>0</v>
      </c>
      <c r="AQ181" s="58" t="s">
        <v>118</v>
      </c>
      <c r="AV181" s="55">
        <f>AW181+AX181</f>
        <v>0</v>
      </c>
      <c r="AW181" s="55">
        <f>G181*AO181</f>
        <v>0</v>
      </c>
      <c r="AX181" s="55">
        <f>G181*AP181</f>
        <v>0</v>
      </c>
      <c r="AY181" s="58" t="s">
        <v>278</v>
      </c>
      <c r="AZ181" s="58" t="s">
        <v>279</v>
      </c>
      <c r="BA181" s="33" t="s">
        <v>125</v>
      </c>
      <c r="BB181" s="59">
        <v>100027</v>
      </c>
      <c r="BC181" s="55">
        <f>AW181+AX181</f>
        <v>0</v>
      </c>
      <c r="BD181" s="55">
        <f>H181/(100-BE181)*100</f>
        <v>0</v>
      </c>
      <c r="BE181" s="55">
        <v>0</v>
      </c>
      <c r="BF181" s="55">
        <f>L181</f>
        <v>0.25945475200000001</v>
      </c>
      <c r="BH181" s="55">
        <f>G181*AO181</f>
        <v>0</v>
      </c>
      <c r="BI181" s="55">
        <f>G181*AP181</f>
        <v>0</v>
      </c>
      <c r="BJ181" s="55">
        <f>G181*H181</f>
        <v>0</v>
      </c>
      <c r="BK181" s="55"/>
      <c r="BL181" s="55">
        <v>60</v>
      </c>
      <c r="BW181" s="55">
        <v>21</v>
      </c>
      <c r="BX181" s="3" t="s">
        <v>370</v>
      </c>
    </row>
    <row r="182" spans="1:76">
      <c r="A182" s="60"/>
      <c r="D182" s="61" t="s">
        <v>281</v>
      </c>
      <c r="E182" s="61" t="s">
        <v>336</v>
      </c>
      <c r="G182" s="62">
        <v>-3.516</v>
      </c>
      <c r="M182" s="63"/>
    </row>
    <row r="183" spans="1:76">
      <c r="A183" s="60"/>
      <c r="D183" s="61" t="s">
        <v>371</v>
      </c>
      <c r="E183" s="61" t="s">
        <v>284</v>
      </c>
      <c r="G183" s="62">
        <v>38.256999999999998</v>
      </c>
      <c r="M183" s="63"/>
    </row>
    <row r="184" spans="1:76">
      <c r="A184" s="60"/>
      <c r="D184" s="61" t="s">
        <v>338</v>
      </c>
      <c r="E184" s="61" t="s">
        <v>339</v>
      </c>
      <c r="G184" s="62">
        <v>15.303000000000001</v>
      </c>
      <c r="M184" s="63"/>
    </row>
    <row r="185" spans="1:76">
      <c r="A185" s="60"/>
      <c r="D185" s="61" t="s">
        <v>340</v>
      </c>
      <c r="E185" s="61" t="s">
        <v>341</v>
      </c>
      <c r="G185" s="62">
        <v>14.125</v>
      </c>
      <c r="M185" s="63"/>
    </row>
    <row r="186" spans="1:76">
      <c r="A186" s="60"/>
      <c r="D186" s="61" t="s">
        <v>342</v>
      </c>
      <c r="E186" s="61" t="s">
        <v>343</v>
      </c>
      <c r="G186" s="62">
        <v>22.076499999999999</v>
      </c>
      <c r="M186" s="63"/>
    </row>
    <row r="187" spans="1:76">
      <c r="A187" s="60"/>
      <c r="D187" s="61" t="s">
        <v>159</v>
      </c>
      <c r="E187" s="61" t="s">
        <v>372</v>
      </c>
      <c r="G187" s="62">
        <v>12.2776</v>
      </c>
      <c r="M187" s="63"/>
    </row>
    <row r="188" spans="1:76">
      <c r="A188" s="60"/>
      <c r="D188" s="61" t="s">
        <v>344</v>
      </c>
      <c r="E188" s="61" t="s">
        <v>345</v>
      </c>
      <c r="G188" s="62">
        <v>12.923</v>
      </c>
      <c r="M188" s="63"/>
    </row>
    <row r="189" spans="1:76">
      <c r="A189" s="60"/>
      <c r="D189" s="61" t="s">
        <v>285</v>
      </c>
      <c r="E189" s="61" t="s">
        <v>286</v>
      </c>
      <c r="G189" s="62">
        <v>8.4</v>
      </c>
      <c r="M189" s="63"/>
    </row>
    <row r="190" spans="1:76">
      <c r="A190" s="60"/>
      <c r="D190" s="61" t="s">
        <v>346</v>
      </c>
      <c r="E190" s="61" t="s">
        <v>288</v>
      </c>
      <c r="G190" s="62">
        <v>8.0555000000000003</v>
      </c>
      <c r="M190" s="63"/>
    </row>
    <row r="191" spans="1:76">
      <c r="A191" s="60"/>
      <c r="D191" s="61" t="s">
        <v>347</v>
      </c>
      <c r="E191" s="61" t="s">
        <v>348</v>
      </c>
      <c r="G191" s="62">
        <v>12.074999999999999</v>
      </c>
      <c r="M191" s="63"/>
    </row>
    <row r="192" spans="1:76">
      <c r="A192" s="60"/>
      <c r="D192" s="61" t="s">
        <v>349</v>
      </c>
      <c r="E192" s="61" t="s">
        <v>243</v>
      </c>
      <c r="G192" s="62">
        <v>12.7905</v>
      </c>
      <c r="M192" s="63"/>
    </row>
    <row r="193" spans="1:13">
      <c r="A193" s="60"/>
      <c r="D193" s="61" t="s">
        <v>291</v>
      </c>
      <c r="E193" s="61" t="s">
        <v>292</v>
      </c>
      <c r="G193" s="62">
        <v>7.87</v>
      </c>
      <c r="M193" s="63"/>
    </row>
    <row r="194" spans="1:13">
      <c r="A194" s="60"/>
      <c r="D194" s="61" t="s">
        <v>347</v>
      </c>
      <c r="E194" s="61" t="s">
        <v>244</v>
      </c>
      <c r="G194" s="62">
        <v>12.074999999999999</v>
      </c>
      <c r="M194" s="63"/>
    </row>
    <row r="195" spans="1:13">
      <c r="A195" s="60"/>
      <c r="D195" s="61" t="s">
        <v>293</v>
      </c>
      <c r="E195" s="61" t="s">
        <v>294</v>
      </c>
      <c r="G195" s="62">
        <v>9.9105000000000008</v>
      </c>
      <c r="M195" s="63"/>
    </row>
    <row r="196" spans="1:13">
      <c r="A196" s="60"/>
      <c r="D196" s="61" t="s">
        <v>352</v>
      </c>
      <c r="E196" s="61" t="s">
        <v>227</v>
      </c>
      <c r="G196" s="62">
        <v>11.227</v>
      </c>
      <c r="M196" s="63"/>
    </row>
    <row r="197" spans="1:13">
      <c r="A197" s="60"/>
      <c r="D197" s="61" t="s">
        <v>295</v>
      </c>
      <c r="E197" s="61" t="s">
        <v>296</v>
      </c>
      <c r="G197" s="62">
        <v>21.994499999999999</v>
      </c>
      <c r="M197" s="63"/>
    </row>
    <row r="198" spans="1:13">
      <c r="A198" s="60"/>
      <c r="D198" s="61" t="s">
        <v>353</v>
      </c>
      <c r="E198" s="61" t="s">
        <v>354</v>
      </c>
      <c r="G198" s="62">
        <v>11.9955</v>
      </c>
      <c r="M198" s="63"/>
    </row>
    <row r="199" spans="1:13">
      <c r="A199" s="60"/>
      <c r="D199" s="61" t="s">
        <v>297</v>
      </c>
      <c r="E199" s="61" t="s">
        <v>298</v>
      </c>
      <c r="G199" s="62">
        <v>21.6235</v>
      </c>
      <c r="M199" s="63"/>
    </row>
    <row r="200" spans="1:13">
      <c r="A200" s="60"/>
      <c r="D200" s="61" t="s">
        <v>299</v>
      </c>
      <c r="E200" s="61" t="s">
        <v>300</v>
      </c>
      <c r="G200" s="62">
        <v>16.5535</v>
      </c>
      <c r="M200" s="63"/>
    </row>
    <row r="201" spans="1:13">
      <c r="A201" s="60"/>
      <c r="D201" s="61" t="s">
        <v>355</v>
      </c>
      <c r="E201" s="61" t="s">
        <v>356</v>
      </c>
      <c r="G201" s="62">
        <v>14.4955</v>
      </c>
      <c r="M201" s="63"/>
    </row>
    <row r="202" spans="1:13">
      <c r="A202" s="60"/>
      <c r="D202" s="61" t="s">
        <v>301</v>
      </c>
      <c r="E202" s="61" t="s">
        <v>302</v>
      </c>
      <c r="G202" s="62">
        <v>13.981999999999999</v>
      </c>
      <c r="M202" s="63"/>
    </row>
    <row r="203" spans="1:13">
      <c r="A203" s="60"/>
      <c r="D203" s="61" t="s">
        <v>305</v>
      </c>
      <c r="E203" s="61" t="s">
        <v>306</v>
      </c>
      <c r="G203" s="62">
        <v>40.530500000000004</v>
      </c>
      <c r="M203" s="63"/>
    </row>
    <row r="204" spans="1:13">
      <c r="A204" s="60"/>
      <c r="D204" s="61" t="s">
        <v>357</v>
      </c>
      <c r="E204" s="61" t="s">
        <v>373</v>
      </c>
      <c r="G204" s="62">
        <v>13.541499999999999</v>
      </c>
      <c r="M204" s="63"/>
    </row>
    <row r="205" spans="1:13">
      <c r="A205" s="60"/>
      <c r="D205" s="61" t="s">
        <v>307</v>
      </c>
      <c r="E205" s="61" t="s">
        <v>308</v>
      </c>
      <c r="G205" s="62">
        <v>23.050999999999998</v>
      </c>
      <c r="M205" s="63"/>
    </row>
    <row r="206" spans="1:13">
      <c r="A206" s="60"/>
      <c r="D206" s="61" t="s">
        <v>309</v>
      </c>
      <c r="E206" s="61" t="s">
        <v>310</v>
      </c>
      <c r="G206" s="62">
        <v>207.44200000000001</v>
      </c>
      <c r="M206" s="63"/>
    </row>
    <row r="207" spans="1:13">
      <c r="A207" s="60"/>
      <c r="D207" s="61" t="s">
        <v>311</v>
      </c>
      <c r="E207" s="61" t="s">
        <v>312</v>
      </c>
      <c r="G207" s="62">
        <v>20.164000000000001</v>
      </c>
      <c r="M207" s="63"/>
    </row>
    <row r="208" spans="1:13">
      <c r="A208" s="60"/>
      <c r="D208" s="61" t="s">
        <v>359</v>
      </c>
      <c r="E208" s="61" t="s">
        <v>314</v>
      </c>
      <c r="G208" s="62">
        <v>29.962499999999999</v>
      </c>
      <c r="M208" s="63"/>
    </row>
    <row r="209" spans="1:76">
      <c r="A209" s="60"/>
      <c r="D209" s="61" t="s">
        <v>315</v>
      </c>
      <c r="E209" s="61" t="s">
        <v>316</v>
      </c>
      <c r="G209" s="62">
        <v>21.641500000000001</v>
      </c>
      <c r="M209" s="63"/>
    </row>
    <row r="210" spans="1:76">
      <c r="A210" s="60"/>
      <c r="D210" s="61" t="s">
        <v>317</v>
      </c>
      <c r="E210" s="61" t="s">
        <v>318</v>
      </c>
      <c r="G210" s="62">
        <v>13.188499999999999</v>
      </c>
      <c r="M210" s="63"/>
    </row>
    <row r="211" spans="1:76">
      <c r="A211" s="60"/>
      <c r="D211" s="61" t="s">
        <v>319</v>
      </c>
      <c r="E211" s="61" t="s">
        <v>320</v>
      </c>
      <c r="G211" s="62">
        <v>11.7095</v>
      </c>
      <c r="M211" s="63"/>
    </row>
    <row r="212" spans="1:76">
      <c r="A212" s="60"/>
      <c r="D212" s="61" t="s">
        <v>360</v>
      </c>
      <c r="E212" s="61" t="s">
        <v>361</v>
      </c>
      <c r="G212" s="62">
        <v>12.932</v>
      </c>
      <c r="M212" s="63"/>
    </row>
    <row r="213" spans="1:76">
      <c r="A213" s="60"/>
      <c r="D213" s="61" t="s">
        <v>321</v>
      </c>
      <c r="E213" s="61" t="s">
        <v>322</v>
      </c>
      <c r="G213" s="62">
        <v>20.312999999999999</v>
      </c>
      <c r="M213" s="63"/>
    </row>
    <row r="214" spans="1:76">
      <c r="A214" s="60"/>
      <c r="D214" s="61" t="s">
        <v>323</v>
      </c>
      <c r="E214" s="61" t="s">
        <v>324</v>
      </c>
      <c r="G214" s="62">
        <v>21.119</v>
      </c>
      <c r="M214" s="63"/>
    </row>
    <row r="215" spans="1:76">
      <c r="A215" s="60"/>
      <c r="D215" s="61" t="s">
        <v>325</v>
      </c>
      <c r="E215" s="61" t="s">
        <v>326</v>
      </c>
      <c r="G215" s="62">
        <v>20.991499999999998</v>
      </c>
      <c r="M215" s="63"/>
    </row>
    <row r="216" spans="1:76">
      <c r="A216" s="60"/>
      <c r="D216" s="61" t="s">
        <v>327</v>
      </c>
      <c r="E216" s="61" t="s">
        <v>328</v>
      </c>
      <c r="G216" s="62">
        <v>37.616500000000002</v>
      </c>
      <c r="M216" s="63"/>
    </row>
    <row r="217" spans="1:76">
      <c r="A217" s="60"/>
      <c r="D217" s="61" t="s">
        <v>329</v>
      </c>
      <c r="E217" s="61" t="s">
        <v>330</v>
      </c>
      <c r="G217" s="62">
        <v>22.099</v>
      </c>
      <c r="M217" s="63"/>
    </row>
    <row r="218" spans="1:76" ht="38.25">
      <c r="A218" s="60"/>
      <c r="C218" s="64" t="s">
        <v>127</v>
      </c>
      <c r="D218" s="618" t="s">
        <v>374</v>
      </c>
      <c r="E218" s="619"/>
      <c r="F218" s="619"/>
      <c r="G218" s="619"/>
      <c r="H218" s="620"/>
      <c r="I218" s="619"/>
      <c r="J218" s="619"/>
      <c r="K218" s="619"/>
      <c r="L218" s="619"/>
      <c r="M218" s="621"/>
      <c r="BX218" s="65" t="s">
        <v>374</v>
      </c>
    </row>
    <row r="219" spans="1:76">
      <c r="A219" s="1" t="s">
        <v>375</v>
      </c>
      <c r="B219" s="2" t="s">
        <v>4</v>
      </c>
      <c r="C219" s="2" t="s">
        <v>376</v>
      </c>
      <c r="D219" s="549" t="s">
        <v>377</v>
      </c>
      <c r="E219" s="546"/>
      <c r="F219" s="2" t="s">
        <v>157</v>
      </c>
      <c r="G219" s="55">
        <v>601.42200000000003</v>
      </c>
      <c r="H219" s="56">
        <v>0</v>
      </c>
      <c r="I219" s="55">
        <f>G219*H219</f>
        <v>0</v>
      </c>
      <c r="J219" s="55">
        <v>0</v>
      </c>
      <c r="K219" s="55">
        <v>5.1399999999999996E-3</v>
      </c>
      <c r="L219" s="55">
        <f>G219*K219</f>
        <v>3.0913090799999998</v>
      </c>
      <c r="M219" s="57" t="s">
        <v>122</v>
      </c>
      <c r="Z219" s="55">
        <f>IF(AQ219="5",BJ219,0)</f>
        <v>0</v>
      </c>
      <c r="AB219" s="55">
        <f>IF(AQ219="1",BH219,0)</f>
        <v>0</v>
      </c>
      <c r="AC219" s="55">
        <f>IF(AQ219="1",BI219,0)</f>
        <v>0</v>
      </c>
      <c r="AD219" s="55">
        <f>IF(AQ219="7",BH219,0)</f>
        <v>0</v>
      </c>
      <c r="AE219" s="55">
        <f>IF(AQ219="7",BI219,0)</f>
        <v>0</v>
      </c>
      <c r="AF219" s="55">
        <f>IF(AQ219="2",BH219,0)</f>
        <v>0</v>
      </c>
      <c r="AG219" s="55">
        <f>IF(AQ219="2",BI219,0)</f>
        <v>0</v>
      </c>
      <c r="AH219" s="55">
        <f>IF(AQ219="0",BJ219,0)</f>
        <v>0</v>
      </c>
      <c r="AI219" s="33" t="s">
        <v>4</v>
      </c>
      <c r="AJ219" s="55">
        <f>IF(AN219=0,I219,0)</f>
        <v>0</v>
      </c>
      <c r="AK219" s="55">
        <f>IF(AN219=12,I219,0)</f>
        <v>0</v>
      </c>
      <c r="AL219" s="55">
        <f>IF(AN219=21,I219,0)</f>
        <v>0</v>
      </c>
      <c r="AN219" s="55">
        <v>21</v>
      </c>
      <c r="AO219" s="55">
        <f>H219*0.204708991</f>
        <v>0</v>
      </c>
      <c r="AP219" s="55">
        <f>H219*(1-0.204708991)</f>
        <v>0</v>
      </c>
      <c r="AQ219" s="58" t="s">
        <v>118</v>
      </c>
      <c r="AV219" s="55">
        <f>AW219+AX219</f>
        <v>0</v>
      </c>
      <c r="AW219" s="55">
        <f>G219*AO219</f>
        <v>0</v>
      </c>
      <c r="AX219" s="55">
        <f>G219*AP219</f>
        <v>0</v>
      </c>
      <c r="AY219" s="58" t="s">
        <v>278</v>
      </c>
      <c r="AZ219" s="58" t="s">
        <v>279</v>
      </c>
      <c r="BA219" s="33" t="s">
        <v>125</v>
      </c>
      <c r="BB219" s="59">
        <v>100027</v>
      </c>
      <c r="BC219" s="55">
        <f>AW219+AX219</f>
        <v>0</v>
      </c>
      <c r="BD219" s="55">
        <f>H219/(100-BE219)*100</f>
        <v>0</v>
      </c>
      <c r="BE219" s="55">
        <v>0</v>
      </c>
      <c r="BF219" s="55">
        <f>L219</f>
        <v>3.0913090799999998</v>
      </c>
      <c r="BH219" s="55">
        <f>G219*AO219</f>
        <v>0</v>
      </c>
      <c r="BI219" s="55">
        <f>G219*AP219</f>
        <v>0</v>
      </c>
      <c r="BJ219" s="55">
        <f>G219*H219</f>
        <v>0</v>
      </c>
      <c r="BK219" s="55"/>
      <c r="BL219" s="55">
        <v>60</v>
      </c>
      <c r="BW219" s="55">
        <v>21</v>
      </c>
      <c r="BX219" s="3" t="s">
        <v>377</v>
      </c>
    </row>
    <row r="220" spans="1:76" ht="13.5" customHeight="1">
      <c r="A220" s="60"/>
      <c r="D220" s="634" t="s">
        <v>378</v>
      </c>
      <c r="E220" s="635"/>
      <c r="F220" s="635"/>
      <c r="G220" s="635"/>
      <c r="H220" s="636"/>
      <c r="I220" s="635"/>
      <c r="J220" s="635"/>
      <c r="K220" s="635"/>
      <c r="L220" s="635"/>
      <c r="M220" s="637"/>
    </row>
    <row r="221" spans="1:76">
      <c r="A221" s="60"/>
      <c r="D221" s="61" t="s">
        <v>281</v>
      </c>
      <c r="E221" s="61" t="s">
        <v>336</v>
      </c>
      <c r="G221" s="62">
        <v>-3.516</v>
      </c>
      <c r="M221" s="63"/>
    </row>
    <row r="222" spans="1:76">
      <c r="A222" s="60"/>
      <c r="D222" s="61" t="s">
        <v>379</v>
      </c>
      <c r="E222" s="61" t="s">
        <v>284</v>
      </c>
      <c r="G222" s="62">
        <v>23.505500000000001</v>
      </c>
      <c r="M222" s="63"/>
    </row>
    <row r="223" spans="1:76">
      <c r="A223" s="60"/>
      <c r="D223" s="61" t="s">
        <v>380</v>
      </c>
      <c r="E223" s="61" t="s">
        <v>381</v>
      </c>
      <c r="G223" s="62">
        <v>-1.44</v>
      </c>
      <c r="M223" s="63"/>
    </row>
    <row r="224" spans="1:76">
      <c r="A224" s="60"/>
      <c r="D224" s="61" t="s">
        <v>382</v>
      </c>
      <c r="E224" s="61" t="s">
        <v>383</v>
      </c>
      <c r="G224" s="62">
        <v>6.3525</v>
      </c>
      <c r="M224" s="63"/>
    </row>
    <row r="225" spans="1:13">
      <c r="A225" s="60"/>
      <c r="D225" s="61" t="s">
        <v>344</v>
      </c>
      <c r="E225" s="61" t="s">
        <v>345</v>
      </c>
      <c r="G225" s="62">
        <v>12.923</v>
      </c>
      <c r="M225" s="63"/>
    </row>
    <row r="226" spans="1:13">
      <c r="A226" s="60"/>
      <c r="D226" s="61" t="s">
        <v>285</v>
      </c>
      <c r="E226" s="61" t="s">
        <v>286</v>
      </c>
      <c r="G226" s="62">
        <v>8.4</v>
      </c>
      <c r="M226" s="63"/>
    </row>
    <row r="227" spans="1:13">
      <c r="A227" s="60"/>
      <c r="D227" s="61" t="s">
        <v>346</v>
      </c>
      <c r="E227" s="61" t="s">
        <v>288</v>
      </c>
      <c r="G227" s="62">
        <v>8.0555000000000003</v>
      </c>
      <c r="M227" s="63"/>
    </row>
    <row r="228" spans="1:13">
      <c r="A228" s="60"/>
      <c r="D228" s="61" t="s">
        <v>347</v>
      </c>
      <c r="E228" s="61" t="s">
        <v>348</v>
      </c>
      <c r="G228" s="62">
        <v>12.074999999999999</v>
      </c>
      <c r="M228" s="63"/>
    </row>
    <row r="229" spans="1:13">
      <c r="A229" s="60"/>
      <c r="D229" s="61" t="s">
        <v>349</v>
      </c>
      <c r="E229" s="61" t="s">
        <v>243</v>
      </c>
      <c r="G229" s="62">
        <v>12.7905</v>
      </c>
      <c r="M229" s="63"/>
    </row>
    <row r="230" spans="1:13">
      <c r="A230" s="60"/>
      <c r="D230" s="61" t="s">
        <v>291</v>
      </c>
      <c r="E230" s="61" t="s">
        <v>292</v>
      </c>
      <c r="G230" s="62">
        <v>7.87</v>
      </c>
      <c r="M230" s="63"/>
    </row>
    <row r="231" spans="1:13">
      <c r="A231" s="60"/>
      <c r="D231" s="61" t="s">
        <v>347</v>
      </c>
      <c r="E231" s="61" t="s">
        <v>244</v>
      </c>
      <c r="G231" s="62">
        <v>12.074999999999999</v>
      </c>
      <c r="M231" s="63"/>
    </row>
    <row r="232" spans="1:13">
      <c r="A232" s="60"/>
      <c r="D232" s="61" t="s">
        <v>293</v>
      </c>
      <c r="E232" s="61" t="s">
        <v>294</v>
      </c>
      <c r="G232" s="62">
        <v>9.9105000000000008</v>
      </c>
      <c r="M232" s="63"/>
    </row>
    <row r="233" spans="1:13">
      <c r="A233" s="60"/>
      <c r="D233" s="61" t="s">
        <v>352</v>
      </c>
      <c r="E233" s="61" t="s">
        <v>227</v>
      </c>
      <c r="G233" s="62">
        <v>11.227</v>
      </c>
      <c r="M233" s="63"/>
    </row>
    <row r="234" spans="1:13">
      <c r="A234" s="60"/>
      <c r="D234" s="61" t="s">
        <v>295</v>
      </c>
      <c r="E234" s="61" t="s">
        <v>296</v>
      </c>
      <c r="G234" s="62">
        <v>21.994499999999999</v>
      </c>
      <c r="M234" s="63"/>
    </row>
    <row r="235" spans="1:13">
      <c r="A235" s="60"/>
      <c r="D235" s="61" t="s">
        <v>353</v>
      </c>
      <c r="E235" s="61" t="s">
        <v>354</v>
      </c>
      <c r="G235" s="62">
        <v>11.9955</v>
      </c>
      <c r="M235" s="63"/>
    </row>
    <row r="236" spans="1:13">
      <c r="A236" s="60"/>
      <c r="D236" s="61" t="s">
        <v>297</v>
      </c>
      <c r="E236" s="61" t="s">
        <v>298</v>
      </c>
      <c r="G236" s="62">
        <v>21.6235</v>
      </c>
      <c r="M236" s="63"/>
    </row>
    <row r="237" spans="1:13">
      <c r="A237" s="60"/>
      <c r="D237" s="61" t="s">
        <v>355</v>
      </c>
      <c r="E237" s="61" t="s">
        <v>356</v>
      </c>
      <c r="G237" s="62">
        <v>14.4955</v>
      </c>
      <c r="M237" s="63"/>
    </row>
    <row r="238" spans="1:13">
      <c r="A238" s="60"/>
      <c r="D238" s="61" t="s">
        <v>301</v>
      </c>
      <c r="E238" s="61" t="s">
        <v>302</v>
      </c>
      <c r="G238" s="62">
        <v>13.981999999999999</v>
      </c>
      <c r="M238" s="63"/>
    </row>
    <row r="239" spans="1:13">
      <c r="A239" s="60"/>
      <c r="D239" s="61" t="s">
        <v>305</v>
      </c>
      <c r="E239" s="61" t="s">
        <v>306</v>
      </c>
      <c r="G239" s="62">
        <v>40.530500000000004</v>
      </c>
      <c r="M239" s="63"/>
    </row>
    <row r="240" spans="1:13">
      <c r="A240" s="60"/>
      <c r="D240" s="61" t="s">
        <v>357</v>
      </c>
      <c r="E240" s="61" t="s">
        <v>373</v>
      </c>
      <c r="G240" s="62">
        <v>13.541499999999999</v>
      </c>
      <c r="M240" s="63"/>
    </row>
    <row r="241" spans="1:76">
      <c r="A241" s="60"/>
      <c r="D241" s="61" t="s">
        <v>309</v>
      </c>
      <c r="E241" s="61" t="s">
        <v>310</v>
      </c>
      <c r="G241" s="62">
        <v>207.44200000000001</v>
      </c>
      <c r="M241" s="63"/>
    </row>
    <row r="242" spans="1:76">
      <c r="A242" s="60"/>
      <c r="D242" s="61" t="s">
        <v>384</v>
      </c>
      <c r="E242" s="61" t="s">
        <v>312</v>
      </c>
      <c r="G242" s="62">
        <v>1.302</v>
      </c>
      <c r="M242" s="63"/>
    </row>
    <row r="243" spans="1:76">
      <c r="A243" s="60"/>
      <c r="D243" s="61" t="s">
        <v>385</v>
      </c>
      <c r="E243" s="61" t="s">
        <v>314</v>
      </c>
      <c r="G243" s="62">
        <v>22.732500000000002</v>
      </c>
      <c r="M243" s="63"/>
    </row>
    <row r="244" spans="1:76">
      <c r="A244" s="60"/>
      <c r="D244" s="61" t="s">
        <v>315</v>
      </c>
      <c r="E244" s="61" t="s">
        <v>316</v>
      </c>
      <c r="G244" s="62">
        <v>21.641500000000001</v>
      </c>
      <c r="M244" s="63"/>
    </row>
    <row r="245" spans="1:76">
      <c r="A245" s="60"/>
      <c r="D245" s="61" t="s">
        <v>360</v>
      </c>
      <c r="E245" s="61" t="s">
        <v>361</v>
      </c>
      <c r="G245" s="62">
        <v>12.932</v>
      </c>
      <c r="M245" s="63"/>
    </row>
    <row r="246" spans="1:76">
      <c r="A246" s="60"/>
      <c r="D246" s="61" t="s">
        <v>321</v>
      </c>
      <c r="E246" s="61" t="s">
        <v>322</v>
      </c>
      <c r="G246" s="62">
        <v>20.312999999999999</v>
      </c>
      <c r="M246" s="63"/>
    </row>
    <row r="247" spans="1:76">
      <c r="A247" s="60"/>
      <c r="D247" s="61" t="s">
        <v>327</v>
      </c>
      <c r="E247" s="61" t="s">
        <v>328</v>
      </c>
      <c r="G247" s="62">
        <v>37.616500000000002</v>
      </c>
      <c r="M247" s="63"/>
    </row>
    <row r="248" spans="1:76">
      <c r="A248" s="60"/>
      <c r="D248" s="61" t="s">
        <v>329</v>
      </c>
      <c r="E248" s="61" t="s">
        <v>330</v>
      </c>
      <c r="G248" s="62">
        <v>22.099</v>
      </c>
      <c r="M248" s="63"/>
    </row>
    <row r="249" spans="1:76">
      <c r="A249" s="60"/>
      <c r="D249" s="61" t="s">
        <v>386</v>
      </c>
      <c r="E249" s="61" t="s">
        <v>387</v>
      </c>
      <c r="G249" s="62">
        <v>-3.048</v>
      </c>
      <c r="M249" s="63"/>
    </row>
    <row r="250" spans="1:76" ht="76.5">
      <c r="A250" s="60"/>
      <c r="C250" s="64" t="s">
        <v>127</v>
      </c>
      <c r="D250" s="618" t="s">
        <v>388</v>
      </c>
      <c r="E250" s="619"/>
      <c r="F250" s="619"/>
      <c r="G250" s="619"/>
      <c r="H250" s="620"/>
      <c r="I250" s="619"/>
      <c r="J250" s="619"/>
      <c r="K250" s="619"/>
      <c r="L250" s="619"/>
      <c r="M250" s="621"/>
      <c r="BX250" s="65" t="s">
        <v>388</v>
      </c>
    </row>
    <row r="251" spans="1:76">
      <c r="A251" s="1" t="s">
        <v>389</v>
      </c>
      <c r="B251" s="2" t="s">
        <v>4</v>
      </c>
      <c r="C251" s="2" t="s">
        <v>390</v>
      </c>
      <c r="D251" s="549" t="s">
        <v>391</v>
      </c>
      <c r="E251" s="546"/>
      <c r="F251" s="2" t="s">
        <v>157</v>
      </c>
      <c r="G251" s="55">
        <v>17.317599999999999</v>
      </c>
      <c r="H251" s="56">
        <v>0</v>
      </c>
      <c r="I251" s="55">
        <f>G251*H251</f>
        <v>0</v>
      </c>
      <c r="J251" s="55">
        <v>0</v>
      </c>
      <c r="K251" s="55">
        <v>4.1660000000000003E-2</v>
      </c>
      <c r="L251" s="55">
        <f>G251*K251</f>
        <v>0.72145121599999995</v>
      </c>
      <c r="M251" s="57" t="s">
        <v>122</v>
      </c>
      <c r="Z251" s="55">
        <f>IF(AQ251="5",BJ251,0)</f>
        <v>0</v>
      </c>
      <c r="AB251" s="55">
        <f>IF(AQ251="1",BH251,0)</f>
        <v>0</v>
      </c>
      <c r="AC251" s="55">
        <f>IF(AQ251="1",BI251,0)</f>
        <v>0</v>
      </c>
      <c r="AD251" s="55">
        <f>IF(AQ251="7",BH251,0)</f>
        <v>0</v>
      </c>
      <c r="AE251" s="55">
        <f>IF(AQ251="7",BI251,0)</f>
        <v>0</v>
      </c>
      <c r="AF251" s="55">
        <f>IF(AQ251="2",BH251,0)</f>
        <v>0</v>
      </c>
      <c r="AG251" s="55">
        <f>IF(AQ251="2",BI251,0)</f>
        <v>0</v>
      </c>
      <c r="AH251" s="55">
        <f>IF(AQ251="0",BJ251,0)</f>
        <v>0</v>
      </c>
      <c r="AI251" s="33" t="s">
        <v>4</v>
      </c>
      <c r="AJ251" s="55">
        <f>IF(AN251=0,I251,0)</f>
        <v>0</v>
      </c>
      <c r="AK251" s="55">
        <f>IF(AN251=12,I251,0)</f>
        <v>0</v>
      </c>
      <c r="AL251" s="55">
        <f>IF(AN251=21,I251,0)</f>
        <v>0</v>
      </c>
      <c r="AN251" s="55">
        <v>21</v>
      </c>
      <c r="AO251" s="55">
        <f>H251*0.48260437</f>
        <v>0</v>
      </c>
      <c r="AP251" s="55">
        <f>H251*(1-0.48260437)</f>
        <v>0</v>
      </c>
      <c r="AQ251" s="58" t="s">
        <v>118</v>
      </c>
      <c r="AV251" s="55">
        <f>AW251+AX251</f>
        <v>0</v>
      </c>
      <c r="AW251" s="55">
        <f>G251*AO251</f>
        <v>0</v>
      </c>
      <c r="AX251" s="55">
        <f>G251*AP251</f>
        <v>0</v>
      </c>
      <c r="AY251" s="58" t="s">
        <v>278</v>
      </c>
      <c r="AZ251" s="58" t="s">
        <v>279</v>
      </c>
      <c r="BA251" s="33" t="s">
        <v>125</v>
      </c>
      <c r="BB251" s="59">
        <v>100027</v>
      </c>
      <c r="BC251" s="55">
        <f>AW251+AX251</f>
        <v>0</v>
      </c>
      <c r="BD251" s="55">
        <f>H251/(100-BE251)*100</f>
        <v>0</v>
      </c>
      <c r="BE251" s="55">
        <v>0</v>
      </c>
      <c r="BF251" s="55">
        <f>L251</f>
        <v>0.72145121599999995</v>
      </c>
      <c r="BH251" s="55">
        <f>G251*AO251</f>
        <v>0</v>
      </c>
      <c r="BI251" s="55">
        <f>G251*AP251</f>
        <v>0</v>
      </c>
      <c r="BJ251" s="55">
        <f>G251*H251</f>
        <v>0</v>
      </c>
      <c r="BK251" s="55"/>
      <c r="BL251" s="55">
        <v>60</v>
      </c>
      <c r="BW251" s="55">
        <v>21</v>
      </c>
      <c r="BX251" s="3" t="s">
        <v>391</v>
      </c>
    </row>
    <row r="252" spans="1:76" ht="13.5" customHeight="1">
      <c r="A252" s="60"/>
      <c r="D252" s="634" t="s">
        <v>392</v>
      </c>
      <c r="E252" s="635"/>
      <c r="F252" s="635"/>
      <c r="G252" s="635"/>
      <c r="H252" s="636"/>
      <c r="I252" s="635"/>
      <c r="J252" s="635"/>
      <c r="K252" s="635"/>
      <c r="L252" s="635"/>
      <c r="M252" s="637"/>
    </row>
    <row r="253" spans="1:76">
      <c r="A253" s="60"/>
      <c r="D253" s="61" t="s">
        <v>393</v>
      </c>
      <c r="E253" s="61" t="s">
        <v>372</v>
      </c>
      <c r="G253" s="62">
        <v>17.317599999999999</v>
      </c>
      <c r="M253" s="63"/>
    </row>
    <row r="254" spans="1:76" ht="51">
      <c r="A254" s="60"/>
      <c r="C254" s="64" t="s">
        <v>127</v>
      </c>
      <c r="D254" s="618" t="s">
        <v>362</v>
      </c>
      <c r="E254" s="619"/>
      <c r="F254" s="619"/>
      <c r="G254" s="619"/>
      <c r="H254" s="620"/>
      <c r="I254" s="619"/>
      <c r="J254" s="619"/>
      <c r="K254" s="619"/>
      <c r="L254" s="619"/>
      <c r="M254" s="621"/>
      <c r="BX254" s="65" t="s">
        <v>362</v>
      </c>
    </row>
    <row r="255" spans="1:76">
      <c r="A255" s="1" t="s">
        <v>394</v>
      </c>
      <c r="B255" s="2" t="s">
        <v>4</v>
      </c>
      <c r="C255" s="2" t="s">
        <v>395</v>
      </c>
      <c r="D255" s="549" t="s">
        <v>396</v>
      </c>
      <c r="E255" s="546"/>
      <c r="F255" s="2" t="s">
        <v>157</v>
      </c>
      <c r="G255" s="55">
        <v>17.317599999999999</v>
      </c>
      <c r="H255" s="56">
        <v>0</v>
      </c>
      <c r="I255" s="55">
        <f>G255*H255</f>
        <v>0</v>
      </c>
      <c r="J255" s="55">
        <v>0</v>
      </c>
      <c r="K255" s="55">
        <v>9.3600000000000003E-3</v>
      </c>
      <c r="L255" s="55">
        <f>G255*K255</f>
        <v>0.16209273599999999</v>
      </c>
      <c r="M255" s="57" t="s">
        <v>122</v>
      </c>
      <c r="Z255" s="55">
        <f>IF(AQ255="5",BJ255,0)</f>
        <v>0</v>
      </c>
      <c r="AB255" s="55">
        <f>IF(AQ255="1",BH255,0)</f>
        <v>0</v>
      </c>
      <c r="AC255" s="55">
        <f>IF(AQ255="1",BI255,0)</f>
        <v>0</v>
      </c>
      <c r="AD255" s="55">
        <f>IF(AQ255="7",BH255,0)</f>
        <v>0</v>
      </c>
      <c r="AE255" s="55">
        <f>IF(AQ255="7",BI255,0)</f>
        <v>0</v>
      </c>
      <c r="AF255" s="55">
        <f>IF(AQ255="2",BH255,0)</f>
        <v>0</v>
      </c>
      <c r="AG255" s="55">
        <f>IF(AQ255="2",BI255,0)</f>
        <v>0</v>
      </c>
      <c r="AH255" s="55">
        <f>IF(AQ255="0",BJ255,0)</f>
        <v>0</v>
      </c>
      <c r="AI255" s="33" t="s">
        <v>4</v>
      </c>
      <c r="AJ255" s="55">
        <f>IF(AN255=0,I255,0)</f>
        <v>0</v>
      </c>
      <c r="AK255" s="55">
        <f>IF(AN255=12,I255,0)</f>
        <v>0</v>
      </c>
      <c r="AL255" s="55">
        <f>IF(AN255=21,I255,0)</f>
        <v>0</v>
      </c>
      <c r="AN255" s="55">
        <v>21</v>
      </c>
      <c r="AO255" s="55">
        <f>H255*0.207674572</f>
        <v>0</v>
      </c>
      <c r="AP255" s="55">
        <f>H255*(1-0.207674572)</f>
        <v>0</v>
      </c>
      <c r="AQ255" s="58" t="s">
        <v>118</v>
      </c>
      <c r="AV255" s="55">
        <f>AW255+AX255</f>
        <v>0</v>
      </c>
      <c r="AW255" s="55">
        <f>G255*AO255</f>
        <v>0</v>
      </c>
      <c r="AX255" s="55">
        <f>G255*AP255</f>
        <v>0</v>
      </c>
      <c r="AY255" s="58" t="s">
        <v>278</v>
      </c>
      <c r="AZ255" s="58" t="s">
        <v>279</v>
      </c>
      <c r="BA255" s="33" t="s">
        <v>125</v>
      </c>
      <c r="BB255" s="59">
        <v>100027</v>
      </c>
      <c r="BC255" s="55">
        <f>AW255+AX255</f>
        <v>0</v>
      </c>
      <c r="BD255" s="55">
        <f>H255/(100-BE255)*100</f>
        <v>0</v>
      </c>
      <c r="BE255" s="55">
        <v>0</v>
      </c>
      <c r="BF255" s="55">
        <f>L255</f>
        <v>0.16209273599999999</v>
      </c>
      <c r="BH255" s="55">
        <f>G255*AO255</f>
        <v>0</v>
      </c>
      <c r="BI255" s="55">
        <f>G255*AP255</f>
        <v>0</v>
      </c>
      <c r="BJ255" s="55">
        <f>G255*H255</f>
        <v>0</v>
      </c>
      <c r="BK255" s="55"/>
      <c r="BL255" s="55">
        <v>60</v>
      </c>
      <c r="BW255" s="55">
        <v>21</v>
      </c>
      <c r="BX255" s="3" t="s">
        <v>396</v>
      </c>
    </row>
    <row r="256" spans="1:76">
      <c r="A256" s="60"/>
      <c r="D256" s="61" t="s">
        <v>393</v>
      </c>
      <c r="E256" s="61" t="s">
        <v>372</v>
      </c>
      <c r="G256" s="62">
        <v>17.317599999999999</v>
      </c>
      <c r="M256" s="63"/>
    </row>
    <row r="257" spans="1:76" ht="51">
      <c r="A257" s="60"/>
      <c r="C257" s="64" t="s">
        <v>127</v>
      </c>
      <c r="D257" s="618" t="s">
        <v>397</v>
      </c>
      <c r="E257" s="619"/>
      <c r="F257" s="619"/>
      <c r="G257" s="619"/>
      <c r="H257" s="620"/>
      <c r="I257" s="619"/>
      <c r="J257" s="619"/>
      <c r="K257" s="619"/>
      <c r="L257" s="619"/>
      <c r="M257" s="621"/>
      <c r="BX257" s="65" t="s">
        <v>397</v>
      </c>
    </row>
    <row r="258" spans="1:76">
      <c r="A258" s="50" t="s">
        <v>4</v>
      </c>
      <c r="B258" s="51" t="s">
        <v>4</v>
      </c>
      <c r="C258" s="51" t="s">
        <v>398</v>
      </c>
      <c r="D258" s="625" t="s">
        <v>399</v>
      </c>
      <c r="E258" s="626"/>
      <c r="F258" s="52" t="s">
        <v>79</v>
      </c>
      <c r="G258" s="52" t="s">
        <v>79</v>
      </c>
      <c r="H258" s="53" t="s">
        <v>79</v>
      </c>
      <c r="I258" s="26">
        <f>SUM(I259:I344)</f>
        <v>0</v>
      </c>
      <c r="J258" s="33" t="s">
        <v>4</v>
      </c>
      <c r="K258" s="33" t="s">
        <v>4</v>
      </c>
      <c r="L258" s="26">
        <f>SUM(L259:L344)</f>
        <v>14.510315952000001</v>
      </c>
      <c r="M258" s="54" t="s">
        <v>4</v>
      </c>
      <c r="AI258" s="33" t="s">
        <v>4</v>
      </c>
      <c r="AS258" s="26">
        <f>SUM(AJ259:AJ344)</f>
        <v>0</v>
      </c>
      <c r="AT258" s="26">
        <f>SUM(AK259:AK344)</f>
        <v>0</v>
      </c>
      <c r="AU258" s="26">
        <f>SUM(AL259:AL344)</f>
        <v>0</v>
      </c>
    </row>
    <row r="259" spans="1:76">
      <c r="A259" s="1" t="s">
        <v>400</v>
      </c>
      <c r="B259" s="2" t="s">
        <v>4</v>
      </c>
      <c r="C259" s="2" t="s">
        <v>401</v>
      </c>
      <c r="D259" s="549" t="s">
        <v>402</v>
      </c>
      <c r="E259" s="546"/>
      <c r="F259" s="2" t="s">
        <v>157</v>
      </c>
      <c r="G259" s="55">
        <v>1013.1356</v>
      </c>
      <c r="H259" s="56">
        <v>0</v>
      </c>
      <c r="I259" s="55">
        <f>G259*H259</f>
        <v>0</v>
      </c>
      <c r="J259" s="55">
        <v>0</v>
      </c>
      <c r="K259" s="55">
        <v>0</v>
      </c>
      <c r="L259" s="55">
        <f>G259*K259</f>
        <v>0</v>
      </c>
      <c r="M259" s="57" t="s">
        <v>122</v>
      </c>
      <c r="Z259" s="55">
        <f>IF(AQ259="5",BJ259,0)</f>
        <v>0</v>
      </c>
      <c r="AB259" s="55">
        <f>IF(AQ259="1",BH259,0)</f>
        <v>0</v>
      </c>
      <c r="AC259" s="55">
        <f>IF(AQ259="1",BI259,0)</f>
        <v>0</v>
      </c>
      <c r="AD259" s="55">
        <f>IF(AQ259="7",BH259,0)</f>
        <v>0</v>
      </c>
      <c r="AE259" s="55">
        <f>IF(AQ259="7",BI259,0)</f>
        <v>0</v>
      </c>
      <c r="AF259" s="55">
        <f>IF(AQ259="2",BH259,0)</f>
        <v>0</v>
      </c>
      <c r="AG259" s="55">
        <f>IF(AQ259="2",BI259,0)</f>
        <v>0</v>
      </c>
      <c r="AH259" s="55">
        <f>IF(AQ259="0",BJ259,0)</f>
        <v>0</v>
      </c>
      <c r="AI259" s="33" t="s">
        <v>4</v>
      </c>
      <c r="AJ259" s="55">
        <f>IF(AN259=0,I259,0)</f>
        <v>0</v>
      </c>
      <c r="AK259" s="55">
        <f>IF(AN259=12,I259,0)</f>
        <v>0</v>
      </c>
      <c r="AL259" s="55">
        <f>IF(AN259=21,I259,0)</f>
        <v>0</v>
      </c>
      <c r="AN259" s="55">
        <v>21</v>
      </c>
      <c r="AO259" s="55">
        <f>H259*0.012307695</f>
        <v>0</v>
      </c>
      <c r="AP259" s="55">
        <f>H259*(1-0.012307695)</f>
        <v>0</v>
      </c>
      <c r="AQ259" s="58" t="s">
        <v>118</v>
      </c>
      <c r="AV259" s="55">
        <f>AW259+AX259</f>
        <v>0</v>
      </c>
      <c r="AW259" s="55">
        <f>G259*AO259</f>
        <v>0</v>
      </c>
      <c r="AX259" s="55">
        <f>G259*AP259</f>
        <v>0</v>
      </c>
      <c r="AY259" s="58" t="s">
        <v>403</v>
      </c>
      <c r="AZ259" s="58" t="s">
        <v>279</v>
      </c>
      <c r="BA259" s="33" t="s">
        <v>125</v>
      </c>
      <c r="BB259" s="59">
        <v>100028</v>
      </c>
      <c r="BC259" s="55">
        <f>AW259+AX259</f>
        <v>0</v>
      </c>
      <c r="BD259" s="55">
        <f>H259/(100-BE259)*100</f>
        <v>0</v>
      </c>
      <c r="BE259" s="55">
        <v>0</v>
      </c>
      <c r="BF259" s="55">
        <f>L259</f>
        <v>0</v>
      </c>
      <c r="BH259" s="55">
        <f>G259*AO259</f>
        <v>0</v>
      </c>
      <c r="BI259" s="55">
        <f>G259*AP259</f>
        <v>0</v>
      </c>
      <c r="BJ259" s="55">
        <f>G259*H259</f>
        <v>0</v>
      </c>
      <c r="BK259" s="55"/>
      <c r="BL259" s="55">
        <v>61</v>
      </c>
      <c r="BW259" s="55">
        <v>21</v>
      </c>
      <c r="BX259" s="3" t="s">
        <v>402</v>
      </c>
    </row>
    <row r="260" spans="1:76">
      <c r="A260" s="60"/>
      <c r="D260" s="61" t="s">
        <v>404</v>
      </c>
      <c r="E260" s="61" t="s">
        <v>336</v>
      </c>
      <c r="G260" s="62">
        <v>-3.1520000000000001</v>
      </c>
      <c r="M260" s="63"/>
    </row>
    <row r="261" spans="1:76">
      <c r="A261" s="60"/>
      <c r="D261" s="61" t="s">
        <v>405</v>
      </c>
      <c r="E261" s="61" t="s">
        <v>406</v>
      </c>
      <c r="G261" s="62">
        <v>46.692999999999998</v>
      </c>
      <c r="M261" s="63"/>
    </row>
    <row r="262" spans="1:76">
      <c r="A262" s="60"/>
      <c r="D262" s="61" t="s">
        <v>338</v>
      </c>
      <c r="E262" s="61" t="s">
        <v>339</v>
      </c>
      <c r="G262" s="62">
        <v>15.303000000000001</v>
      </c>
      <c r="M262" s="63"/>
    </row>
    <row r="263" spans="1:76">
      <c r="A263" s="60"/>
      <c r="D263" s="61" t="s">
        <v>340</v>
      </c>
      <c r="E263" s="61" t="s">
        <v>341</v>
      </c>
      <c r="G263" s="62">
        <v>14.125</v>
      </c>
      <c r="M263" s="63"/>
    </row>
    <row r="264" spans="1:76">
      <c r="A264" s="60"/>
      <c r="D264" s="61" t="s">
        <v>342</v>
      </c>
      <c r="E264" s="61" t="s">
        <v>343</v>
      </c>
      <c r="G264" s="62">
        <v>22.076499999999999</v>
      </c>
      <c r="M264" s="63"/>
    </row>
    <row r="265" spans="1:76">
      <c r="A265" s="60"/>
      <c r="D265" s="61" t="s">
        <v>407</v>
      </c>
      <c r="E265" s="61" t="s">
        <v>408</v>
      </c>
      <c r="G265" s="62">
        <v>13.7616</v>
      </c>
      <c r="M265" s="63"/>
    </row>
    <row r="266" spans="1:76">
      <c r="A266" s="60"/>
      <c r="D266" s="61" t="s">
        <v>285</v>
      </c>
      <c r="E266" s="61" t="s">
        <v>286</v>
      </c>
      <c r="G266" s="62">
        <v>8.4</v>
      </c>
      <c r="M266" s="63"/>
    </row>
    <row r="267" spans="1:76">
      <c r="A267" s="60"/>
      <c r="D267" s="61" t="s">
        <v>409</v>
      </c>
      <c r="E267" s="61" t="s">
        <v>410</v>
      </c>
      <c r="G267" s="62">
        <v>13.170500000000001</v>
      </c>
      <c r="M267" s="63"/>
    </row>
    <row r="268" spans="1:76">
      <c r="A268" s="60"/>
      <c r="D268" s="61" t="s">
        <v>346</v>
      </c>
      <c r="E268" s="61" t="s">
        <v>288</v>
      </c>
      <c r="G268" s="62">
        <v>8.0555000000000003</v>
      </c>
      <c r="M268" s="63"/>
    </row>
    <row r="269" spans="1:76">
      <c r="A269" s="60"/>
      <c r="D269" s="61" t="s">
        <v>289</v>
      </c>
      <c r="E269" s="61" t="s">
        <v>290</v>
      </c>
      <c r="G269" s="62">
        <v>36.3245</v>
      </c>
      <c r="M269" s="63"/>
    </row>
    <row r="270" spans="1:76">
      <c r="A270" s="60"/>
      <c r="D270" s="61" t="s">
        <v>411</v>
      </c>
      <c r="E270" s="61" t="s">
        <v>412</v>
      </c>
      <c r="G270" s="62">
        <v>5.3550000000000004</v>
      </c>
      <c r="M270" s="63"/>
    </row>
    <row r="271" spans="1:76">
      <c r="A271" s="60"/>
      <c r="D271" s="61" t="s">
        <v>413</v>
      </c>
      <c r="E271" s="61" t="s">
        <v>414</v>
      </c>
      <c r="G271" s="62">
        <v>12.031000000000001</v>
      </c>
      <c r="M271" s="63"/>
    </row>
    <row r="272" spans="1:76">
      <c r="A272" s="60"/>
      <c r="D272" s="61" t="s">
        <v>291</v>
      </c>
      <c r="E272" s="61" t="s">
        <v>292</v>
      </c>
      <c r="G272" s="62">
        <v>7.87</v>
      </c>
      <c r="M272" s="63"/>
    </row>
    <row r="273" spans="1:13">
      <c r="A273" s="60"/>
      <c r="D273" s="61" t="s">
        <v>415</v>
      </c>
      <c r="E273" s="61" t="s">
        <v>416</v>
      </c>
      <c r="G273" s="62">
        <v>12.2165</v>
      </c>
      <c r="M273" s="63"/>
    </row>
    <row r="274" spans="1:13">
      <c r="A274" s="60"/>
      <c r="D274" s="61" t="s">
        <v>293</v>
      </c>
      <c r="E274" s="61" t="s">
        <v>294</v>
      </c>
      <c r="G274" s="62">
        <v>9.9105000000000008</v>
      </c>
      <c r="M274" s="63"/>
    </row>
    <row r="275" spans="1:13">
      <c r="A275" s="60"/>
      <c r="D275" s="61" t="s">
        <v>417</v>
      </c>
      <c r="E275" s="61" t="s">
        <v>418</v>
      </c>
      <c r="G275" s="62">
        <v>5.1764999999999999</v>
      </c>
      <c r="M275" s="63"/>
    </row>
    <row r="276" spans="1:13">
      <c r="A276" s="60"/>
      <c r="D276" s="61" t="s">
        <v>350</v>
      </c>
      <c r="E276" s="61" t="s">
        <v>351</v>
      </c>
      <c r="G276" s="62">
        <v>38.134999999999998</v>
      </c>
      <c r="M276" s="63"/>
    </row>
    <row r="277" spans="1:13">
      <c r="A277" s="60"/>
      <c r="D277" s="61" t="s">
        <v>295</v>
      </c>
      <c r="E277" s="61" t="s">
        <v>296</v>
      </c>
      <c r="G277" s="62">
        <v>21.994499999999999</v>
      </c>
      <c r="M277" s="63"/>
    </row>
    <row r="278" spans="1:13">
      <c r="A278" s="60"/>
      <c r="D278" s="61" t="s">
        <v>419</v>
      </c>
      <c r="E278" s="61" t="s">
        <v>420</v>
      </c>
      <c r="G278" s="62">
        <v>11.368499999999999</v>
      </c>
      <c r="M278" s="63"/>
    </row>
    <row r="279" spans="1:13">
      <c r="A279" s="60"/>
      <c r="D279" s="61" t="s">
        <v>421</v>
      </c>
      <c r="E279" s="61" t="s">
        <v>422</v>
      </c>
      <c r="G279" s="62">
        <v>10.811999999999999</v>
      </c>
      <c r="M279" s="63"/>
    </row>
    <row r="280" spans="1:13">
      <c r="A280" s="60"/>
      <c r="D280" s="61" t="s">
        <v>297</v>
      </c>
      <c r="E280" s="61" t="s">
        <v>298</v>
      </c>
      <c r="G280" s="62">
        <v>21.6235</v>
      </c>
      <c r="M280" s="63"/>
    </row>
    <row r="281" spans="1:13">
      <c r="A281" s="60"/>
      <c r="D281" s="61" t="s">
        <v>423</v>
      </c>
      <c r="E281" s="61" t="s">
        <v>424</v>
      </c>
      <c r="G281" s="62">
        <v>6.9615</v>
      </c>
      <c r="M281" s="63"/>
    </row>
    <row r="282" spans="1:13">
      <c r="A282" s="60"/>
      <c r="D282" s="61" t="s">
        <v>366</v>
      </c>
      <c r="E282" s="61" t="s">
        <v>300</v>
      </c>
      <c r="G282" s="62">
        <v>15.8545</v>
      </c>
      <c r="M282" s="63"/>
    </row>
    <row r="283" spans="1:13">
      <c r="A283" s="60"/>
      <c r="D283" s="61" t="s">
        <v>301</v>
      </c>
      <c r="E283" s="61" t="s">
        <v>302</v>
      </c>
      <c r="G283" s="62">
        <v>13.981999999999999</v>
      </c>
      <c r="M283" s="63"/>
    </row>
    <row r="284" spans="1:13">
      <c r="A284" s="60"/>
      <c r="D284" s="61" t="s">
        <v>425</v>
      </c>
      <c r="E284" s="61" t="s">
        <v>426</v>
      </c>
      <c r="G284" s="62">
        <v>9.8844999999999992</v>
      </c>
      <c r="M284" s="63"/>
    </row>
    <row r="285" spans="1:13">
      <c r="A285" s="60"/>
      <c r="D285" s="61" t="s">
        <v>427</v>
      </c>
      <c r="E285" s="61" t="s">
        <v>304</v>
      </c>
      <c r="G285" s="62">
        <v>36.994</v>
      </c>
      <c r="M285" s="63"/>
    </row>
    <row r="286" spans="1:13">
      <c r="A286" s="60"/>
      <c r="D286" s="61" t="s">
        <v>428</v>
      </c>
      <c r="E286" s="61" t="s">
        <v>429</v>
      </c>
      <c r="G286" s="62">
        <v>18.895499999999998</v>
      </c>
      <c r="M286" s="63"/>
    </row>
    <row r="287" spans="1:13">
      <c r="A287" s="60"/>
      <c r="D287" s="61" t="s">
        <v>430</v>
      </c>
      <c r="E287" s="61" t="s">
        <v>308</v>
      </c>
      <c r="G287" s="62">
        <v>22.050999999999998</v>
      </c>
      <c r="M287" s="63"/>
    </row>
    <row r="288" spans="1:13">
      <c r="A288" s="60"/>
      <c r="D288" s="61" t="s">
        <v>431</v>
      </c>
      <c r="E288" s="61" t="s">
        <v>432</v>
      </c>
      <c r="G288" s="62">
        <v>19.5228</v>
      </c>
      <c r="M288" s="63"/>
    </row>
    <row r="289" spans="1:13">
      <c r="A289" s="60"/>
      <c r="D289" s="61" t="s">
        <v>309</v>
      </c>
      <c r="E289" s="61" t="s">
        <v>310</v>
      </c>
      <c r="G289" s="62">
        <v>207.44200000000001</v>
      </c>
      <c r="M289" s="63"/>
    </row>
    <row r="290" spans="1:13">
      <c r="A290" s="60"/>
      <c r="D290" s="61" t="s">
        <v>433</v>
      </c>
      <c r="E290" s="61" t="s">
        <v>434</v>
      </c>
      <c r="G290" s="62">
        <v>10.856999999999999</v>
      </c>
      <c r="M290" s="63"/>
    </row>
    <row r="291" spans="1:13">
      <c r="A291" s="60"/>
      <c r="D291" s="61" t="s">
        <v>435</v>
      </c>
      <c r="E291" s="61" t="s">
        <v>436</v>
      </c>
      <c r="G291" s="62">
        <v>9.1931999999999992</v>
      </c>
      <c r="M291" s="63"/>
    </row>
    <row r="292" spans="1:13">
      <c r="A292" s="60"/>
      <c r="D292" s="61" t="s">
        <v>437</v>
      </c>
      <c r="E292" s="61" t="s">
        <v>438</v>
      </c>
      <c r="G292" s="62">
        <v>11.082599999999999</v>
      </c>
      <c r="M292" s="63"/>
    </row>
    <row r="293" spans="1:13">
      <c r="A293" s="60"/>
      <c r="D293" s="61" t="s">
        <v>311</v>
      </c>
      <c r="E293" s="61" t="s">
        <v>312</v>
      </c>
      <c r="G293" s="62">
        <v>20.164000000000001</v>
      </c>
      <c r="M293" s="63"/>
    </row>
    <row r="294" spans="1:13">
      <c r="A294" s="60"/>
      <c r="D294" s="61" t="s">
        <v>359</v>
      </c>
      <c r="E294" s="61" t="s">
        <v>314</v>
      </c>
      <c r="G294" s="62">
        <v>29.962499999999999</v>
      </c>
      <c r="M294" s="63"/>
    </row>
    <row r="295" spans="1:13">
      <c r="A295" s="60"/>
      <c r="D295" s="61" t="s">
        <v>315</v>
      </c>
      <c r="E295" s="61" t="s">
        <v>316</v>
      </c>
      <c r="G295" s="62">
        <v>21.641500000000001</v>
      </c>
      <c r="M295" s="63"/>
    </row>
    <row r="296" spans="1:13">
      <c r="A296" s="60"/>
      <c r="D296" s="61" t="s">
        <v>317</v>
      </c>
      <c r="E296" s="61" t="s">
        <v>318</v>
      </c>
      <c r="G296" s="62">
        <v>13.188499999999999</v>
      </c>
      <c r="M296" s="63"/>
    </row>
    <row r="297" spans="1:13">
      <c r="A297" s="60"/>
      <c r="D297" s="61" t="s">
        <v>439</v>
      </c>
      <c r="E297" s="61" t="s">
        <v>440</v>
      </c>
      <c r="G297" s="62">
        <v>20.236999999999998</v>
      </c>
      <c r="M297" s="63"/>
    </row>
    <row r="298" spans="1:13">
      <c r="A298" s="60"/>
      <c r="D298" s="61" t="s">
        <v>319</v>
      </c>
      <c r="E298" s="61" t="s">
        <v>320</v>
      </c>
      <c r="G298" s="62">
        <v>11.7095</v>
      </c>
      <c r="M298" s="63"/>
    </row>
    <row r="299" spans="1:13">
      <c r="A299" s="60"/>
      <c r="D299" s="61" t="s">
        <v>441</v>
      </c>
      <c r="E299" s="61" t="s">
        <v>442</v>
      </c>
      <c r="G299" s="62">
        <v>39.592799999999997</v>
      </c>
      <c r="M299" s="63"/>
    </row>
    <row r="300" spans="1:13">
      <c r="A300" s="60"/>
      <c r="D300" s="61" t="s">
        <v>321</v>
      </c>
      <c r="E300" s="61" t="s">
        <v>322</v>
      </c>
      <c r="G300" s="62">
        <v>20.312999999999999</v>
      </c>
      <c r="M300" s="63"/>
    </row>
    <row r="301" spans="1:13">
      <c r="A301" s="60"/>
      <c r="D301" s="61" t="s">
        <v>323</v>
      </c>
      <c r="E301" s="61" t="s">
        <v>324</v>
      </c>
      <c r="G301" s="62">
        <v>21.119</v>
      </c>
      <c r="M301" s="63"/>
    </row>
    <row r="302" spans="1:13">
      <c r="A302" s="60"/>
      <c r="D302" s="61" t="s">
        <v>325</v>
      </c>
      <c r="E302" s="61" t="s">
        <v>326</v>
      </c>
      <c r="G302" s="62">
        <v>20.991499999999998</v>
      </c>
      <c r="M302" s="63"/>
    </row>
    <row r="303" spans="1:13">
      <c r="A303" s="60"/>
      <c r="D303" s="61" t="s">
        <v>443</v>
      </c>
      <c r="E303" s="61" t="s">
        <v>444</v>
      </c>
      <c r="G303" s="62">
        <v>11.674799999999999</v>
      </c>
      <c r="M303" s="63"/>
    </row>
    <row r="304" spans="1:13">
      <c r="A304" s="60"/>
      <c r="D304" s="61" t="s">
        <v>445</v>
      </c>
      <c r="E304" s="61" t="s">
        <v>446</v>
      </c>
      <c r="G304" s="62">
        <v>8.8547999999999991</v>
      </c>
      <c r="M304" s="63"/>
    </row>
    <row r="305" spans="1:76">
      <c r="A305" s="60"/>
      <c r="D305" s="61" t="s">
        <v>327</v>
      </c>
      <c r="E305" s="61" t="s">
        <v>328</v>
      </c>
      <c r="G305" s="62">
        <v>37.616500000000002</v>
      </c>
      <c r="M305" s="63"/>
    </row>
    <row r="306" spans="1:76">
      <c r="A306" s="60"/>
      <c r="D306" s="61" t="s">
        <v>329</v>
      </c>
      <c r="E306" s="61" t="s">
        <v>330</v>
      </c>
      <c r="G306" s="62">
        <v>22.099</v>
      </c>
      <c r="M306" s="63"/>
    </row>
    <row r="307" spans="1:76">
      <c r="A307" s="1" t="s">
        <v>447</v>
      </c>
      <c r="B307" s="2" t="s">
        <v>4</v>
      </c>
      <c r="C307" s="2" t="s">
        <v>448</v>
      </c>
      <c r="D307" s="549" t="s">
        <v>449</v>
      </c>
      <c r="E307" s="546"/>
      <c r="F307" s="2" t="s">
        <v>219</v>
      </c>
      <c r="G307" s="55">
        <v>96.8</v>
      </c>
      <c r="H307" s="56">
        <v>0</v>
      </c>
      <c r="I307" s="55">
        <f>G307*H307</f>
        <v>0</v>
      </c>
      <c r="J307" s="55">
        <v>0</v>
      </c>
      <c r="K307" s="55">
        <v>4.6000000000000001E-4</v>
      </c>
      <c r="L307" s="55">
        <f>G307*K307</f>
        <v>4.4527999999999998E-2</v>
      </c>
      <c r="M307" s="57" t="s">
        <v>122</v>
      </c>
      <c r="Z307" s="55">
        <f>IF(AQ307="5",BJ307,0)</f>
        <v>0</v>
      </c>
      <c r="AB307" s="55">
        <f>IF(AQ307="1",BH307,0)</f>
        <v>0</v>
      </c>
      <c r="AC307" s="55">
        <f>IF(AQ307="1",BI307,0)</f>
        <v>0</v>
      </c>
      <c r="AD307" s="55">
        <f>IF(AQ307="7",BH307,0)</f>
        <v>0</v>
      </c>
      <c r="AE307" s="55">
        <f>IF(AQ307="7",BI307,0)</f>
        <v>0</v>
      </c>
      <c r="AF307" s="55">
        <f>IF(AQ307="2",BH307,0)</f>
        <v>0</v>
      </c>
      <c r="AG307" s="55">
        <f>IF(AQ307="2",BI307,0)</f>
        <v>0</v>
      </c>
      <c r="AH307" s="55">
        <f>IF(AQ307="0",BJ307,0)</f>
        <v>0</v>
      </c>
      <c r="AI307" s="33" t="s">
        <v>4</v>
      </c>
      <c r="AJ307" s="55">
        <f>IF(AN307=0,I307,0)</f>
        <v>0</v>
      </c>
      <c r="AK307" s="55">
        <f>IF(AN307=12,I307,0)</f>
        <v>0</v>
      </c>
      <c r="AL307" s="55">
        <f>IF(AN307=21,I307,0)</f>
        <v>0</v>
      </c>
      <c r="AN307" s="55">
        <v>21</v>
      </c>
      <c r="AO307" s="55">
        <f>H307*0.515709091</f>
        <v>0</v>
      </c>
      <c r="AP307" s="55">
        <f>H307*(1-0.515709091)</f>
        <v>0</v>
      </c>
      <c r="AQ307" s="58" t="s">
        <v>118</v>
      </c>
      <c r="AV307" s="55">
        <f>AW307+AX307</f>
        <v>0</v>
      </c>
      <c r="AW307" s="55">
        <f>G307*AO307</f>
        <v>0</v>
      </c>
      <c r="AX307" s="55">
        <f>G307*AP307</f>
        <v>0</v>
      </c>
      <c r="AY307" s="58" t="s">
        <v>403</v>
      </c>
      <c r="AZ307" s="58" t="s">
        <v>279</v>
      </c>
      <c r="BA307" s="33" t="s">
        <v>125</v>
      </c>
      <c r="BB307" s="59">
        <v>100028</v>
      </c>
      <c r="BC307" s="55">
        <f>AW307+AX307</f>
        <v>0</v>
      </c>
      <c r="BD307" s="55">
        <f>H307/(100-BE307)*100</f>
        <v>0</v>
      </c>
      <c r="BE307" s="55">
        <v>0</v>
      </c>
      <c r="BF307" s="55">
        <f>L307</f>
        <v>4.4527999999999998E-2</v>
      </c>
      <c r="BH307" s="55">
        <f>G307*AO307</f>
        <v>0</v>
      </c>
      <c r="BI307" s="55">
        <f>G307*AP307</f>
        <v>0</v>
      </c>
      <c r="BJ307" s="55">
        <f>G307*H307</f>
        <v>0</v>
      </c>
      <c r="BK307" s="55"/>
      <c r="BL307" s="55">
        <v>61</v>
      </c>
      <c r="BW307" s="55">
        <v>21</v>
      </c>
      <c r="BX307" s="3" t="s">
        <v>449</v>
      </c>
    </row>
    <row r="308" spans="1:76">
      <c r="A308" s="60"/>
      <c r="D308" s="61" t="s">
        <v>450</v>
      </c>
      <c r="E308" s="61" t="s">
        <v>406</v>
      </c>
      <c r="G308" s="62">
        <v>15.9</v>
      </c>
      <c r="M308" s="63"/>
    </row>
    <row r="309" spans="1:76">
      <c r="A309" s="60"/>
      <c r="D309" s="61" t="s">
        <v>451</v>
      </c>
      <c r="E309" s="61" t="s">
        <v>452</v>
      </c>
      <c r="G309" s="62">
        <v>5.3</v>
      </c>
      <c r="M309" s="63"/>
    </row>
    <row r="310" spans="1:76">
      <c r="A310" s="60"/>
      <c r="D310" s="61" t="s">
        <v>453</v>
      </c>
      <c r="E310" s="61" t="s">
        <v>454</v>
      </c>
      <c r="G310" s="62">
        <v>2.65</v>
      </c>
      <c r="M310" s="63"/>
    </row>
    <row r="311" spans="1:76">
      <c r="A311" s="60"/>
      <c r="D311" s="61" t="s">
        <v>455</v>
      </c>
      <c r="E311" s="61" t="s">
        <v>456</v>
      </c>
      <c r="G311" s="62">
        <v>7.95</v>
      </c>
      <c r="M311" s="63"/>
    </row>
    <row r="312" spans="1:76">
      <c r="A312" s="60"/>
      <c r="D312" s="61" t="s">
        <v>457</v>
      </c>
      <c r="E312" s="61" t="s">
        <v>458</v>
      </c>
      <c r="G312" s="62">
        <v>13.25</v>
      </c>
      <c r="M312" s="63"/>
    </row>
    <row r="313" spans="1:76">
      <c r="A313" s="60"/>
      <c r="D313" s="61" t="s">
        <v>455</v>
      </c>
      <c r="E313" s="61" t="s">
        <v>459</v>
      </c>
      <c r="G313" s="62">
        <v>7.95</v>
      </c>
      <c r="M313" s="63"/>
    </row>
    <row r="314" spans="1:76">
      <c r="A314" s="60"/>
      <c r="D314" s="61" t="s">
        <v>451</v>
      </c>
      <c r="E314" s="61" t="s">
        <v>460</v>
      </c>
      <c r="G314" s="62">
        <v>5.3</v>
      </c>
      <c r="M314" s="63"/>
    </row>
    <row r="315" spans="1:76">
      <c r="A315" s="60"/>
      <c r="D315" s="61" t="s">
        <v>450</v>
      </c>
      <c r="E315" s="61" t="s">
        <v>461</v>
      </c>
      <c r="G315" s="62">
        <v>15.9</v>
      </c>
      <c r="M315" s="63"/>
    </row>
    <row r="316" spans="1:76">
      <c r="A316" s="60"/>
      <c r="D316" s="61" t="s">
        <v>462</v>
      </c>
      <c r="E316" s="61" t="s">
        <v>463</v>
      </c>
      <c r="G316" s="62">
        <v>19.95</v>
      </c>
      <c r="M316" s="63"/>
    </row>
    <row r="317" spans="1:76">
      <c r="A317" s="60"/>
      <c r="D317" s="61" t="s">
        <v>453</v>
      </c>
      <c r="E317" s="61" t="s">
        <v>464</v>
      </c>
      <c r="G317" s="62">
        <v>2.65</v>
      </c>
      <c r="M317" s="63"/>
    </row>
    <row r="318" spans="1:76">
      <c r="A318" s="60"/>
      <c r="C318" s="64" t="s">
        <v>127</v>
      </c>
      <c r="D318" s="618" t="s">
        <v>465</v>
      </c>
      <c r="E318" s="619"/>
      <c r="F318" s="619"/>
      <c r="G318" s="619"/>
      <c r="H318" s="620"/>
      <c r="I318" s="619"/>
      <c r="J318" s="619"/>
      <c r="K318" s="619"/>
      <c r="L318" s="619"/>
      <c r="M318" s="621"/>
      <c r="BX318" s="65" t="s">
        <v>465</v>
      </c>
    </row>
    <row r="319" spans="1:76">
      <c r="A319" s="1" t="s">
        <v>466</v>
      </c>
      <c r="B319" s="2" t="s">
        <v>4</v>
      </c>
      <c r="C319" s="2" t="s">
        <v>467</v>
      </c>
      <c r="D319" s="549" t="s">
        <v>468</v>
      </c>
      <c r="E319" s="546"/>
      <c r="F319" s="2" t="s">
        <v>157</v>
      </c>
      <c r="G319" s="55">
        <v>268.7672</v>
      </c>
      <c r="H319" s="56">
        <v>0</v>
      </c>
      <c r="I319" s="55">
        <f>G319*H319</f>
        <v>0</v>
      </c>
      <c r="J319" s="55">
        <v>0</v>
      </c>
      <c r="K319" s="55">
        <v>5.3659999999999999E-2</v>
      </c>
      <c r="L319" s="55">
        <f>G319*K319</f>
        <v>14.422047952</v>
      </c>
      <c r="M319" s="57" t="s">
        <v>122</v>
      </c>
      <c r="Z319" s="55">
        <f>IF(AQ319="5",BJ319,0)</f>
        <v>0</v>
      </c>
      <c r="AB319" s="55">
        <f>IF(AQ319="1",BH319,0)</f>
        <v>0</v>
      </c>
      <c r="AC319" s="55">
        <f>IF(AQ319="1",BI319,0)</f>
        <v>0</v>
      </c>
      <c r="AD319" s="55">
        <f>IF(AQ319="7",BH319,0)</f>
        <v>0</v>
      </c>
      <c r="AE319" s="55">
        <f>IF(AQ319="7",BI319,0)</f>
        <v>0</v>
      </c>
      <c r="AF319" s="55">
        <f>IF(AQ319="2",BH319,0)</f>
        <v>0</v>
      </c>
      <c r="AG319" s="55">
        <f>IF(AQ319="2",BI319,0)</f>
        <v>0</v>
      </c>
      <c r="AH319" s="55">
        <f>IF(AQ319="0",BJ319,0)</f>
        <v>0</v>
      </c>
      <c r="AI319" s="33" t="s">
        <v>4</v>
      </c>
      <c r="AJ319" s="55">
        <f>IF(AN319=0,I319,0)</f>
        <v>0</v>
      </c>
      <c r="AK319" s="55">
        <f>IF(AN319=12,I319,0)</f>
        <v>0</v>
      </c>
      <c r="AL319" s="55">
        <f>IF(AN319=21,I319,0)</f>
        <v>0</v>
      </c>
      <c r="AN319" s="55">
        <v>21</v>
      </c>
      <c r="AO319" s="55">
        <f>H319*0.523220979</f>
        <v>0</v>
      </c>
      <c r="AP319" s="55">
        <f>H319*(1-0.523220979)</f>
        <v>0</v>
      </c>
      <c r="AQ319" s="58" t="s">
        <v>118</v>
      </c>
      <c r="AV319" s="55">
        <f>AW319+AX319</f>
        <v>0</v>
      </c>
      <c r="AW319" s="55">
        <f>G319*AO319</f>
        <v>0</v>
      </c>
      <c r="AX319" s="55">
        <f>G319*AP319</f>
        <v>0</v>
      </c>
      <c r="AY319" s="58" t="s">
        <v>403</v>
      </c>
      <c r="AZ319" s="58" t="s">
        <v>279</v>
      </c>
      <c r="BA319" s="33" t="s">
        <v>125</v>
      </c>
      <c r="BB319" s="59">
        <v>100028</v>
      </c>
      <c r="BC319" s="55">
        <f>AW319+AX319</f>
        <v>0</v>
      </c>
      <c r="BD319" s="55">
        <f>H319/(100-BE319)*100</f>
        <v>0</v>
      </c>
      <c r="BE319" s="55">
        <v>0</v>
      </c>
      <c r="BF319" s="55">
        <f>L319</f>
        <v>14.422047952</v>
      </c>
      <c r="BH319" s="55">
        <f>G319*AO319</f>
        <v>0</v>
      </c>
      <c r="BI319" s="55">
        <f>G319*AP319</f>
        <v>0</v>
      </c>
      <c r="BJ319" s="55">
        <f>G319*H319</f>
        <v>0</v>
      </c>
      <c r="BK319" s="55"/>
      <c r="BL319" s="55">
        <v>61</v>
      </c>
      <c r="BW319" s="55">
        <v>21</v>
      </c>
      <c r="BX319" s="3" t="s">
        <v>468</v>
      </c>
    </row>
    <row r="320" spans="1:76" ht="13.5" customHeight="1">
      <c r="A320" s="60"/>
      <c r="D320" s="634" t="s">
        <v>469</v>
      </c>
      <c r="E320" s="635"/>
      <c r="F320" s="635"/>
      <c r="G320" s="635"/>
      <c r="H320" s="636"/>
      <c r="I320" s="635"/>
      <c r="J320" s="635"/>
      <c r="K320" s="635"/>
      <c r="L320" s="635"/>
      <c r="M320" s="637"/>
    </row>
    <row r="321" spans="1:13">
      <c r="A321" s="60"/>
      <c r="D321" s="61" t="s">
        <v>470</v>
      </c>
      <c r="E321" s="61" t="s">
        <v>406</v>
      </c>
      <c r="G321" s="62">
        <v>23.1875</v>
      </c>
      <c r="M321" s="63"/>
    </row>
    <row r="322" spans="1:13">
      <c r="A322" s="60"/>
      <c r="D322" s="61" t="s">
        <v>471</v>
      </c>
      <c r="E322" s="61" t="s">
        <v>472</v>
      </c>
      <c r="G322" s="62">
        <v>5.7119999999999997</v>
      </c>
      <c r="M322" s="63"/>
    </row>
    <row r="323" spans="1:13">
      <c r="A323" s="60"/>
      <c r="D323" s="61" t="s">
        <v>360</v>
      </c>
      <c r="E323" s="61" t="s">
        <v>408</v>
      </c>
      <c r="G323" s="62">
        <v>12.932</v>
      </c>
      <c r="M323" s="63"/>
    </row>
    <row r="324" spans="1:13">
      <c r="A324" s="60"/>
      <c r="D324" s="61" t="s">
        <v>409</v>
      </c>
      <c r="E324" s="61" t="s">
        <v>410</v>
      </c>
      <c r="G324" s="62">
        <v>13.170500000000001</v>
      </c>
      <c r="M324" s="63"/>
    </row>
    <row r="325" spans="1:13">
      <c r="A325" s="60"/>
      <c r="D325" s="61" t="s">
        <v>411</v>
      </c>
      <c r="E325" s="61" t="s">
        <v>412</v>
      </c>
      <c r="G325" s="62">
        <v>5.3550000000000004</v>
      </c>
      <c r="M325" s="63"/>
    </row>
    <row r="326" spans="1:13">
      <c r="A326" s="60"/>
      <c r="D326" s="61" t="s">
        <v>413</v>
      </c>
      <c r="E326" s="61" t="s">
        <v>414</v>
      </c>
      <c r="G326" s="62">
        <v>12.031000000000001</v>
      </c>
      <c r="M326" s="63"/>
    </row>
    <row r="327" spans="1:13">
      <c r="A327" s="60"/>
      <c r="D327" s="61" t="s">
        <v>415</v>
      </c>
      <c r="E327" s="61" t="s">
        <v>416</v>
      </c>
      <c r="G327" s="62">
        <v>12.2165</v>
      </c>
      <c r="M327" s="63"/>
    </row>
    <row r="328" spans="1:13">
      <c r="A328" s="60"/>
      <c r="D328" s="61" t="s">
        <v>417</v>
      </c>
      <c r="E328" s="61" t="s">
        <v>418</v>
      </c>
      <c r="G328" s="62">
        <v>5.1764999999999999</v>
      </c>
      <c r="M328" s="63"/>
    </row>
    <row r="329" spans="1:13">
      <c r="A329" s="60"/>
      <c r="D329" s="61" t="s">
        <v>419</v>
      </c>
      <c r="E329" s="61" t="s">
        <v>420</v>
      </c>
      <c r="G329" s="62">
        <v>11.368499999999999</v>
      </c>
      <c r="M329" s="63"/>
    </row>
    <row r="330" spans="1:13">
      <c r="A330" s="60"/>
      <c r="D330" s="61" t="s">
        <v>421</v>
      </c>
      <c r="E330" s="61" t="s">
        <v>422</v>
      </c>
      <c r="G330" s="62">
        <v>10.811999999999999</v>
      </c>
      <c r="M330" s="63"/>
    </row>
    <row r="331" spans="1:13">
      <c r="A331" s="60"/>
      <c r="D331" s="61" t="s">
        <v>423</v>
      </c>
      <c r="E331" s="61" t="s">
        <v>424</v>
      </c>
      <c r="G331" s="62">
        <v>6.9615</v>
      </c>
      <c r="M331" s="63"/>
    </row>
    <row r="332" spans="1:13">
      <c r="A332" s="60"/>
      <c r="D332" s="61" t="s">
        <v>473</v>
      </c>
      <c r="E332" s="61" t="s">
        <v>429</v>
      </c>
      <c r="G332" s="62">
        <v>18.8292</v>
      </c>
      <c r="M332" s="63"/>
    </row>
    <row r="333" spans="1:13">
      <c r="A333" s="60"/>
      <c r="D333" s="61" t="s">
        <v>431</v>
      </c>
      <c r="E333" s="61" t="s">
        <v>432</v>
      </c>
      <c r="G333" s="62">
        <v>19.5228</v>
      </c>
      <c r="M333" s="63"/>
    </row>
    <row r="334" spans="1:13">
      <c r="A334" s="60"/>
      <c r="D334" s="61" t="s">
        <v>433</v>
      </c>
      <c r="E334" s="61" t="s">
        <v>434</v>
      </c>
      <c r="G334" s="62">
        <v>10.856999999999999</v>
      </c>
      <c r="M334" s="63"/>
    </row>
    <row r="335" spans="1:13">
      <c r="A335" s="60"/>
      <c r="D335" s="61" t="s">
        <v>435</v>
      </c>
      <c r="E335" s="61" t="s">
        <v>436</v>
      </c>
      <c r="G335" s="62">
        <v>9.1931999999999992</v>
      </c>
      <c r="M335" s="63"/>
    </row>
    <row r="336" spans="1:13">
      <c r="A336" s="60"/>
      <c r="D336" s="61" t="s">
        <v>437</v>
      </c>
      <c r="E336" s="61" t="s">
        <v>438</v>
      </c>
      <c r="G336" s="62">
        <v>11.082599999999999</v>
      </c>
      <c r="M336" s="63"/>
    </row>
    <row r="337" spans="1:76">
      <c r="A337" s="60"/>
      <c r="D337" s="61" t="s">
        <v>439</v>
      </c>
      <c r="E337" s="61" t="s">
        <v>440</v>
      </c>
      <c r="G337" s="62">
        <v>20.236999999999998</v>
      </c>
      <c r="M337" s="63"/>
    </row>
    <row r="338" spans="1:76">
      <c r="A338" s="60"/>
      <c r="D338" s="61" t="s">
        <v>441</v>
      </c>
      <c r="E338" s="61" t="s">
        <v>442</v>
      </c>
      <c r="G338" s="62">
        <v>39.592799999999997</v>
      </c>
      <c r="M338" s="63"/>
    </row>
    <row r="339" spans="1:76">
      <c r="A339" s="60"/>
      <c r="D339" s="61" t="s">
        <v>443</v>
      </c>
      <c r="E339" s="61" t="s">
        <v>444</v>
      </c>
      <c r="G339" s="62">
        <v>11.674799999999999</v>
      </c>
      <c r="M339" s="63"/>
    </row>
    <row r="340" spans="1:76">
      <c r="A340" s="60"/>
      <c r="D340" s="61" t="s">
        <v>445</v>
      </c>
      <c r="E340" s="61" t="s">
        <v>446</v>
      </c>
      <c r="G340" s="62">
        <v>8.8547999999999991</v>
      </c>
      <c r="M340" s="63"/>
    </row>
    <row r="341" spans="1:76" ht="51">
      <c r="A341" s="60"/>
      <c r="C341" s="64" t="s">
        <v>127</v>
      </c>
      <c r="D341" s="618" t="s">
        <v>474</v>
      </c>
      <c r="E341" s="619"/>
      <c r="F341" s="619"/>
      <c r="G341" s="619"/>
      <c r="H341" s="620"/>
      <c r="I341" s="619"/>
      <c r="J341" s="619"/>
      <c r="K341" s="619"/>
      <c r="L341" s="619"/>
      <c r="M341" s="621"/>
      <c r="BX341" s="65" t="s">
        <v>474</v>
      </c>
    </row>
    <row r="342" spans="1:76">
      <c r="A342" s="1" t="s">
        <v>475</v>
      </c>
      <c r="B342" s="2" t="s">
        <v>4</v>
      </c>
      <c r="C342" s="2" t="s">
        <v>476</v>
      </c>
      <c r="D342" s="549" t="s">
        <v>477</v>
      </c>
      <c r="E342" s="546"/>
      <c r="F342" s="2" t="s">
        <v>219</v>
      </c>
      <c r="G342" s="55">
        <v>54</v>
      </c>
      <c r="H342" s="56">
        <v>0</v>
      </c>
      <c r="I342" s="55">
        <f>G342*H342</f>
        <v>0</v>
      </c>
      <c r="J342" s="55">
        <v>0</v>
      </c>
      <c r="K342" s="55">
        <v>1.0000000000000001E-5</v>
      </c>
      <c r="L342" s="55">
        <f>G342*K342</f>
        <v>5.4000000000000001E-4</v>
      </c>
      <c r="M342" s="57" t="s">
        <v>122</v>
      </c>
      <c r="Z342" s="55">
        <f>IF(AQ342="5",BJ342,0)</f>
        <v>0</v>
      </c>
      <c r="AB342" s="55">
        <f>IF(AQ342="1",BH342,0)</f>
        <v>0</v>
      </c>
      <c r="AC342" s="55">
        <f>IF(AQ342="1",BI342,0)</f>
        <v>0</v>
      </c>
      <c r="AD342" s="55">
        <f>IF(AQ342="7",BH342,0)</f>
        <v>0</v>
      </c>
      <c r="AE342" s="55">
        <f>IF(AQ342="7",BI342,0)</f>
        <v>0</v>
      </c>
      <c r="AF342" s="55">
        <f>IF(AQ342="2",BH342,0)</f>
        <v>0</v>
      </c>
      <c r="AG342" s="55">
        <f>IF(AQ342="2",BI342,0)</f>
        <v>0</v>
      </c>
      <c r="AH342" s="55">
        <f>IF(AQ342="0",BJ342,0)</f>
        <v>0</v>
      </c>
      <c r="AI342" s="33" t="s">
        <v>4</v>
      </c>
      <c r="AJ342" s="55">
        <f>IF(AN342=0,I342,0)</f>
        <v>0</v>
      </c>
      <c r="AK342" s="55">
        <f>IF(AN342=12,I342,0)</f>
        <v>0</v>
      </c>
      <c r="AL342" s="55">
        <f>IF(AN342=21,I342,0)</f>
        <v>0</v>
      </c>
      <c r="AN342" s="55">
        <v>21</v>
      </c>
      <c r="AO342" s="55">
        <f>H342*0.029840958</f>
        <v>0</v>
      </c>
      <c r="AP342" s="55">
        <f>H342*(1-0.029840958)</f>
        <v>0</v>
      </c>
      <c r="AQ342" s="58" t="s">
        <v>118</v>
      </c>
      <c r="AV342" s="55">
        <f>AW342+AX342</f>
        <v>0</v>
      </c>
      <c r="AW342" s="55">
        <f>G342*AO342</f>
        <v>0</v>
      </c>
      <c r="AX342" s="55">
        <f>G342*AP342</f>
        <v>0</v>
      </c>
      <c r="AY342" s="58" t="s">
        <v>403</v>
      </c>
      <c r="AZ342" s="58" t="s">
        <v>279</v>
      </c>
      <c r="BA342" s="33" t="s">
        <v>125</v>
      </c>
      <c r="BB342" s="59">
        <v>100028</v>
      </c>
      <c r="BC342" s="55">
        <f>AW342+AX342</f>
        <v>0</v>
      </c>
      <c r="BD342" s="55">
        <f>H342/(100-BE342)*100</f>
        <v>0</v>
      </c>
      <c r="BE342" s="55">
        <v>0</v>
      </c>
      <c r="BF342" s="55">
        <f>L342</f>
        <v>5.4000000000000001E-4</v>
      </c>
      <c r="BH342" s="55">
        <f>G342*AO342</f>
        <v>0</v>
      </c>
      <c r="BI342" s="55">
        <f>G342*AP342</f>
        <v>0</v>
      </c>
      <c r="BJ342" s="55">
        <f>G342*H342</f>
        <v>0</v>
      </c>
      <c r="BK342" s="55"/>
      <c r="BL342" s="55">
        <v>61</v>
      </c>
      <c r="BW342" s="55">
        <v>21</v>
      </c>
      <c r="BX342" s="3" t="s">
        <v>477</v>
      </c>
    </row>
    <row r="343" spans="1:76">
      <c r="A343" s="60"/>
      <c r="D343" s="61" t="s">
        <v>478</v>
      </c>
      <c r="E343" s="61" t="s">
        <v>4</v>
      </c>
      <c r="G343" s="62">
        <v>54</v>
      </c>
      <c r="M343" s="63"/>
    </row>
    <row r="344" spans="1:76">
      <c r="A344" s="66" t="s">
        <v>479</v>
      </c>
      <c r="B344" s="67" t="s">
        <v>4</v>
      </c>
      <c r="C344" s="67" t="s">
        <v>480</v>
      </c>
      <c r="D344" s="622" t="s">
        <v>481</v>
      </c>
      <c r="E344" s="623"/>
      <c r="F344" s="67" t="s">
        <v>219</v>
      </c>
      <c r="G344" s="69">
        <v>54</v>
      </c>
      <c r="H344" s="70">
        <v>0</v>
      </c>
      <c r="I344" s="69">
        <f>G344*H344</f>
        <v>0</v>
      </c>
      <c r="J344" s="69">
        <v>0</v>
      </c>
      <c r="K344" s="69">
        <v>8.0000000000000004E-4</v>
      </c>
      <c r="L344" s="69">
        <f>G344*K344</f>
        <v>4.3200000000000002E-2</v>
      </c>
      <c r="M344" s="71" t="s">
        <v>122</v>
      </c>
      <c r="Z344" s="55">
        <f>IF(AQ344="5",BJ344,0)</f>
        <v>0</v>
      </c>
      <c r="AB344" s="55">
        <f>IF(AQ344="1",BH344,0)</f>
        <v>0</v>
      </c>
      <c r="AC344" s="55">
        <f>IF(AQ344="1",BI344,0)</f>
        <v>0</v>
      </c>
      <c r="AD344" s="55">
        <f>IF(AQ344="7",BH344,0)</f>
        <v>0</v>
      </c>
      <c r="AE344" s="55">
        <f>IF(AQ344="7",BI344,0)</f>
        <v>0</v>
      </c>
      <c r="AF344" s="55">
        <f>IF(AQ344="2",BH344,0)</f>
        <v>0</v>
      </c>
      <c r="AG344" s="55">
        <f>IF(AQ344="2",BI344,0)</f>
        <v>0</v>
      </c>
      <c r="AH344" s="55">
        <f>IF(AQ344="0",BJ344,0)</f>
        <v>0</v>
      </c>
      <c r="AI344" s="33" t="s">
        <v>4</v>
      </c>
      <c r="AJ344" s="69">
        <f>IF(AN344=0,I344,0)</f>
        <v>0</v>
      </c>
      <c r="AK344" s="69">
        <f>IF(AN344=12,I344,0)</f>
        <v>0</v>
      </c>
      <c r="AL344" s="69">
        <f>IF(AN344=21,I344,0)</f>
        <v>0</v>
      </c>
      <c r="AN344" s="55">
        <v>21</v>
      </c>
      <c r="AO344" s="55">
        <f>H344*1</f>
        <v>0</v>
      </c>
      <c r="AP344" s="55">
        <f>H344*(1-1)</f>
        <v>0</v>
      </c>
      <c r="AQ344" s="72" t="s">
        <v>118</v>
      </c>
      <c r="AV344" s="55">
        <f>AW344+AX344</f>
        <v>0</v>
      </c>
      <c r="AW344" s="55">
        <f>G344*AO344</f>
        <v>0</v>
      </c>
      <c r="AX344" s="55">
        <f>G344*AP344</f>
        <v>0</v>
      </c>
      <c r="AY344" s="58" t="s">
        <v>403</v>
      </c>
      <c r="AZ344" s="58" t="s">
        <v>279</v>
      </c>
      <c r="BA344" s="33" t="s">
        <v>125</v>
      </c>
      <c r="BC344" s="55">
        <f>AW344+AX344</f>
        <v>0</v>
      </c>
      <c r="BD344" s="55">
        <f>H344/(100-BE344)*100</f>
        <v>0</v>
      </c>
      <c r="BE344" s="55">
        <v>0</v>
      </c>
      <c r="BF344" s="55">
        <f>L344</f>
        <v>4.3200000000000002E-2</v>
      </c>
      <c r="BH344" s="69">
        <f>G344*AO344</f>
        <v>0</v>
      </c>
      <c r="BI344" s="69">
        <f>G344*AP344</f>
        <v>0</v>
      </c>
      <c r="BJ344" s="69">
        <f>G344*H344</f>
        <v>0</v>
      </c>
      <c r="BK344" s="69"/>
      <c r="BL344" s="55">
        <v>61</v>
      </c>
      <c r="BW344" s="55">
        <v>21</v>
      </c>
      <c r="BX344" s="68" t="s">
        <v>481</v>
      </c>
    </row>
    <row r="345" spans="1:76">
      <c r="A345" s="60"/>
      <c r="D345" s="61" t="s">
        <v>478</v>
      </c>
      <c r="E345" s="61" t="s">
        <v>4</v>
      </c>
      <c r="G345" s="62">
        <v>54</v>
      </c>
      <c r="M345" s="63"/>
    </row>
    <row r="346" spans="1:76">
      <c r="A346" s="50" t="s">
        <v>4</v>
      </c>
      <c r="B346" s="51" t="s">
        <v>4</v>
      </c>
      <c r="C346" s="51" t="s">
        <v>482</v>
      </c>
      <c r="D346" s="625" t="s">
        <v>483</v>
      </c>
      <c r="E346" s="626"/>
      <c r="F346" s="52" t="s">
        <v>79</v>
      </c>
      <c r="G346" s="52" t="s">
        <v>79</v>
      </c>
      <c r="H346" s="53" t="s">
        <v>79</v>
      </c>
      <c r="I346" s="26">
        <f>SUM(I347:I350)</f>
        <v>0</v>
      </c>
      <c r="J346" s="33" t="s">
        <v>4</v>
      </c>
      <c r="K346" s="33" t="s">
        <v>4</v>
      </c>
      <c r="L346" s="26">
        <f>SUM(L347:L350)</f>
        <v>2.3173599999999999E-2</v>
      </c>
      <c r="M346" s="54" t="s">
        <v>4</v>
      </c>
      <c r="AI346" s="33" t="s">
        <v>4</v>
      </c>
      <c r="AS346" s="26">
        <f>SUM(AJ347:AJ350)</f>
        <v>0</v>
      </c>
      <c r="AT346" s="26">
        <f>SUM(AK347:AK350)</f>
        <v>0</v>
      </c>
      <c r="AU346" s="26">
        <f>SUM(AL347:AL350)</f>
        <v>0</v>
      </c>
    </row>
    <row r="347" spans="1:76">
      <c r="A347" s="1" t="s">
        <v>140</v>
      </c>
      <c r="B347" s="2" t="s">
        <v>4</v>
      </c>
      <c r="C347" s="2" t="s">
        <v>484</v>
      </c>
      <c r="D347" s="549" t="s">
        <v>485</v>
      </c>
      <c r="E347" s="546"/>
      <c r="F347" s="2" t="s">
        <v>157</v>
      </c>
      <c r="G347" s="55">
        <v>1.3468</v>
      </c>
      <c r="H347" s="56">
        <v>0</v>
      </c>
      <c r="I347" s="55">
        <f>G347*H347</f>
        <v>0</v>
      </c>
      <c r="J347" s="55">
        <v>0</v>
      </c>
      <c r="K347" s="55">
        <v>9.6200000000000001E-3</v>
      </c>
      <c r="L347" s="55">
        <f>G347*K347</f>
        <v>1.2956216E-2</v>
      </c>
      <c r="M347" s="57" t="s">
        <v>122</v>
      </c>
      <c r="Z347" s="55">
        <f>IF(AQ347="5",BJ347,0)</f>
        <v>0</v>
      </c>
      <c r="AB347" s="55">
        <f>IF(AQ347="1",BH347,0)</f>
        <v>0</v>
      </c>
      <c r="AC347" s="55">
        <f>IF(AQ347="1",BI347,0)</f>
        <v>0</v>
      </c>
      <c r="AD347" s="55">
        <f>IF(AQ347="7",BH347,0)</f>
        <v>0</v>
      </c>
      <c r="AE347" s="55">
        <f>IF(AQ347="7",BI347,0)</f>
        <v>0</v>
      </c>
      <c r="AF347" s="55">
        <f>IF(AQ347="2",BH347,0)</f>
        <v>0</v>
      </c>
      <c r="AG347" s="55">
        <f>IF(AQ347="2",BI347,0)</f>
        <v>0</v>
      </c>
      <c r="AH347" s="55">
        <f>IF(AQ347="0",BJ347,0)</f>
        <v>0</v>
      </c>
      <c r="AI347" s="33" t="s">
        <v>4</v>
      </c>
      <c r="AJ347" s="55">
        <f>IF(AN347=0,I347,0)</f>
        <v>0</v>
      </c>
      <c r="AK347" s="55">
        <f>IF(AN347=12,I347,0)</f>
        <v>0</v>
      </c>
      <c r="AL347" s="55">
        <f>IF(AN347=21,I347,0)</f>
        <v>0</v>
      </c>
      <c r="AN347" s="55">
        <v>21</v>
      </c>
      <c r="AO347" s="55">
        <f>H347*0.322248693</f>
        <v>0</v>
      </c>
      <c r="AP347" s="55">
        <f>H347*(1-0.322248693)</f>
        <v>0</v>
      </c>
      <c r="AQ347" s="58" t="s">
        <v>118</v>
      </c>
      <c r="AV347" s="55">
        <f>AW347+AX347</f>
        <v>0</v>
      </c>
      <c r="AW347" s="55">
        <f>G347*AO347</f>
        <v>0</v>
      </c>
      <c r="AX347" s="55">
        <f>G347*AP347</f>
        <v>0</v>
      </c>
      <c r="AY347" s="58" t="s">
        <v>486</v>
      </c>
      <c r="AZ347" s="58" t="s">
        <v>279</v>
      </c>
      <c r="BA347" s="33" t="s">
        <v>125</v>
      </c>
      <c r="BB347" s="59">
        <v>100038</v>
      </c>
      <c r="BC347" s="55">
        <f>AW347+AX347</f>
        <v>0</v>
      </c>
      <c r="BD347" s="55">
        <f>H347/(100-BE347)*100</f>
        <v>0</v>
      </c>
      <c r="BE347" s="55">
        <v>0</v>
      </c>
      <c r="BF347" s="55">
        <f>L347</f>
        <v>1.2956216E-2</v>
      </c>
      <c r="BH347" s="55">
        <f>G347*AO347</f>
        <v>0</v>
      </c>
      <c r="BI347" s="55">
        <f>G347*AP347</f>
        <v>0</v>
      </c>
      <c r="BJ347" s="55">
        <f>G347*H347</f>
        <v>0</v>
      </c>
      <c r="BK347" s="55"/>
      <c r="BL347" s="55">
        <v>62</v>
      </c>
      <c r="BW347" s="55">
        <v>21</v>
      </c>
      <c r="BX347" s="3" t="s">
        <v>485</v>
      </c>
    </row>
    <row r="348" spans="1:76">
      <c r="A348" s="60"/>
      <c r="D348" s="61" t="s">
        <v>487</v>
      </c>
      <c r="E348" s="61" t="s">
        <v>372</v>
      </c>
      <c r="G348" s="62">
        <v>1.3468</v>
      </c>
      <c r="M348" s="63"/>
    </row>
    <row r="349" spans="1:76" ht="51">
      <c r="A349" s="60"/>
      <c r="C349" s="64" t="s">
        <v>127</v>
      </c>
      <c r="D349" s="618" t="s">
        <v>488</v>
      </c>
      <c r="E349" s="619"/>
      <c r="F349" s="619"/>
      <c r="G349" s="619"/>
      <c r="H349" s="620"/>
      <c r="I349" s="619"/>
      <c r="J349" s="619"/>
      <c r="K349" s="619"/>
      <c r="L349" s="619"/>
      <c r="M349" s="621"/>
      <c r="BX349" s="65" t="s">
        <v>488</v>
      </c>
    </row>
    <row r="350" spans="1:76">
      <c r="A350" s="1" t="s">
        <v>489</v>
      </c>
      <c r="B350" s="2" t="s">
        <v>4</v>
      </c>
      <c r="C350" s="2" t="s">
        <v>490</v>
      </c>
      <c r="D350" s="549" t="s">
        <v>491</v>
      </c>
      <c r="E350" s="546"/>
      <c r="F350" s="2" t="s">
        <v>157</v>
      </c>
      <c r="G350" s="55">
        <v>17.317599999999999</v>
      </c>
      <c r="H350" s="56">
        <v>0</v>
      </c>
      <c r="I350" s="55">
        <f>G350*H350</f>
        <v>0</v>
      </c>
      <c r="J350" s="55">
        <v>0</v>
      </c>
      <c r="K350" s="55">
        <v>5.9000000000000003E-4</v>
      </c>
      <c r="L350" s="55">
        <f>G350*K350</f>
        <v>1.0217383999999999E-2</v>
      </c>
      <c r="M350" s="57" t="s">
        <v>122</v>
      </c>
      <c r="Z350" s="55">
        <f>IF(AQ350="5",BJ350,0)</f>
        <v>0</v>
      </c>
      <c r="AB350" s="55">
        <f>IF(AQ350="1",BH350,0)</f>
        <v>0</v>
      </c>
      <c r="AC350" s="55">
        <f>IF(AQ350="1",BI350,0)</f>
        <v>0</v>
      </c>
      <c r="AD350" s="55">
        <f>IF(AQ350="7",BH350,0)</f>
        <v>0</v>
      </c>
      <c r="AE350" s="55">
        <f>IF(AQ350="7",BI350,0)</f>
        <v>0</v>
      </c>
      <c r="AF350" s="55">
        <f>IF(AQ350="2",BH350,0)</f>
        <v>0</v>
      </c>
      <c r="AG350" s="55">
        <f>IF(AQ350="2",BI350,0)</f>
        <v>0</v>
      </c>
      <c r="AH350" s="55">
        <f>IF(AQ350="0",BJ350,0)</f>
        <v>0</v>
      </c>
      <c r="AI350" s="33" t="s">
        <v>4</v>
      </c>
      <c r="AJ350" s="55">
        <f>IF(AN350=0,I350,0)</f>
        <v>0</v>
      </c>
      <c r="AK350" s="55">
        <f>IF(AN350=12,I350,0)</f>
        <v>0</v>
      </c>
      <c r="AL350" s="55">
        <f>IF(AN350=21,I350,0)</f>
        <v>0</v>
      </c>
      <c r="AN350" s="55">
        <v>21</v>
      </c>
      <c r="AO350" s="55">
        <f>H350*0.559532718</f>
        <v>0</v>
      </c>
      <c r="AP350" s="55">
        <f>H350*(1-0.559532718)</f>
        <v>0</v>
      </c>
      <c r="AQ350" s="58" t="s">
        <v>118</v>
      </c>
      <c r="AV350" s="55">
        <f>AW350+AX350</f>
        <v>0</v>
      </c>
      <c r="AW350" s="55">
        <f>G350*AO350</f>
        <v>0</v>
      </c>
      <c r="AX350" s="55">
        <f>G350*AP350</f>
        <v>0</v>
      </c>
      <c r="AY350" s="58" t="s">
        <v>486</v>
      </c>
      <c r="AZ350" s="58" t="s">
        <v>279</v>
      </c>
      <c r="BA350" s="33" t="s">
        <v>125</v>
      </c>
      <c r="BB350" s="59">
        <v>100038</v>
      </c>
      <c r="BC350" s="55">
        <f>AW350+AX350</f>
        <v>0</v>
      </c>
      <c r="BD350" s="55">
        <f>H350/(100-BE350)*100</f>
        <v>0</v>
      </c>
      <c r="BE350" s="55">
        <v>0</v>
      </c>
      <c r="BF350" s="55">
        <f>L350</f>
        <v>1.0217383999999999E-2</v>
      </c>
      <c r="BH350" s="55">
        <f>G350*AO350</f>
        <v>0</v>
      </c>
      <c r="BI350" s="55">
        <f>G350*AP350</f>
        <v>0</v>
      </c>
      <c r="BJ350" s="55">
        <f>G350*H350</f>
        <v>0</v>
      </c>
      <c r="BK350" s="55"/>
      <c r="BL350" s="55">
        <v>62</v>
      </c>
      <c r="BW350" s="55">
        <v>21</v>
      </c>
      <c r="BX350" s="3" t="s">
        <v>491</v>
      </c>
    </row>
    <row r="351" spans="1:76">
      <c r="A351" s="60"/>
      <c r="D351" s="61" t="s">
        <v>393</v>
      </c>
      <c r="E351" s="61" t="s">
        <v>372</v>
      </c>
      <c r="G351" s="62">
        <v>17.317599999999999</v>
      </c>
      <c r="M351" s="63"/>
    </row>
    <row r="352" spans="1:76" ht="25.5">
      <c r="A352" s="60"/>
      <c r="C352" s="64" t="s">
        <v>127</v>
      </c>
      <c r="D352" s="618" t="s">
        <v>492</v>
      </c>
      <c r="E352" s="619"/>
      <c r="F352" s="619"/>
      <c r="G352" s="619"/>
      <c r="H352" s="620"/>
      <c r="I352" s="619"/>
      <c r="J352" s="619"/>
      <c r="K352" s="619"/>
      <c r="L352" s="619"/>
      <c r="M352" s="621"/>
      <c r="BX352" s="65" t="s">
        <v>492</v>
      </c>
    </row>
    <row r="353" spans="1:76">
      <c r="A353" s="50" t="s">
        <v>4</v>
      </c>
      <c r="B353" s="51" t="s">
        <v>4</v>
      </c>
      <c r="C353" s="51" t="s">
        <v>493</v>
      </c>
      <c r="D353" s="625" t="s">
        <v>494</v>
      </c>
      <c r="E353" s="626"/>
      <c r="F353" s="52" t="s">
        <v>79</v>
      </c>
      <c r="G353" s="52" t="s">
        <v>79</v>
      </c>
      <c r="H353" s="53" t="s">
        <v>79</v>
      </c>
      <c r="I353" s="26">
        <f>SUM(I354:I420)</f>
        <v>0</v>
      </c>
      <c r="J353" s="33" t="s">
        <v>4</v>
      </c>
      <c r="K353" s="33" t="s">
        <v>4</v>
      </c>
      <c r="L353" s="26">
        <f>SUM(L354:L420)</f>
        <v>153.74996555999999</v>
      </c>
      <c r="M353" s="54" t="s">
        <v>4</v>
      </c>
      <c r="AI353" s="33" t="s">
        <v>4</v>
      </c>
      <c r="AS353" s="26">
        <f>SUM(AJ354:AJ420)</f>
        <v>0</v>
      </c>
      <c r="AT353" s="26">
        <f>SUM(AK354:AK420)</f>
        <v>0</v>
      </c>
      <c r="AU353" s="26">
        <f>SUM(AL354:AL420)</f>
        <v>0</v>
      </c>
    </row>
    <row r="354" spans="1:76">
      <c r="A354" s="1" t="s">
        <v>495</v>
      </c>
      <c r="B354" s="2" t="s">
        <v>4</v>
      </c>
      <c r="C354" s="2" t="s">
        <v>496</v>
      </c>
      <c r="D354" s="549" t="s">
        <v>497</v>
      </c>
      <c r="E354" s="546"/>
      <c r="F354" s="2" t="s">
        <v>157</v>
      </c>
      <c r="G354" s="55">
        <v>103.88</v>
      </c>
      <c r="H354" s="56">
        <v>0</v>
      </c>
      <c r="I354" s="55">
        <f>G354*H354</f>
        <v>0</v>
      </c>
      <c r="J354" s="55">
        <v>0</v>
      </c>
      <c r="K354" s="55">
        <v>4.265E-2</v>
      </c>
      <c r="L354" s="55">
        <f>G354*K354</f>
        <v>4.4304819999999996</v>
      </c>
      <c r="M354" s="57" t="s">
        <v>122</v>
      </c>
      <c r="Z354" s="55">
        <f>IF(AQ354="5",BJ354,0)</f>
        <v>0</v>
      </c>
      <c r="AB354" s="55">
        <f>IF(AQ354="1",BH354,0)</f>
        <v>0</v>
      </c>
      <c r="AC354" s="55">
        <f>IF(AQ354="1",BI354,0)</f>
        <v>0</v>
      </c>
      <c r="AD354" s="55">
        <f>IF(AQ354="7",BH354,0)</f>
        <v>0</v>
      </c>
      <c r="AE354" s="55">
        <f>IF(AQ354="7",BI354,0)</f>
        <v>0</v>
      </c>
      <c r="AF354" s="55">
        <f>IF(AQ354="2",BH354,0)</f>
        <v>0</v>
      </c>
      <c r="AG354" s="55">
        <f>IF(AQ354="2",BI354,0)</f>
        <v>0</v>
      </c>
      <c r="AH354" s="55">
        <f>IF(AQ354="0",BJ354,0)</f>
        <v>0</v>
      </c>
      <c r="AI354" s="33" t="s">
        <v>4</v>
      </c>
      <c r="AJ354" s="55">
        <f>IF(AN354=0,I354,0)</f>
        <v>0</v>
      </c>
      <c r="AK354" s="55">
        <f>IF(AN354=12,I354,0)</f>
        <v>0</v>
      </c>
      <c r="AL354" s="55">
        <f>IF(AN354=21,I354,0)</f>
        <v>0</v>
      </c>
      <c r="AN354" s="55">
        <v>21</v>
      </c>
      <c r="AO354" s="55">
        <f>H354*0.793407672</f>
        <v>0</v>
      </c>
      <c r="AP354" s="55">
        <f>H354*(1-0.793407672)</f>
        <v>0</v>
      </c>
      <c r="AQ354" s="58" t="s">
        <v>118</v>
      </c>
      <c r="AV354" s="55">
        <f>AW354+AX354</f>
        <v>0</v>
      </c>
      <c r="AW354" s="55">
        <f>G354*AO354</f>
        <v>0</v>
      </c>
      <c r="AX354" s="55">
        <f>G354*AP354</f>
        <v>0</v>
      </c>
      <c r="AY354" s="58" t="s">
        <v>498</v>
      </c>
      <c r="AZ354" s="58" t="s">
        <v>279</v>
      </c>
      <c r="BA354" s="33" t="s">
        <v>125</v>
      </c>
      <c r="BB354" s="59">
        <v>100033</v>
      </c>
      <c r="BC354" s="55">
        <f>AW354+AX354</f>
        <v>0</v>
      </c>
      <c r="BD354" s="55">
        <f>H354/(100-BE354)*100</f>
        <v>0</v>
      </c>
      <c r="BE354" s="55">
        <v>0</v>
      </c>
      <c r="BF354" s="55">
        <f>L354</f>
        <v>4.4304819999999996</v>
      </c>
      <c r="BH354" s="55">
        <f>G354*AO354</f>
        <v>0</v>
      </c>
      <c r="BI354" s="55">
        <f>G354*AP354</f>
        <v>0</v>
      </c>
      <c r="BJ354" s="55">
        <f>G354*H354</f>
        <v>0</v>
      </c>
      <c r="BK354" s="55"/>
      <c r="BL354" s="55">
        <v>63</v>
      </c>
      <c r="BW354" s="55">
        <v>21</v>
      </c>
      <c r="BX354" s="3" t="s">
        <v>497</v>
      </c>
    </row>
    <row r="355" spans="1:76" ht="13.5" customHeight="1">
      <c r="A355" s="60"/>
      <c r="D355" s="634" t="s">
        <v>499</v>
      </c>
      <c r="E355" s="635"/>
      <c r="F355" s="635"/>
      <c r="G355" s="635"/>
      <c r="H355" s="636"/>
      <c r="I355" s="635"/>
      <c r="J355" s="635"/>
      <c r="K355" s="635"/>
      <c r="L355" s="635"/>
      <c r="M355" s="637"/>
    </row>
    <row r="356" spans="1:76">
      <c r="A356" s="60"/>
      <c r="D356" s="61" t="s">
        <v>500</v>
      </c>
      <c r="E356" s="61" t="s">
        <v>501</v>
      </c>
      <c r="G356" s="62">
        <v>15.79</v>
      </c>
      <c r="M356" s="63"/>
    </row>
    <row r="357" spans="1:76">
      <c r="A357" s="60"/>
      <c r="D357" s="61" t="s">
        <v>502</v>
      </c>
      <c r="E357" s="61" t="s">
        <v>503</v>
      </c>
      <c r="G357" s="62">
        <v>2.61</v>
      </c>
      <c r="M357" s="63"/>
    </row>
    <row r="358" spans="1:76">
      <c r="A358" s="60"/>
      <c r="D358" s="61" t="s">
        <v>504</v>
      </c>
      <c r="E358" s="61" t="s">
        <v>505</v>
      </c>
      <c r="G358" s="62">
        <v>1.89</v>
      </c>
      <c r="M358" s="63"/>
    </row>
    <row r="359" spans="1:76">
      <c r="A359" s="60"/>
      <c r="D359" s="61" t="s">
        <v>506</v>
      </c>
      <c r="E359" s="61" t="s">
        <v>507</v>
      </c>
      <c r="G359" s="62">
        <v>5.2</v>
      </c>
      <c r="M359" s="63"/>
    </row>
    <row r="360" spans="1:76">
      <c r="A360" s="60"/>
      <c r="D360" s="61" t="s">
        <v>508</v>
      </c>
      <c r="E360" s="61" t="s">
        <v>509</v>
      </c>
      <c r="G360" s="62">
        <v>4.7300000000000004</v>
      </c>
      <c r="M360" s="63"/>
    </row>
    <row r="361" spans="1:76">
      <c r="A361" s="60"/>
      <c r="D361" s="61" t="s">
        <v>510</v>
      </c>
      <c r="E361" s="61" t="s">
        <v>511</v>
      </c>
      <c r="G361" s="62">
        <v>4.42</v>
      </c>
      <c r="M361" s="63"/>
    </row>
    <row r="362" spans="1:76">
      <c r="A362" s="60"/>
      <c r="D362" s="61" t="s">
        <v>512</v>
      </c>
      <c r="E362" s="61" t="s">
        <v>513</v>
      </c>
      <c r="G362" s="62">
        <v>5.34</v>
      </c>
      <c r="M362" s="63"/>
    </row>
    <row r="363" spans="1:76">
      <c r="A363" s="60"/>
      <c r="D363" s="61" t="s">
        <v>514</v>
      </c>
      <c r="E363" s="61" t="s">
        <v>515</v>
      </c>
      <c r="G363" s="62">
        <v>5.21</v>
      </c>
      <c r="M363" s="63"/>
    </row>
    <row r="364" spans="1:76">
      <c r="A364" s="60"/>
      <c r="D364" s="61" t="s">
        <v>516</v>
      </c>
      <c r="E364" s="61" t="s">
        <v>517</v>
      </c>
      <c r="G364" s="62">
        <v>5.63</v>
      </c>
      <c r="M364" s="63"/>
    </row>
    <row r="365" spans="1:76">
      <c r="A365" s="60"/>
      <c r="D365" s="61" t="s">
        <v>518</v>
      </c>
      <c r="E365" s="61" t="s">
        <v>519</v>
      </c>
      <c r="G365" s="62">
        <v>16.84</v>
      </c>
      <c r="M365" s="63"/>
    </row>
    <row r="366" spans="1:76">
      <c r="A366" s="60"/>
      <c r="D366" s="61" t="s">
        <v>520</v>
      </c>
      <c r="E366" s="61" t="s">
        <v>521</v>
      </c>
      <c r="G366" s="62">
        <v>9.5500000000000007</v>
      </c>
      <c r="M366" s="63"/>
    </row>
    <row r="367" spans="1:76">
      <c r="A367" s="60"/>
      <c r="D367" s="61" t="s">
        <v>522</v>
      </c>
      <c r="E367" s="61" t="s">
        <v>314</v>
      </c>
      <c r="G367" s="62">
        <v>8.5</v>
      </c>
      <c r="M367" s="63"/>
    </row>
    <row r="368" spans="1:76">
      <c r="A368" s="60"/>
      <c r="D368" s="61" t="s">
        <v>523</v>
      </c>
      <c r="E368" s="61" t="s">
        <v>318</v>
      </c>
      <c r="G368" s="62">
        <v>1.86</v>
      </c>
      <c r="M368" s="63"/>
    </row>
    <row r="369" spans="1:76">
      <c r="A369" s="60"/>
      <c r="D369" s="61" t="s">
        <v>524</v>
      </c>
      <c r="E369" s="61" t="s">
        <v>525</v>
      </c>
      <c r="G369" s="62">
        <v>6.51</v>
      </c>
      <c r="M369" s="63"/>
    </row>
    <row r="370" spans="1:76">
      <c r="A370" s="60"/>
      <c r="D370" s="61" t="s">
        <v>526</v>
      </c>
      <c r="E370" s="61" t="s">
        <v>324</v>
      </c>
      <c r="G370" s="62">
        <v>4.93</v>
      </c>
      <c r="M370" s="63"/>
    </row>
    <row r="371" spans="1:76">
      <c r="A371" s="60"/>
      <c r="D371" s="61" t="s">
        <v>527</v>
      </c>
      <c r="E371" s="61" t="s">
        <v>528</v>
      </c>
      <c r="G371" s="62">
        <v>4.87</v>
      </c>
      <c r="M371" s="63"/>
    </row>
    <row r="372" spans="1:76" ht="25.5">
      <c r="A372" s="60"/>
      <c r="C372" s="64" t="s">
        <v>127</v>
      </c>
      <c r="D372" s="618" t="s">
        <v>529</v>
      </c>
      <c r="E372" s="619"/>
      <c r="F372" s="619"/>
      <c r="G372" s="619"/>
      <c r="H372" s="620"/>
      <c r="I372" s="619"/>
      <c r="J372" s="619"/>
      <c r="K372" s="619"/>
      <c r="L372" s="619"/>
      <c r="M372" s="621"/>
      <c r="BX372" s="65" t="s">
        <v>529</v>
      </c>
    </row>
    <row r="373" spans="1:76">
      <c r="A373" s="1" t="s">
        <v>187</v>
      </c>
      <c r="B373" s="2" t="s">
        <v>4</v>
      </c>
      <c r="C373" s="2" t="s">
        <v>530</v>
      </c>
      <c r="D373" s="549" t="s">
        <v>531</v>
      </c>
      <c r="E373" s="546"/>
      <c r="F373" s="2" t="s">
        <v>157</v>
      </c>
      <c r="G373" s="55">
        <v>397.63</v>
      </c>
      <c r="H373" s="56">
        <v>0</v>
      </c>
      <c r="I373" s="55">
        <f>G373*H373</f>
        <v>0</v>
      </c>
      <c r="J373" s="55">
        <v>0</v>
      </c>
      <c r="K373" s="55">
        <v>3.415E-2</v>
      </c>
      <c r="L373" s="55">
        <f>G373*K373</f>
        <v>13.579064499999999</v>
      </c>
      <c r="M373" s="57" t="s">
        <v>122</v>
      </c>
      <c r="Z373" s="55">
        <f>IF(AQ373="5",BJ373,0)</f>
        <v>0</v>
      </c>
      <c r="AB373" s="55">
        <f>IF(AQ373="1",BH373,0)</f>
        <v>0</v>
      </c>
      <c r="AC373" s="55">
        <f>IF(AQ373="1",BI373,0)</f>
        <v>0</v>
      </c>
      <c r="AD373" s="55">
        <f>IF(AQ373="7",BH373,0)</f>
        <v>0</v>
      </c>
      <c r="AE373" s="55">
        <f>IF(AQ373="7",BI373,0)</f>
        <v>0</v>
      </c>
      <c r="AF373" s="55">
        <f>IF(AQ373="2",BH373,0)</f>
        <v>0</v>
      </c>
      <c r="AG373" s="55">
        <f>IF(AQ373="2",BI373,0)</f>
        <v>0</v>
      </c>
      <c r="AH373" s="55">
        <f>IF(AQ373="0",BJ373,0)</f>
        <v>0</v>
      </c>
      <c r="AI373" s="33" t="s">
        <v>4</v>
      </c>
      <c r="AJ373" s="55">
        <f>IF(AN373=0,I373,0)</f>
        <v>0</v>
      </c>
      <c r="AK373" s="55">
        <f>IF(AN373=12,I373,0)</f>
        <v>0</v>
      </c>
      <c r="AL373" s="55">
        <f>IF(AN373=21,I373,0)</f>
        <v>0</v>
      </c>
      <c r="AN373" s="55">
        <v>21</v>
      </c>
      <c r="AO373" s="55">
        <f>H373*0.7621303</f>
        <v>0</v>
      </c>
      <c r="AP373" s="55">
        <f>H373*(1-0.7621303)</f>
        <v>0</v>
      </c>
      <c r="AQ373" s="58" t="s">
        <v>118</v>
      </c>
      <c r="AV373" s="55">
        <f>AW373+AX373</f>
        <v>0</v>
      </c>
      <c r="AW373" s="55">
        <f>G373*AO373</f>
        <v>0</v>
      </c>
      <c r="AX373" s="55">
        <f>G373*AP373</f>
        <v>0</v>
      </c>
      <c r="AY373" s="58" t="s">
        <v>498</v>
      </c>
      <c r="AZ373" s="58" t="s">
        <v>279</v>
      </c>
      <c r="BA373" s="33" t="s">
        <v>125</v>
      </c>
      <c r="BB373" s="59">
        <v>100033</v>
      </c>
      <c r="BC373" s="55">
        <f>AW373+AX373</f>
        <v>0</v>
      </c>
      <c r="BD373" s="55">
        <f>H373/(100-BE373)*100</f>
        <v>0</v>
      </c>
      <c r="BE373" s="55">
        <v>0</v>
      </c>
      <c r="BF373" s="55">
        <f>L373</f>
        <v>13.579064499999999</v>
      </c>
      <c r="BH373" s="55">
        <f>G373*AO373</f>
        <v>0</v>
      </c>
      <c r="BI373" s="55">
        <f>G373*AP373</f>
        <v>0</v>
      </c>
      <c r="BJ373" s="55">
        <f>G373*H373</f>
        <v>0</v>
      </c>
      <c r="BK373" s="55"/>
      <c r="BL373" s="55">
        <v>63</v>
      </c>
      <c r="BW373" s="55">
        <v>21</v>
      </c>
      <c r="BX373" s="3" t="s">
        <v>531</v>
      </c>
    </row>
    <row r="374" spans="1:76" ht="13.5" customHeight="1">
      <c r="A374" s="60"/>
      <c r="D374" s="634" t="s">
        <v>499</v>
      </c>
      <c r="E374" s="635"/>
      <c r="F374" s="635"/>
      <c r="G374" s="635"/>
      <c r="H374" s="636"/>
      <c r="I374" s="635"/>
      <c r="J374" s="635"/>
      <c r="K374" s="635"/>
      <c r="L374" s="635"/>
      <c r="M374" s="637"/>
    </row>
    <row r="375" spans="1:76">
      <c r="A375" s="60"/>
      <c r="D375" s="61" t="s">
        <v>532</v>
      </c>
      <c r="E375" s="61" t="s">
        <v>533</v>
      </c>
      <c r="G375" s="62">
        <v>22.2</v>
      </c>
      <c r="M375" s="63"/>
    </row>
    <row r="376" spans="1:76">
      <c r="A376" s="60"/>
      <c r="D376" s="61" t="s">
        <v>534</v>
      </c>
      <c r="E376" s="61" t="s">
        <v>535</v>
      </c>
      <c r="G376" s="62">
        <v>21.64</v>
      </c>
      <c r="M376" s="63"/>
    </row>
    <row r="377" spans="1:76">
      <c r="A377" s="60"/>
      <c r="D377" s="61" t="s">
        <v>536</v>
      </c>
      <c r="E377" s="61" t="s">
        <v>537</v>
      </c>
      <c r="G377" s="62">
        <v>20.81</v>
      </c>
      <c r="M377" s="63"/>
    </row>
    <row r="378" spans="1:76">
      <c r="A378" s="60"/>
      <c r="D378" s="61" t="s">
        <v>538</v>
      </c>
      <c r="E378" s="61" t="s">
        <v>539</v>
      </c>
      <c r="G378" s="62">
        <v>21.75</v>
      </c>
      <c r="M378" s="63"/>
    </row>
    <row r="379" spans="1:76">
      <c r="A379" s="60"/>
      <c r="D379" s="61" t="s">
        <v>540</v>
      </c>
      <c r="E379" s="61" t="s">
        <v>541</v>
      </c>
      <c r="G379" s="62">
        <v>19.22</v>
      </c>
      <c r="M379" s="63"/>
    </row>
    <row r="380" spans="1:76">
      <c r="A380" s="60"/>
      <c r="D380" s="61" t="s">
        <v>542</v>
      </c>
      <c r="E380" s="61" t="s">
        <v>543</v>
      </c>
      <c r="G380" s="62">
        <v>20.36</v>
      </c>
      <c r="M380" s="63"/>
    </row>
    <row r="381" spans="1:76">
      <c r="A381" s="60"/>
      <c r="D381" s="61" t="s">
        <v>544</v>
      </c>
      <c r="E381" s="61" t="s">
        <v>545</v>
      </c>
      <c r="G381" s="62">
        <v>7.3</v>
      </c>
      <c r="M381" s="63"/>
    </row>
    <row r="382" spans="1:76">
      <c r="A382" s="60"/>
      <c r="D382" s="61" t="s">
        <v>546</v>
      </c>
      <c r="E382" s="61" t="s">
        <v>547</v>
      </c>
      <c r="G382" s="62">
        <v>29.33</v>
      </c>
      <c r="M382" s="63"/>
    </row>
    <row r="383" spans="1:76">
      <c r="A383" s="60"/>
      <c r="D383" s="61" t="s">
        <v>548</v>
      </c>
      <c r="E383" s="61" t="s">
        <v>310</v>
      </c>
      <c r="G383" s="62">
        <v>154.38</v>
      </c>
      <c r="M383" s="63"/>
    </row>
    <row r="384" spans="1:76">
      <c r="A384" s="60"/>
      <c r="D384" s="61" t="s">
        <v>549</v>
      </c>
      <c r="E384" s="61" t="s">
        <v>550</v>
      </c>
      <c r="G384" s="62">
        <v>36.67</v>
      </c>
      <c r="M384" s="63"/>
    </row>
    <row r="385" spans="1:76">
      <c r="A385" s="60"/>
      <c r="D385" s="61" t="s">
        <v>551</v>
      </c>
      <c r="E385" s="61" t="s">
        <v>552</v>
      </c>
      <c r="G385" s="62">
        <v>25.08</v>
      </c>
      <c r="M385" s="63"/>
    </row>
    <row r="386" spans="1:76">
      <c r="A386" s="60"/>
      <c r="D386" s="61" t="s">
        <v>553</v>
      </c>
      <c r="E386" s="61" t="s">
        <v>554</v>
      </c>
      <c r="G386" s="62">
        <v>18.89</v>
      </c>
      <c r="M386" s="63"/>
    </row>
    <row r="387" spans="1:76" ht="25.5">
      <c r="A387" s="60"/>
      <c r="C387" s="64" t="s">
        <v>127</v>
      </c>
      <c r="D387" s="618" t="s">
        <v>529</v>
      </c>
      <c r="E387" s="619"/>
      <c r="F387" s="619"/>
      <c r="G387" s="619"/>
      <c r="H387" s="620"/>
      <c r="I387" s="619"/>
      <c r="J387" s="619"/>
      <c r="K387" s="619"/>
      <c r="L387" s="619"/>
      <c r="M387" s="621"/>
      <c r="BX387" s="65" t="s">
        <v>529</v>
      </c>
    </row>
    <row r="388" spans="1:76">
      <c r="A388" s="1" t="s">
        <v>555</v>
      </c>
      <c r="B388" s="2" t="s">
        <v>4</v>
      </c>
      <c r="C388" s="2" t="s">
        <v>556</v>
      </c>
      <c r="D388" s="549" t="s">
        <v>557</v>
      </c>
      <c r="E388" s="546"/>
      <c r="F388" s="2" t="s">
        <v>157</v>
      </c>
      <c r="G388" s="55">
        <v>397.63</v>
      </c>
      <c r="H388" s="56">
        <v>0</v>
      </c>
      <c r="I388" s="55">
        <f>G388*H388</f>
        <v>0</v>
      </c>
      <c r="J388" s="55">
        <v>0</v>
      </c>
      <c r="K388" s="55">
        <v>6.9499999999999996E-3</v>
      </c>
      <c r="L388" s="55">
        <f>G388*K388</f>
        <v>2.7635284999999996</v>
      </c>
      <c r="M388" s="57" t="s">
        <v>122</v>
      </c>
      <c r="Z388" s="55">
        <f>IF(AQ388="5",BJ388,0)</f>
        <v>0</v>
      </c>
      <c r="AB388" s="55">
        <f>IF(AQ388="1",BH388,0)</f>
        <v>0</v>
      </c>
      <c r="AC388" s="55">
        <f>IF(AQ388="1",BI388,0)</f>
        <v>0</v>
      </c>
      <c r="AD388" s="55">
        <f>IF(AQ388="7",BH388,0)</f>
        <v>0</v>
      </c>
      <c r="AE388" s="55">
        <f>IF(AQ388="7",BI388,0)</f>
        <v>0</v>
      </c>
      <c r="AF388" s="55">
        <f>IF(AQ388="2",BH388,0)</f>
        <v>0</v>
      </c>
      <c r="AG388" s="55">
        <f>IF(AQ388="2",BI388,0)</f>
        <v>0</v>
      </c>
      <c r="AH388" s="55">
        <f>IF(AQ388="0",BJ388,0)</f>
        <v>0</v>
      </c>
      <c r="AI388" s="33" t="s">
        <v>4</v>
      </c>
      <c r="AJ388" s="55">
        <f>IF(AN388=0,I388,0)</f>
        <v>0</v>
      </c>
      <c r="AK388" s="55">
        <f>IF(AN388=12,I388,0)</f>
        <v>0</v>
      </c>
      <c r="AL388" s="55">
        <f>IF(AN388=21,I388,0)</f>
        <v>0</v>
      </c>
      <c r="AN388" s="55">
        <v>21</v>
      </c>
      <c r="AO388" s="55">
        <f>H388*0.455741677</f>
        <v>0</v>
      </c>
      <c r="AP388" s="55">
        <f>H388*(1-0.455741677)</f>
        <v>0</v>
      </c>
      <c r="AQ388" s="58" t="s">
        <v>118</v>
      </c>
      <c r="AV388" s="55">
        <f>AW388+AX388</f>
        <v>0</v>
      </c>
      <c r="AW388" s="55">
        <f>G388*AO388</f>
        <v>0</v>
      </c>
      <c r="AX388" s="55">
        <f>G388*AP388</f>
        <v>0</v>
      </c>
      <c r="AY388" s="58" t="s">
        <v>498</v>
      </c>
      <c r="AZ388" s="58" t="s">
        <v>279</v>
      </c>
      <c r="BA388" s="33" t="s">
        <v>125</v>
      </c>
      <c r="BB388" s="59">
        <v>100033</v>
      </c>
      <c r="BC388" s="55">
        <f>AW388+AX388</f>
        <v>0</v>
      </c>
      <c r="BD388" s="55">
        <f>H388/(100-BE388)*100</f>
        <v>0</v>
      </c>
      <c r="BE388" s="55">
        <v>0</v>
      </c>
      <c r="BF388" s="55">
        <f>L388</f>
        <v>2.7635284999999996</v>
      </c>
      <c r="BH388" s="55">
        <f>G388*AO388</f>
        <v>0</v>
      </c>
      <c r="BI388" s="55">
        <f>G388*AP388</f>
        <v>0</v>
      </c>
      <c r="BJ388" s="55">
        <f>G388*H388</f>
        <v>0</v>
      </c>
      <c r="BK388" s="55"/>
      <c r="BL388" s="55">
        <v>63</v>
      </c>
      <c r="BW388" s="55">
        <v>21</v>
      </c>
      <c r="BX388" s="3" t="s">
        <v>557</v>
      </c>
    </row>
    <row r="389" spans="1:76" ht="13.5" customHeight="1">
      <c r="A389" s="60"/>
      <c r="D389" s="634" t="s">
        <v>558</v>
      </c>
      <c r="E389" s="635"/>
      <c r="F389" s="635"/>
      <c r="G389" s="635"/>
      <c r="H389" s="636"/>
      <c r="I389" s="635"/>
      <c r="J389" s="635"/>
      <c r="K389" s="635"/>
      <c r="L389" s="635"/>
      <c r="M389" s="637"/>
    </row>
    <row r="390" spans="1:76">
      <c r="A390" s="60"/>
      <c r="D390" s="61" t="s">
        <v>532</v>
      </c>
      <c r="E390" s="61" t="s">
        <v>533</v>
      </c>
      <c r="G390" s="62">
        <v>22.2</v>
      </c>
      <c r="M390" s="63"/>
    </row>
    <row r="391" spans="1:76">
      <c r="A391" s="60"/>
      <c r="D391" s="61" t="s">
        <v>534</v>
      </c>
      <c r="E391" s="61" t="s">
        <v>535</v>
      </c>
      <c r="G391" s="62">
        <v>21.64</v>
      </c>
      <c r="M391" s="63"/>
    </row>
    <row r="392" spans="1:76">
      <c r="A392" s="60"/>
      <c r="D392" s="61" t="s">
        <v>536</v>
      </c>
      <c r="E392" s="61" t="s">
        <v>537</v>
      </c>
      <c r="G392" s="62">
        <v>20.81</v>
      </c>
      <c r="M392" s="63"/>
    </row>
    <row r="393" spans="1:76">
      <c r="A393" s="60"/>
      <c r="D393" s="61" t="s">
        <v>538</v>
      </c>
      <c r="E393" s="61" t="s">
        <v>539</v>
      </c>
      <c r="G393" s="62">
        <v>21.75</v>
      </c>
      <c r="M393" s="63"/>
    </row>
    <row r="394" spans="1:76">
      <c r="A394" s="60"/>
      <c r="D394" s="61" t="s">
        <v>540</v>
      </c>
      <c r="E394" s="61" t="s">
        <v>541</v>
      </c>
      <c r="G394" s="62">
        <v>19.22</v>
      </c>
      <c r="M394" s="63"/>
    </row>
    <row r="395" spans="1:76">
      <c r="A395" s="60"/>
      <c r="D395" s="61" t="s">
        <v>542</v>
      </c>
      <c r="E395" s="61" t="s">
        <v>543</v>
      </c>
      <c r="G395" s="62">
        <v>20.36</v>
      </c>
      <c r="M395" s="63"/>
    </row>
    <row r="396" spans="1:76">
      <c r="A396" s="60"/>
      <c r="D396" s="61" t="s">
        <v>544</v>
      </c>
      <c r="E396" s="61" t="s">
        <v>545</v>
      </c>
      <c r="G396" s="62">
        <v>7.3</v>
      </c>
      <c r="M396" s="63"/>
    </row>
    <row r="397" spans="1:76">
      <c r="A397" s="60"/>
      <c r="D397" s="61" t="s">
        <v>548</v>
      </c>
      <c r="E397" s="61" t="s">
        <v>310</v>
      </c>
      <c r="G397" s="62">
        <v>154.38</v>
      </c>
      <c r="M397" s="63"/>
    </row>
    <row r="398" spans="1:76">
      <c r="A398" s="60"/>
      <c r="D398" s="61" t="s">
        <v>546</v>
      </c>
      <c r="E398" s="61" t="s">
        <v>547</v>
      </c>
      <c r="G398" s="62">
        <v>29.33</v>
      </c>
      <c r="M398" s="63"/>
    </row>
    <row r="399" spans="1:76">
      <c r="A399" s="60"/>
      <c r="D399" s="61" t="s">
        <v>549</v>
      </c>
      <c r="E399" s="61" t="s">
        <v>550</v>
      </c>
      <c r="G399" s="62">
        <v>36.67</v>
      </c>
      <c r="M399" s="63"/>
    </row>
    <row r="400" spans="1:76">
      <c r="A400" s="60"/>
      <c r="D400" s="61" t="s">
        <v>551</v>
      </c>
      <c r="E400" s="61" t="s">
        <v>552</v>
      </c>
      <c r="G400" s="62">
        <v>25.08</v>
      </c>
      <c r="M400" s="63"/>
    </row>
    <row r="401" spans="1:76">
      <c r="A401" s="60"/>
      <c r="D401" s="61" t="s">
        <v>553</v>
      </c>
      <c r="E401" s="61" t="s">
        <v>554</v>
      </c>
      <c r="G401" s="62">
        <v>18.89</v>
      </c>
      <c r="M401" s="63"/>
    </row>
    <row r="402" spans="1:76" ht="25.5">
      <c r="A402" s="60"/>
      <c r="C402" s="64" t="s">
        <v>127</v>
      </c>
      <c r="D402" s="618" t="s">
        <v>529</v>
      </c>
      <c r="E402" s="619"/>
      <c r="F402" s="619"/>
      <c r="G402" s="619"/>
      <c r="H402" s="620"/>
      <c r="I402" s="619"/>
      <c r="J402" s="619"/>
      <c r="K402" s="619"/>
      <c r="L402" s="619"/>
      <c r="M402" s="621"/>
      <c r="BX402" s="65" t="s">
        <v>529</v>
      </c>
    </row>
    <row r="403" spans="1:76">
      <c r="A403" s="1" t="s">
        <v>559</v>
      </c>
      <c r="B403" s="2" t="s">
        <v>4</v>
      </c>
      <c r="C403" s="2" t="s">
        <v>560</v>
      </c>
      <c r="D403" s="549" t="s">
        <v>561</v>
      </c>
      <c r="E403" s="546"/>
      <c r="F403" s="2" t="s">
        <v>121</v>
      </c>
      <c r="G403" s="55">
        <v>3.7824</v>
      </c>
      <c r="H403" s="56">
        <v>0</v>
      </c>
      <c r="I403" s="55">
        <f>G403*H403</f>
        <v>0</v>
      </c>
      <c r="J403" s="55">
        <v>0</v>
      </c>
      <c r="K403" s="55">
        <v>2.3633999999999999</v>
      </c>
      <c r="L403" s="55">
        <f>G403*K403</f>
        <v>8.93932416</v>
      </c>
      <c r="M403" s="57" t="s">
        <v>122</v>
      </c>
      <c r="Z403" s="55">
        <f>IF(AQ403="5",BJ403,0)</f>
        <v>0</v>
      </c>
      <c r="AB403" s="55">
        <f>IF(AQ403="1",BH403,0)</f>
        <v>0</v>
      </c>
      <c r="AC403" s="55">
        <f>IF(AQ403="1",BI403,0)</f>
        <v>0</v>
      </c>
      <c r="AD403" s="55">
        <f>IF(AQ403="7",BH403,0)</f>
        <v>0</v>
      </c>
      <c r="AE403" s="55">
        <f>IF(AQ403="7",BI403,0)</f>
        <v>0</v>
      </c>
      <c r="AF403" s="55">
        <f>IF(AQ403="2",BH403,0)</f>
        <v>0</v>
      </c>
      <c r="AG403" s="55">
        <f>IF(AQ403="2",BI403,0)</f>
        <v>0</v>
      </c>
      <c r="AH403" s="55">
        <f>IF(AQ403="0",BJ403,0)</f>
        <v>0</v>
      </c>
      <c r="AI403" s="33" t="s">
        <v>4</v>
      </c>
      <c r="AJ403" s="55">
        <f>IF(AN403=0,I403,0)</f>
        <v>0</v>
      </c>
      <c r="AK403" s="55">
        <f>IF(AN403=12,I403,0)</f>
        <v>0</v>
      </c>
      <c r="AL403" s="55">
        <f>IF(AN403=21,I403,0)</f>
        <v>0</v>
      </c>
      <c r="AN403" s="55">
        <v>21</v>
      </c>
      <c r="AO403" s="55">
        <f>H403*0.778567767</f>
        <v>0</v>
      </c>
      <c r="AP403" s="55">
        <f>H403*(1-0.778567767)</f>
        <v>0</v>
      </c>
      <c r="AQ403" s="58" t="s">
        <v>118</v>
      </c>
      <c r="AV403" s="55">
        <f>AW403+AX403</f>
        <v>0</v>
      </c>
      <c r="AW403" s="55">
        <f>G403*AO403</f>
        <v>0</v>
      </c>
      <c r="AX403" s="55">
        <f>G403*AP403</f>
        <v>0</v>
      </c>
      <c r="AY403" s="58" t="s">
        <v>498</v>
      </c>
      <c r="AZ403" s="58" t="s">
        <v>279</v>
      </c>
      <c r="BA403" s="33" t="s">
        <v>125</v>
      </c>
      <c r="BB403" s="59">
        <v>100033</v>
      </c>
      <c r="BC403" s="55">
        <f>AW403+AX403</f>
        <v>0</v>
      </c>
      <c r="BD403" s="55">
        <f>H403/(100-BE403)*100</f>
        <v>0</v>
      </c>
      <c r="BE403" s="55">
        <v>0</v>
      </c>
      <c r="BF403" s="55">
        <f>L403</f>
        <v>8.93932416</v>
      </c>
      <c r="BH403" s="55">
        <f>G403*AO403</f>
        <v>0</v>
      </c>
      <c r="BI403" s="55">
        <f>G403*AP403</f>
        <v>0</v>
      </c>
      <c r="BJ403" s="55">
        <f>G403*H403</f>
        <v>0</v>
      </c>
      <c r="BK403" s="55"/>
      <c r="BL403" s="55">
        <v>63</v>
      </c>
      <c r="BW403" s="55">
        <v>21</v>
      </c>
      <c r="BX403" s="3" t="s">
        <v>561</v>
      </c>
    </row>
    <row r="404" spans="1:76" ht="13.5" customHeight="1">
      <c r="A404" s="60"/>
      <c r="D404" s="634" t="s">
        <v>562</v>
      </c>
      <c r="E404" s="635"/>
      <c r="F404" s="635"/>
      <c r="G404" s="635"/>
      <c r="H404" s="636"/>
      <c r="I404" s="635"/>
      <c r="J404" s="635"/>
      <c r="K404" s="635"/>
      <c r="L404" s="635"/>
      <c r="M404" s="637"/>
    </row>
    <row r="405" spans="1:76">
      <c r="A405" s="60"/>
      <c r="D405" s="61" t="s">
        <v>563</v>
      </c>
      <c r="E405" s="61" t="s">
        <v>4</v>
      </c>
      <c r="G405" s="62">
        <v>3.7824</v>
      </c>
      <c r="M405" s="63"/>
    </row>
    <row r="406" spans="1:76" ht="51">
      <c r="A406" s="60"/>
      <c r="C406" s="64" t="s">
        <v>127</v>
      </c>
      <c r="D406" s="618" t="s">
        <v>564</v>
      </c>
      <c r="E406" s="619"/>
      <c r="F406" s="619"/>
      <c r="G406" s="619"/>
      <c r="H406" s="620"/>
      <c r="I406" s="619"/>
      <c r="J406" s="619"/>
      <c r="K406" s="619"/>
      <c r="L406" s="619"/>
      <c r="M406" s="621"/>
      <c r="BX406" s="65" t="s">
        <v>564</v>
      </c>
    </row>
    <row r="407" spans="1:76">
      <c r="A407" s="1" t="s">
        <v>565</v>
      </c>
      <c r="B407" s="2" t="s">
        <v>4</v>
      </c>
      <c r="C407" s="2" t="s">
        <v>566</v>
      </c>
      <c r="D407" s="549" t="s">
        <v>567</v>
      </c>
      <c r="E407" s="546"/>
      <c r="F407" s="2" t="s">
        <v>219</v>
      </c>
      <c r="G407" s="55">
        <v>126.08</v>
      </c>
      <c r="H407" s="56">
        <v>0</v>
      </c>
      <c r="I407" s="55">
        <f>G407*H407</f>
        <v>0</v>
      </c>
      <c r="J407" s="55">
        <v>0</v>
      </c>
      <c r="K407" s="55">
        <v>1.2800000000000001E-3</v>
      </c>
      <c r="L407" s="55">
        <f>G407*K407</f>
        <v>0.16138240000000001</v>
      </c>
      <c r="M407" s="57" t="s">
        <v>122</v>
      </c>
      <c r="Z407" s="55">
        <f>IF(AQ407="5",BJ407,0)</f>
        <v>0</v>
      </c>
      <c r="AB407" s="55">
        <f>IF(AQ407="1",BH407,0)</f>
        <v>0</v>
      </c>
      <c r="AC407" s="55">
        <f>IF(AQ407="1",BI407,0)</f>
        <v>0</v>
      </c>
      <c r="AD407" s="55">
        <f>IF(AQ407="7",BH407,0)</f>
        <v>0</v>
      </c>
      <c r="AE407" s="55">
        <f>IF(AQ407="7",BI407,0)</f>
        <v>0</v>
      </c>
      <c r="AF407" s="55">
        <f>IF(AQ407="2",BH407,0)</f>
        <v>0</v>
      </c>
      <c r="AG407" s="55">
        <f>IF(AQ407="2",BI407,0)</f>
        <v>0</v>
      </c>
      <c r="AH407" s="55">
        <f>IF(AQ407="0",BJ407,0)</f>
        <v>0</v>
      </c>
      <c r="AI407" s="33" t="s">
        <v>4</v>
      </c>
      <c r="AJ407" s="55">
        <f>IF(AN407=0,I407,0)</f>
        <v>0</v>
      </c>
      <c r="AK407" s="55">
        <f>IF(AN407=12,I407,0)</f>
        <v>0</v>
      </c>
      <c r="AL407" s="55">
        <f>IF(AN407=21,I407,0)</f>
        <v>0</v>
      </c>
      <c r="AN407" s="55">
        <v>21</v>
      </c>
      <c r="AO407" s="55">
        <f>H407*0.347363601</f>
        <v>0</v>
      </c>
      <c r="AP407" s="55">
        <f>H407*(1-0.347363601)</f>
        <v>0</v>
      </c>
      <c r="AQ407" s="58" t="s">
        <v>118</v>
      </c>
      <c r="AV407" s="55">
        <f>AW407+AX407</f>
        <v>0</v>
      </c>
      <c r="AW407" s="55">
        <f>G407*AO407</f>
        <v>0</v>
      </c>
      <c r="AX407" s="55">
        <f>G407*AP407</f>
        <v>0</v>
      </c>
      <c r="AY407" s="58" t="s">
        <v>498</v>
      </c>
      <c r="AZ407" s="58" t="s">
        <v>279</v>
      </c>
      <c r="BA407" s="33" t="s">
        <v>125</v>
      </c>
      <c r="BB407" s="59">
        <v>100033</v>
      </c>
      <c r="BC407" s="55">
        <f>AW407+AX407</f>
        <v>0</v>
      </c>
      <c r="BD407" s="55">
        <f>H407/(100-BE407)*100</f>
        <v>0</v>
      </c>
      <c r="BE407" s="55">
        <v>0</v>
      </c>
      <c r="BF407" s="55">
        <f>L407</f>
        <v>0.16138240000000001</v>
      </c>
      <c r="BH407" s="55">
        <f>G407*AO407</f>
        <v>0</v>
      </c>
      <c r="BI407" s="55">
        <f>G407*AP407</f>
        <v>0</v>
      </c>
      <c r="BJ407" s="55">
        <f>G407*H407</f>
        <v>0</v>
      </c>
      <c r="BK407" s="55"/>
      <c r="BL407" s="55">
        <v>63</v>
      </c>
      <c r="BW407" s="55">
        <v>21</v>
      </c>
      <c r="BX407" s="3" t="s">
        <v>567</v>
      </c>
    </row>
    <row r="408" spans="1:76">
      <c r="A408" s="60"/>
      <c r="D408" s="61" t="s">
        <v>568</v>
      </c>
      <c r="E408" s="61" t="s">
        <v>4</v>
      </c>
      <c r="G408" s="62">
        <v>126.08</v>
      </c>
      <c r="M408" s="63"/>
    </row>
    <row r="409" spans="1:76" ht="25.5">
      <c r="A409" s="60"/>
      <c r="C409" s="64" t="s">
        <v>127</v>
      </c>
      <c r="D409" s="618" t="s">
        <v>569</v>
      </c>
      <c r="E409" s="619"/>
      <c r="F409" s="619"/>
      <c r="G409" s="619"/>
      <c r="H409" s="620"/>
      <c r="I409" s="619"/>
      <c r="J409" s="619"/>
      <c r="K409" s="619"/>
      <c r="L409" s="619"/>
      <c r="M409" s="621"/>
      <c r="BX409" s="65" t="s">
        <v>569</v>
      </c>
    </row>
    <row r="410" spans="1:76">
      <c r="A410" s="1" t="s">
        <v>570</v>
      </c>
      <c r="B410" s="2" t="s">
        <v>4</v>
      </c>
      <c r="C410" s="2" t="s">
        <v>571</v>
      </c>
      <c r="D410" s="549" t="s">
        <v>572</v>
      </c>
      <c r="E410" s="546"/>
      <c r="F410" s="2" t="s">
        <v>157</v>
      </c>
      <c r="G410" s="55">
        <v>63.04</v>
      </c>
      <c r="H410" s="56">
        <v>0</v>
      </c>
      <c r="I410" s="55">
        <f>G410*H410</f>
        <v>0</v>
      </c>
      <c r="J410" s="55">
        <v>0</v>
      </c>
      <c r="K410" s="55">
        <v>0.11799999999999999</v>
      </c>
      <c r="L410" s="55">
        <f>G410*K410</f>
        <v>7.4387199999999991</v>
      </c>
      <c r="M410" s="57" t="s">
        <v>122</v>
      </c>
      <c r="Z410" s="55">
        <f>IF(AQ410="5",BJ410,0)</f>
        <v>0</v>
      </c>
      <c r="AB410" s="55">
        <f>IF(AQ410="1",BH410,0)</f>
        <v>0</v>
      </c>
      <c r="AC410" s="55">
        <f>IF(AQ410="1",BI410,0)</f>
        <v>0</v>
      </c>
      <c r="AD410" s="55">
        <f>IF(AQ410="7",BH410,0)</f>
        <v>0</v>
      </c>
      <c r="AE410" s="55">
        <f>IF(AQ410="7",BI410,0)</f>
        <v>0</v>
      </c>
      <c r="AF410" s="55">
        <f>IF(AQ410="2",BH410,0)</f>
        <v>0</v>
      </c>
      <c r="AG410" s="55">
        <f>IF(AQ410="2",BI410,0)</f>
        <v>0</v>
      </c>
      <c r="AH410" s="55">
        <f>IF(AQ410="0",BJ410,0)</f>
        <v>0</v>
      </c>
      <c r="AI410" s="33" t="s">
        <v>4</v>
      </c>
      <c r="AJ410" s="55">
        <f>IF(AN410=0,I410,0)</f>
        <v>0</v>
      </c>
      <c r="AK410" s="55">
        <f>IF(AN410=12,I410,0)</f>
        <v>0</v>
      </c>
      <c r="AL410" s="55">
        <f>IF(AN410=21,I410,0)</f>
        <v>0</v>
      </c>
      <c r="AN410" s="55">
        <v>21</v>
      </c>
      <c r="AO410" s="55">
        <f>H410*0.5945</f>
        <v>0</v>
      </c>
      <c r="AP410" s="55">
        <f>H410*(1-0.5945)</f>
        <v>0</v>
      </c>
      <c r="AQ410" s="58" t="s">
        <v>118</v>
      </c>
      <c r="AV410" s="55">
        <f>AW410+AX410</f>
        <v>0</v>
      </c>
      <c r="AW410" s="55">
        <f>G410*AO410</f>
        <v>0</v>
      </c>
      <c r="AX410" s="55">
        <f>G410*AP410</f>
        <v>0</v>
      </c>
      <c r="AY410" s="58" t="s">
        <v>498</v>
      </c>
      <c r="AZ410" s="58" t="s">
        <v>279</v>
      </c>
      <c r="BA410" s="33" t="s">
        <v>125</v>
      </c>
      <c r="BB410" s="59">
        <v>100033</v>
      </c>
      <c r="BC410" s="55">
        <f>AW410+AX410</f>
        <v>0</v>
      </c>
      <c r="BD410" s="55">
        <f>H410/(100-BE410)*100</f>
        <v>0</v>
      </c>
      <c r="BE410" s="55">
        <v>0</v>
      </c>
      <c r="BF410" s="55">
        <f>L410</f>
        <v>7.4387199999999991</v>
      </c>
      <c r="BH410" s="55">
        <f>G410*AO410</f>
        <v>0</v>
      </c>
      <c r="BI410" s="55">
        <f>G410*AP410</f>
        <v>0</v>
      </c>
      <c r="BJ410" s="55">
        <f>G410*H410</f>
        <v>0</v>
      </c>
      <c r="BK410" s="55"/>
      <c r="BL410" s="55">
        <v>63</v>
      </c>
      <c r="BW410" s="55">
        <v>21</v>
      </c>
      <c r="BX410" s="3" t="s">
        <v>572</v>
      </c>
    </row>
    <row r="411" spans="1:76">
      <c r="A411" s="60"/>
      <c r="D411" s="61" t="s">
        <v>573</v>
      </c>
      <c r="E411" s="61" t="s">
        <v>4</v>
      </c>
      <c r="G411" s="62">
        <v>63.04</v>
      </c>
      <c r="M411" s="63"/>
    </row>
    <row r="412" spans="1:76" ht="89.25">
      <c r="A412" s="60"/>
      <c r="C412" s="64" t="s">
        <v>127</v>
      </c>
      <c r="D412" s="618" t="s">
        <v>574</v>
      </c>
      <c r="E412" s="619"/>
      <c r="F412" s="619"/>
      <c r="G412" s="619"/>
      <c r="H412" s="620"/>
      <c r="I412" s="619"/>
      <c r="J412" s="619"/>
      <c r="K412" s="619"/>
      <c r="L412" s="619"/>
      <c r="M412" s="621"/>
      <c r="BX412" s="65" t="s">
        <v>574</v>
      </c>
    </row>
    <row r="413" spans="1:76">
      <c r="A413" s="1" t="s">
        <v>575</v>
      </c>
      <c r="B413" s="2" t="s">
        <v>4</v>
      </c>
      <c r="C413" s="2" t="s">
        <v>576</v>
      </c>
      <c r="D413" s="549" t="s">
        <v>577</v>
      </c>
      <c r="E413" s="546"/>
      <c r="F413" s="2" t="s">
        <v>121</v>
      </c>
      <c r="G413" s="55">
        <v>45.9</v>
      </c>
      <c r="H413" s="56">
        <v>0</v>
      </c>
      <c r="I413" s="55">
        <f>G413*H413</f>
        <v>0</v>
      </c>
      <c r="J413" s="55">
        <v>0</v>
      </c>
      <c r="K413" s="55">
        <v>2.5249999999999999</v>
      </c>
      <c r="L413" s="55">
        <f>G413*K413</f>
        <v>115.89749999999999</v>
      </c>
      <c r="M413" s="57" t="s">
        <v>122</v>
      </c>
      <c r="Z413" s="55">
        <f>IF(AQ413="5",BJ413,0)</f>
        <v>0</v>
      </c>
      <c r="AB413" s="55">
        <f>IF(AQ413="1",BH413,0)</f>
        <v>0</v>
      </c>
      <c r="AC413" s="55">
        <f>IF(AQ413="1",BI413,0)</f>
        <v>0</v>
      </c>
      <c r="AD413" s="55">
        <f>IF(AQ413="7",BH413,0)</f>
        <v>0</v>
      </c>
      <c r="AE413" s="55">
        <f>IF(AQ413="7",BI413,0)</f>
        <v>0</v>
      </c>
      <c r="AF413" s="55">
        <f>IF(AQ413="2",BH413,0)</f>
        <v>0</v>
      </c>
      <c r="AG413" s="55">
        <f>IF(AQ413="2",BI413,0)</f>
        <v>0</v>
      </c>
      <c r="AH413" s="55">
        <f>IF(AQ413="0",BJ413,0)</f>
        <v>0</v>
      </c>
      <c r="AI413" s="33" t="s">
        <v>4</v>
      </c>
      <c r="AJ413" s="55">
        <f>IF(AN413=0,I413,0)</f>
        <v>0</v>
      </c>
      <c r="AK413" s="55">
        <f>IF(AN413=12,I413,0)</f>
        <v>0</v>
      </c>
      <c r="AL413" s="55">
        <f>IF(AN413=21,I413,0)</f>
        <v>0</v>
      </c>
      <c r="AN413" s="55">
        <v>21</v>
      </c>
      <c r="AO413" s="55">
        <f>H413*0.745160501</f>
        <v>0</v>
      </c>
      <c r="AP413" s="55">
        <f>H413*(1-0.745160501)</f>
        <v>0</v>
      </c>
      <c r="AQ413" s="58" t="s">
        <v>118</v>
      </c>
      <c r="AV413" s="55">
        <f>AW413+AX413</f>
        <v>0</v>
      </c>
      <c r="AW413" s="55">
        <f>G413*AO413</f>
        <v>0</v>
      </c>
      <c r="AX413" s="55">
        <f>G413*AP413</f>
        <v>0</v>
      </c>
      <c r="AY413" s="58" t="s">
        <v>498</v>
      </c>
      <c r="AZ413" s="58" t="s">
        <v>279</v>
      </c>
      <c r="BA413" s="33" t="s">
        <v>125</v>
      </c>
      <c r="BB413" s="59">
        <v>100033</v>
      </c>
      <c r="BC413" s="55">
        <f>AW413+AX413</f>
        <v>0</v>
      </c>
      <c r="BD413" s="55">
        <f>H413/(100-BE413)*100</f>
        <v>0</v>
      </c>
      <c r="BE413" s="55">
        <v>0</v>
      </c>
      <c r="BF413" s="55">
        <f>L413</f>
        <v>115.89749999999999</v>
      </c>
      <c r="BH413" s="55">
        <f>G413*AO413</f>
        <v>0</v>
      </c>
      <c r="BI413" s="55">
        <f>G413*AP413</f>
        <v>0</v>
      </c>
      <c r="BJ413" s="55">
        <f>G413*H413</f>
        <v>0</v>
      </c>
      <c r="BK413" s="55"/>
      <c r="BL413" s="55">
        <v>63</v>
      </c>
      <c r="BW413" s="55">
        <v>21</v>
      </c>
      <c r="BX413" s="3" t="s">
        <v>577</v>
      </c>
    </row>
    <row r="414" spans="1:76" ht="13.5" customHeight="1">
      <c r="A414" s="60"/>
      <c r="D414" s="634" t="s">
        <v>578</v>
      </c>
      <c r="E414" s="635"/>
      <c r="F414" s="635"/>
      <c r="G414" s="635"/>
      <c r="H414" s="636"/>
      <c r="I414" s="635"/>
      <c r="J414" s="635"/>
      <c r="K414" s="635"/>
      <c r="L414" s="635"/>
      <c r="M414" s="637"/>
    </row>
    <row r="415" spans="1:76">
      <c r="A415" s="60"/>
      <c r="D415" s="61" t="s">
        <v>579</v>
      </c>
      <c r="E415" s="61" t="s">
        <v>4</v>
      </c>
      <c r="G415" s="62">
        <v>45.9</v>
      </c>
      <c r="M415" s="63"/>
    </row>
    <row r="416" spans="1:76" ht="76.5">
      <c r="A416" s="60"/>
      <c r="C416" s="64" t="s">
        <v>127</v>
      </c>
      <c r="D416" s="618" t="s">
        <v>580</v>
      </c>
      <c r="E416" s="619"/>
      <c r="F416" s="619"/>
      <c r="G416" s="619"/>
      <c r="H416" s="620"/>
      <c r="I416" s="619"/>
      <c r="J416" s="619"/>
      <c r="K416" s="619"/>
      <c r="L416" s="619"/>
      <c r="M416" s="621"/>
      <c r="BX416" s="65" t="s">
        <v>580</v>
      </c>
    </row>
    <row r="417" spans="1:76">
      <c r="A417" s="1" t="s">
        <v>581</v>
      </c>
      <c r="B417" s="2" t="s">
        <v>4</v>
      </c>
      <c r="C417" s="2" t="s">
        <v>582</v>
      </c>
      <c r="D417" s="549" t="s">
        <v>583</v>
      </c>
      <c r="E417" s="546"/>
      <c r="F417" s="2" t="s">
        <v>219</v>
      </c>
      <c r="G417" s="55">
        <v>474.15</v>
      </c>
      <c r="H417" s="56">
        <v>0</v>
      </c>
      <c r="I417" s="55">
        <f>G417*H417</f>
        <v>0</v>
      </c>
      <c r="J417" s="55">
        <v>0</v>
      </c>
      <c r="K417" s="55">
        <v>1.6000000000000001E-4</v>
      </c>
      <c r="L417" s="55">
        <f>G417*K417</f>
        <v>7.5864000000000001E-2</v>
      </c>
      <c r="M417" s="57" t="s">
        <v>122</v>
      </c>
      <c r="Z417" s="55">
        <f>IF(AQ417="5",BJ417,0)</f>
        <v>0</v>
      </c>
      <c r="AB417" s="55">
        <f>IF(AQ417="1",BH417,0)</f>
        <v>0</v>
      </c>
      <c r="AC417" s="55">
        <f>IF(AQ417="1",BI417,0)</f>
        <v>0</v>
      </c>
      <c r="AD417" s="55">
        <f>IF(AQ417="7",BH417,0)</f>
        <v>0</v>
      </c>
      <c r="AE417" s="55">
        <f>IF(AQ417="7",BI417,0)</f>
        <v>0</v>
      </c>
      <c r="AF417" s="55">
        <f>IF(AQ417="2",BH417,0)</f>
        <v>0</v>
      </c>
      <c r="AG417" s="55">
        <f>IF(AQ417="2",BI417,0)</f>
        <v>0</v>
      </c>
      <c r="AH417" s="55">
        <f>IF(AQ417="0",BJ417,0)</f>
        <v>0</v>
      </c>
      <c r="AI417" s="33" t="s">
        <v>4</v>
      </c>
      <c r="AJ417" s="55">
        <f>IF(AN417=0,I417,0)</f>
        <v>0</v>
      </c>
      <c r="AK417" s="55">
        <f>IF(AN417=12,I417,0)</f>
        <v>0</v>
      </c>
      <c r="AL417" s="55">
        <f>IF(AN417=21,I417,0)</f>
        <v>0</v>
      </c>
      <c r="AN417" s="55">
        <v>21</v>
      </c>
      <c r="AO417" s="55">
        <f>H417*0.660756501</f>
        <v>0</v>
      </c>
      <c r="AP417" s="55">
        <f>H417*(1-0.660756501)</f>
        <v>0</v>
      </c>
      <c r="AQ417" s="58" t="s">
        <v>118</v>
      </c>
      <c r="AV417" s="55">
        <f>AW417+AX417</f>
        <v>0</v>
      </c>
      <c r="AW417" s="55">
        <f>G417*AO417</f>
        <v>0</v>
      </c>
      <c r="AX417" s="55">
        <f>G417*AP417</f>
        <v>0</v>
      </c>
      <c r="AY417" s="58" t="s">
        <v>498</v>
      </c>
      <c r="AZ417" s="58" t="s">
        <v>279</v>
      </c>
      <c r="BA417" s="33" t="s">
        <v>125</v>
      </c>
      <c r="BB417" s="59">
        <v>100033</v>
      </c>
      <c r="BC417" s="55">
        <f>AW417+AX417</f>
        <v>0</v>
      </c>
      <c r="BD417" s="55">
        <f>H417/(100-BE417)*100</f>
        <v>0</v>
      </c>
      <c r="BE417" s="55">
        <v>0</v>
      </c>
      <c r="BF417" s="55">
        <f>L417</f>
        <v>7.5864000000000001E-2</v>
      </c>
      <c r="BH417" s="55">
        <f>G417*AO417</f>
        <v>0</v>
      </c>
      <c r="BI417" s="55">
        <f>G417*AP417</f>
        <v>0</v>
      </c>
      <c r="BJ417" s="55">
        <f>G417*H417</f>
        <v>0</v>
      </c>
      <c r="BK417" s="55"/>
      <c r="BL417" s="55">
        <v>63</v>
      </c>
      <c r="BW417" s="55">
        <v>21</v>
      </c>
      <c r="BX417" s="3" t="s">
        <v>583</v>
      </c>
    </row>
    <row r="418" spans="1:76" ht="13.5" customHeight="1">
      <c r="A418" s="60"/>
      <c r="D418" s="634" t="s">
        <v>584</v>
      </c>
      <c r="E418" s="635"/>
      <c r="F418" s="635"/>
      <c r="G418" s="635"/>
      <c r="H418" s="636"/>
      <c r="I418" s="635"/>
      <c r="J418" s="635"/>
      <c r="K418" s="635"/>
      <c r="L418" s="635"/>
      <c r="M418" s="637"/>
    </row>
    <row r="419" spans="1:76">
      <c r="A419" s="60"/>
      <c r="D419" s="61" t="s">
        <v>585</v>
      </c>
      <c r="E419" s="61" t="s">
        <v>586</v>
      </c>
      <c r="G419" s="62">
        <v>474.15</v>
      </c>
      <c r="M419" s="63"/>
    </row>
    <row r="420" spans="1:76">
      <c r="A420" s="1" t="s">
        <v>587</v>
      </c>
      <c r="B420" s="2" t="s">
        <v>4</v>
      </c>
      <c r="C420" s="2" t="s">
        <v>588</v>
      </c>
      <c r="D420" s="549" t="s">
        <v>589</v>
      </c>
      <c r="E420" s="546"/>
      <c r="F420" s="2" t="s">
        <v>157</v>
      </c>
      <c r="G420" s="55">
        <v>510</v>
      </c>
      <c r="H420" s="56">
        <v>0</v>
      </c>
      <c r="I420" s="55">
        <f>G420*H420</f>
        <v>0</v>
      </c>
      <c r="J420" s="55">
        <v>0</v>
      </c>
      <c r="K420" s="55">
        <v>9.1E-4</v>
      </c>
      <c r="L420" s="55">
        <f>G420*K420</f>
        <v>0.46410000000000001</v>
      </c>
      <c r="M420" s="57" t="s">
        <v>122</v>
      </c>
      <c r="Z420" s="55">
        <f>IF(AQ420="5",BJ420,0)</f>
        <v>0</v>
      </c>
      <c r="AB420" s="55">
        <f>IF(AQ420="1",BH420,0)</f>
        <v>0</v>
      </c>
      <c r="AC420" s="55">
        <f>IF(AQ420="1",BI420,0)</f>
        <v>0</v>
      </c>
      <c r="AD420" s="55">
        <f>IF(AQ420="7",BH420,0)</f>
        <v>0</v>
      </c>
      <c r="AE420" s="55">
        <f>IF(AQ420="7",BI420,0)</f>
        <v>0</v>
      </c>
      <c r="AF420" s="55">
        <f>IF(AQ420="2",BH420,0)</f>
        <v>0</v>
      </c>
      <c r="AG420" s="55">
        <f>IF(AQ420="2",BI420,0)</f>
        <v>0</v>
      </c>
      <c r="AH420" s="55">
        <f>IF(AQ420="0",BJ420,0)</f>
        <v>0</v>
      </c>
      <c r="AI420" s="33" t="s">
        <v>4</v>
      </c>
      <c r="AJ420" s="55">
        <f>IF(AN420=0,I420,0)</f>
        <v>0</v>
      </c>
      <c r="AK420" s="55">
        <f>IF(AN420=12,I420,0)</f>
        <v>0</v>
      </c>
      <c r="AL420" s="55">
        <f>IF(AN420=21,I420,0)</f>
        <v>0</v>
      </c>
      <c r="AN420" s="55">
        <v>21</v>
      </c>
      <c r="AO420" s="55">
        <f>H420*0.605487179</f>
        <v>0</v>
      </c>
      <c r="AP420" s="55">
        <f>H420*(1-0.605487179)</f>
        <v>0</v>
      </c>
      <c r="AQ420" s="58" t="s">
        <v>118</v>
      </c>
      <c r="AV420" s="55">
        <f>AW420+AX420</f>
        <v>0</v>
      </c>
      <c r="AW420" s="55">
        <f>G420*AO420</f>
        <v>0</v>
      </c>
      <c r="AX420" s="55">
        <f>G420*AP420</f>
        <v>0</v>
      </c>
      <c r="AY420" s="58" t="s">
        <v>498</v>
      </c>
      <c r="AZ420" s="58" t="s">
        <v>279</v>
      </c>
      <c r="BA420" s="33" t="s">
        <v>125</v>
      </c>
      <c r="BB420" s="59">
        <v>100033</v>
      </c>
      <c r="BC420" s="55">
        <f>AW420+AX420</f>
        <v>0</v>
      </c>
      <c r="BD420" s="55">
        <f>H420/(100-BE420)*100</f>
        <v>0</v>
      </c>
      <c r="BE420" s="55">
        <v>0</v>
      </c>
      <c r="BF420" s="55">
        <f>L420</f>
        <v>0.46410000000000001</v>
      </c>
      <c r="BH420" s="55">
        <f>G420*AO420</f>
        <v>0</v>
      </c>
      <c r="BI420" s="55">
        <f>G420*AP420</f>
        <v>0</v>
      </c>
      <c r="BJ420" s="55">
        <f>G420*H420</f>
        <v>0</v>
      </c>
      <c r="BK420" s="55"/>
      <c r="BL420" s="55">
        <v>63</v>
      </c>
      <c r="BW420" s="55">
        <v>21</v>
      </c>
      <c r="BX420" s="3" t="s">
        <v>589</v>
      </c>
    </row>
    <row r="421" spans="1:76">
      <c r="A421" s="60"/>
      <c r="D421" s="61" t="s">
        <v>590</v>
      </c>
      <c r="E421" s="61" t="s">
        <v>4</v>
      </c>
      <c r="G421" s="62">
        <v>510</v>
      </c>
      <c r="M421" s="63"/>
    </row>
    <row r="422" spans="1:76">
      <c r="A422" s="50" t="s">
        <v>4</v>
      </c>
      <c r="B422" s="51" t="s">
        <v>4</v>
      </c>
      <c r="C422" s="51" t="s">
        <v>591</v>
      </c>
      <c r="D422" s="625" t="s">
        <v>592</v>
      </c>
      <c r="E422" s="626"/>
      <c r="F422" s="52" t="s">
        <v>79</v>
      </c>
      <c r="G422" s="52" t="s">
        <v>79</v>
      </c>
      <c r="H422" s="53" t="s">
        <v>79</v>
      </c>
      <c r="I422" s="26">
        <f>SUM(I423:I431)</f>
        <v>0</v>
      </c>
      <c r="J422" s="33" t="s">
        <v>4</v>
      </c>
      <c r="K422" s="33" t="s">
        <v>4</v>
      </c>
      <c r="L422" s="26">
        <f>SUM(L423:L431)</f>
        <v>0.65393999999999997</v>
      </c>
      <c r="M422" s="54" t="s">
        <v>4</v>
      </c>
      <c r="AI422" s="33" t="s">
        <v>4</v>
      </c>
      <c r="AS422" s="26">
        <f>SUM(AJ423:AJ431)</f>
        <v>0</v>
      </c>
      <c r="AT422" s="26">
        <f>SUM(AK423:AK431)</f>
        <v>0</v>
      </c>
      <c r="AU422" s="26">
        <f>SUM(AL423:AL431)</f>
        <v>0</v>
      </c>
    </row>
    <row r="423" spans="1:76">
      <c r="A423" s="1" t="s">
        <v>593</v>
      </c>
      <c r="B423" s="2" t="s">
        <v>4</v>
      </c>
      <c r="C423" s="2" t="s">
        <v>594</v>
      </c>
      <c r="D423" s="549" t="s">
        <v>595</v>
      </c>
      <c r="E423" s="546"/>
      <c r="F423" s="2" t="s">
        <v>145</v>
      </c>
      <c r="G423" s="55">
        <v>2</v>
      </c>
      <c r="H423" s="56">
        <v>0</v>
      </c>
      <c r="I423" s="55">
        <f>G423*H423</f>
        <v>0</v>
      </c>
      <c r="J423" s="55">
        <v>0</v>
      </c>
      <c r="K423" s="55">
        <v>6.9309999999999997E-2</v>
      </c>
      <c r="L423" s="55">
        <f>G423*K423</f>
        <v>0.13861999999999999</v>
      </c>
      <c r="M423" s="57" t="s">
        <v>122</v>
      </c>
      <c r="Z423" s="55">
        <f>IF(AQ423="5",BJ423,0)</f>
        <v>0</v>
      </c>
      <c r="AB423" s="55">
        <f>IF(AQ423="1",BH423,0)</f>
        <v>0</v>
      </c>
      <c r="AC423" s="55">
        <f>IF(AQ423="1",BI423,0)</f>
        <v>0</v>
      </c>
      <c r="AD423" s="55">
        <f>IF(AQ423="7",BH423,0)</f>
        <v>0</v>
      </c>
      <c r="AE423" s="55">
        <f>IF(AQ423="7",BI423,0)</f>
        <v>0</v>
      </c>
      <c r="AF423" s="55">
        <f>IF(AQ423="2",BH423,0)</f>
        <v>0</v>
      </c>
      <c r="AG423" s="55">
        <f>IF(AQ423="2",BI423,0)</f>
        <v>0</v>
      </c>
      <c r="AH423" s="55">
        <f>IF(AQ423="0",BJ423,0)</f>
        <v>0</v>
      </c>
      <c r="AI423" s="33" t="s">
        <v>4</v>
      </c>
      <c r="AJ423" s="55">
        <f>IF(AN423=0,I423,0)</f>
        <v>0</v>
      </c>
      <c r="AK423" s="55">
        <f>IF(AN423=12,I423,0)</f>
        <v>0</v>
      </c>
      <c r="AL423" s="55">
        <f>IF(AN423=21,I423,0)</f>
        <v>0</v>
      </c>
      <c r="AN423" s="55">
        <v>21</v>
      </c>
      <c r="AO423" s="55">
        <f>H423*0.674155104</f>
        <v>0</v>
      </c>
      <c r="AP423" s="55">
        <f>H423*(1-0.674155104)</f>
        <v>0</v>
      </c>
      <c r="AQ423" s="58" t="s">
        <v>118</v>
      </c>
      <c r="AV423" s="55">
        <f>AW423+AX423</f>
        <v>0</v>
      </c>
      <c r="AW423" s="55">
        <f>G423*AO423</f>
        <v>0</v>
      </c>
      <c r="AX423" s="55">
        <f>G423*AP423</f>
        <v>0</v>
      </c>
      <c r="AY423" s="58" t="s">
        <v>596</v>
      </c>
      <c r="AZ423" s="58" t="s">
        <v>279</v>
      </c>
      <c r="BA423" s="33" t="s">
        <v>125</v>
      </c>
      <c r="BB423" s="59">
        <v>100030</v>
      </c>
      <c r="BC423" s="55">
        <f>AW423+AX423</f>
        <v>0</v>
      </c>
      <c r="BD423" s="55">
        <f>H423/(100-BE423)*100</f>
        <v>0</v>
      </c>
      <c r="BE423" s="55">
        <v>0</v>
      </c>
      <c r="BF423" s="55">
        <f>L423</f>
        <v>0.13861999999999999</v>
      </c>
      <c r="BH423" s="55">
        <f>G423*AO423</f>
        <v>0</v>
      </c>
      <c r="BI423" s="55">
        <f>G423*AP423</f>
        <v>0</v>
      </c>
      <c r="BJ423" s="55">
        <f>G423*H423</f>
        <v>0</v>
      </c>
      <c r="BK423" s="55"/>
      <c r="BL423" s="55">
        <v>64</v>
      </c>
      <c r="BW423" s="55">
        <v>21</v>
      </c>
      <c r="BX423" s="3" t="s">
        <v>595</v>
      </c>
    </row>
    <row r="424" spans="1:76" ht="13.5" customHeight="1">
      <c r="A424" s="60"/>
      <c r="D424" s="634" t="s">
        <v>597</v>
      </c>
      <c r="E424" s="635"/>
      <c r="F424" s="635"/>
      <c r="G424" s="635"/>
      <c r="H424" s="636"/>
      <c r="I424" s="635"/>
      <c r="J424" s="635"/>
      <c r="K424" s="635"/>
      <c r="L424" s="635"/>
      <c r="M424" s="637"/>
    </row>
    <row r="425" spans="1:76">
      <c r="A425" s="60"/>
      <c r="D425" s="61" t="s">
        <v>118</v>
      </c>
      <c r="E425" s="61" t="s">
        <v>598</v>
      </c>
      <c r="G425" s="62">
        <v>1</v>
      </c>
      <c r="M425" s="63"/>
    </row>
    <row r="426" spans="1:76">
      <c r="A426" s="60"/>
      <c r="D426" s="61" t="s">
        <v>118</v>
      </c>
      <c r="E426" s="61" t="s">
        <v>599</v>
      </c>
      <c r="G426" s="62">
        <v>1</v>
      </c>
      <c r="M426" s="63"/>
    </row>
    <row r="427" spans="1:76">
      <c r="A427" s="1" t="s">
        <v>600</v>
      </c>
      <c r="B427" s="2" t="s">
        <v>4</v>
      </c>
      <c r="C427" s="2" t="s">
        <v>601</v>
      </c>
      <c r="D427" s="549" t="s">
        <v>602</v>
      </c>
      <c r="E427" s="546"/>
      <c r="F427" s="2" t="s">
        <v>145</v>
      </c>
      <c r="G427" s="55">
        <v>1</v>
      </c>
      <c r="H427" s="56">
        <v>0</v>
      </c>
      <c r="I427" s="55">
        <f>G427*H427</f>
        <v>0</v>
      </c>
      <c r="J427" s="55">
        <v>0</v>
      </c>
      <c r="K427" s="55">
        <v>3.1269999999999999E-2</v>
      </c>
      <c r="L427" s="55">
        <f>G427*K427</f>
        <v>3.1269999999999999E-2</v>
      </c>
      <c r="M427" s="57" t="s">
        <v>122</v>
      </c>
      <c r="Z427" s="55">
        <f>IF(AQ427="5",BJ427,0)</f>
        <v>0</v>
      </c>
      <c r="AB427" s="55">
        <f>IF(AQ427="1",BH427,0)</f>
        <v>0</v>
      </c>
      <c r="AC427" s="55">
        <f>IF(AQ427="1",BI427,0)</f>
        <v>0</v>
      </c>
      <c r="AD427" s="55">
        <f>IF(AQ427="7",BH427,0)</f>
        <v>0</v>
      </c>
      <c r="AE427" s="55">
        <f>IF(AQ427="7",BI427,0)</f>
        <v>0</v>
      </c>
      <c r="AF427" s="55">
        <f>IF(AQ427="2",BH427,0)</f>
        <v>0</v>
      </c>
      <c r="AG427" s="55">
        <f>IF(AQ427="2",BI427,0)</f>
        <v>0</v>
      </c>
      <c r="AH427" s="55">
        <f>IF(AQ427="0",BJ427,0)</f>
        <v>0</v>
      </c>
      <c r="AI427" s="33" t="s">
        <v>4</v>
      </c>
      <c r="AJ427" s="55">
        <f>IF(AN427=0,I427,0)</f>
        <v>0</v>
      </c>
      <c r="AK427" s="55">
        <f>IF(AN427=12,I427,0)</f>
        <v>0</v>
      </c>
      <c r="AL427" s="55">
        <f>IF(AN427=21,I427,0)</f>
        <v>0</v>
      </c>
      <c r="AN427" s="55">
        <v>21</v>
      </c>
      <c r="AO427" s="55">
        <f>H427*0.640164336</f>
        <v>0</v>
      </c>
      <c r="AP427" s="55">
        <f>H427*(1-0.640164336)</f>
        <v>0</v>
      </c>
      <c r="AQ427" s="58" t="s">
        <v>118</v>
      </c>
      <c r="AV427" s="55">
        <f>AW427+AX427</f>
        <v>0</v>
      </c>
      <c r="AW427" s="55">
        <f>G427*AO427</f>
        <v>0</v>
      </c>
      <c r="AX427" s="55">
        <f>G427*AP427</f>
        <v>0</v>
      </c>
      <c r="AY427" s="58" t="s">
        <v>596</v>
      </c>
      <c r="AZ427" s="58" t="s">
        <v>279</v>
      </c>
      <c r="BA427" s="33" t="s">
        <v>125</v>
      </c>
      <c r="BB427" s="59">
        <v>100030</v>
      </c>
      <c r="BC427" s="55">
        <f>AW427+AX427</f>
        <v>0</v>
      </c>
      <c r="BD427" s="55">
        <f>H427/(100-BE427)*100</f>
        <v>0</v>
      </c>
      <c r="BE427" s="55">
        <v>0</v>
      </c>
      <c r="BF427" s="55">
        <f>L427</f>
        <v>3.1269999999999999E-2</v>
      </c>
      <c r="BH427" s="55">
        <f>G427*AO427</f>
        <v>0</v>
      </c>
      <c r="BI427" s="55">
        <f>G427*AP427</f>
        <v>0</v>
      </c>
      <c r="BJ427" s="55">
        <f>G427*H427</f>
        <v>0</v>
      </c>
      <c r="BK427" s="55"/>
      <c r="BL427" s="55">
        <v>64</v>
      </c>
      <c r="BW427" s="55">
        <v>21</v>
      </c>
      <c r="BX427" s="3" t="s">
        <v>602</v>
      </c>
    </row>
    <row r="428" spans="1:76" ht="13.5" customHeight="1">
      <c r="A428" s="60"/>
      <c r="D428" s="634" t="s">
        <v>603</v>
      </c>
      <c r="E428" s="635"/>
      <c r="F428" s="635"/>
      <c r="G428" s="635"/>
      <c r="H428" s="636"/>
      <c r="I428" s="635"/>
      <c r="J428" s="635"/>
      <c r="K428" s="635"/>
      <c r="L428" s="635"/>
      <c r="M428" s="637"/>
    </row>
    <row r="429" spans="1:76">
      <c r="A429" s="60"/>
      <c r="D429" s="61" t="s">
        <v>118</v>
      </c>
      <c r="E429" s="61" t="s">
        <v>604</v>
      </c>
      <c r="G429" s="62">
        <v>1</v>
      </c>
      <c r="M429" s="63"/>
    </row>
    <row r="430" spans="1:76" ht="127.5">
      <c r="A430" s="60"/>
      <c r="C430" s="64" t="s">
        <v>127</v>
      </c>
      <c r="D430" s="618" t="s">
        <v>605</v>
      </c>
      <c r="E430" s="619"/>
      <c r="F430" s="619"/>
      <c r="G430" s="619"/>
      <c r="H430" s="620"/>
      <c r="I430" s="619"/>
      <c r="J430" s="619"/>
      <c r="K430" s="619"/>
      <c r="L430" s="619"/>
      <c r="M430" s="621"/>
      <c r="BX430" s="65" t="s">
        <v>605</v>
      </c>
    </row>
    <row r="431" spans="1:76">
      <c r="A431" s="1" t="s">
        <v>606</v>
      </c>
      <c r="B431" s="2" t="s">
        <v>4</v>
      </c>
      <c r="C431" s="2" t="s">
        <v>607</v>
      </c>
      <c r="D431" s="549" t="s">
        <v>602</v>
      </c>
      <c r="E431" s="546"/>
      <c r="F431" s="2" t="s">
        <v>145</v>
      </c>
      <c r="G431" s="55">
        <v>15</v>
      </c>
      <c r="H431" s="56">
        <v>0</v>
      </c>
      <c r="I431" s="55">
        <f>G431*H431</f>
        <v>0</v>
      </c>
      <c r="J431" s="55">
        <v>0</v>
      </c>
      <c r="K431" s="55">
        <v>3.227E-2</v>
      </c>
      <c r="L431" s="55">
        <f>G431*K431</f>
        <v>0.48404999999999998</v>
      </c>
      <c r="M431" s="57" t="s">
        <v>122</v>
      </c>
      <c r="Z431" s="55">
        <f>IF(AQ431="5",BJ431,0)</f>
        <v>0</v>
      </c>
      <c r="AB431" s="55">
        <f>IF(AQ431="1",BH431,0)</f>
        <v>0</v>
      </c>
      <c r="AC431" s="55">
        <f>IF(AQ431="1",BI431,0)</f>
        <v>0</v>
      </c>
      <c r="AD431" s="55">
        <f>IF(AQ431="7",BH431,0)</f>
        <v>0</v>
      </c>
      <c r="AE431" s="55">
        <f>IF(AQ431="7",BI431,0)</f>
        <v>0</v>
      </c>
      <c r="AF431" s="55">
        <f>IF(AQ431="2",BH431,0)</f>
        <v>0</v>
      </c>
      <c r="AG431" s="55">
        <f>IF(AQ431="2",BI431,0)</f>
        <v>0</v>
      </c>
      <c r="AH431" s="55">
        <f>IF(AQ431="0",BJ431,0)</f>
        <v>0</v>
      </c>
      <c r="AI431" s="33" t="s">
        <v>4</v>
      </c>
      <c r="AJ431" s="55">
        <f>IF(AN431=0,I431,0)</f>
        <v>0</v>
      </c>
      <c r="AK431" s="55">
        <f>IF(AN431=12,I431,0)</f>
        <v>0</v>
      </c>
      <c r="AL431" s="55">
        <f>IF(AN431=21,I431,0)</f>
        <v>0</v>
      </c>
      <c r="AN431" s="55">
        <v>21</v>
      </c>
      <c r="AO431" s="55">
        <f>H431*0.658099707</f>
        <v>0</v>
      </c>
      <c r="AP431" s="55">
        <f>H431*(1-0.658099707)</f>
        <v>0</v>
      </c>
      <c r="AQ431" s="58" t="s">
        <v>118</v>
      </c>
      <c r="AV431" s="55">
        <f>AW431+AX431</f>
        <v>0</v>
      </c>
      <c r="AW431" s="55">
        <f>G431*AO431</f>
        <v>0</v>
      </c>
      <c r="AX431" s="55">
        <f>G431*AP431</f>
        <v>0</v>
      </c>
      <c r="AY431" s="58" t="s">
        <v>596</v>
      </c>
      <c r="AZ431" s="58" t="s">
        <v>279</v>
      </c>
      <c r="BA431" s="33" t="s">
        <v>125</v>
      </c>
      <c r="BB431" s="59">
        <v>100030</v>
      </c>
      <c r="BC431" s="55">
        <f>AW431+AX431</f>
        <v>0</v>
      </c>
      <c r="BD431" s="55">
        <f>H431/(100-BE431)*100</f>
        <v>0</v>
      </c>
      <c r="BE431" s="55">
        <v>0</v>
      </c>
      <c r="BF431" s="55">
        <f>L431</f>
        <v>0.48404999999999998</v>
      </c>
      <c r="BH431" s="55">
        <f>G431*AO431</f>
        <v>0</v>
      </c>
      <c r="BI431" s="55">
        <f>G431*AP431</f>
        <v>0</v>
      </c>
      <c r="BJ431" s="55">
        <f>G431*H431</f>
        <v>0</v>
      </c>
      <c r="BK431" s="55"/>
      <c r="BL431" s="55">
        <v>64</v>
      </c>
      <c r="BW431" s="55">
        <v>21</v>
      </c>
      <c r="BX431" s="3" t="s">
        <v>602</v>
      </c>
    </row>
    <row r="432" spans="1:76" ht="13.5" customHeight="1">
      <c r="A432" s="60"/>
      <c r="D432" s="634" t="s">
        <v>608</v>
      </c>
      <c r="E432" s="635"/>
      <c r="F432" s="635"/>
      <c r="G432" s="635"/>
      <c r="H432" s="636"/>
      <c r="I432" s="635"/>
      <c r="J432" s="635"/>
      <c r="K432" s="635"/>
      <c r="L432" s="635"/>
      <c r="M432" s="637"/>
    </row>
    <row r="433" spans="1:76">
      <c r="A433" s="60"/>
      <c r="D433" s="61" t="s">
        <v>216</v>
      </c>
      <c r="E433" s="61" t="s">
        <v>4</v>
      </c>
      <c r="G433" s="62">
        <v>15</v>
      </c>
      <c r="M433" s="63"/>
    </row>
    <row r="434" spans="1:76" ht="127.5">
      <c r="A434" s="60"/>
      <c r="C434" s="64" t="s">
        <v>127</v>
      </c>
      <c r="D434" s="618" t="s">
        <v>605</v>
      </c>
      <c r="E434" s="619"/>
      <c r="F434" s="619"/>
      <c r="G434" s="619"/>
      <c r="H434" s="620"/>
      <c r="I434" s="619"/>
      <c r="J434" s="619"/>
      <c r="K434" s="619"/>
      <c r="L434" s="619"/>
      <c r="M434" s="621"/>
      <c r="BX434" s="65" t="s">
        <v>605</v>
      </c>
    </row>
    <row r="435" spans="1:76">
      <c r="A435" s="50" t="s">
        <v>4</v>
      </c>
      <c r="B435" s="51" t="s">
        <v>4</v>
      </c>
      <c r="C435" s="51" t="s">
        <v>609</v>
      </c>
      <c r="D435" s="625" t="s">
        <v>610</v>
      </c>
      <c r="E435" s="626"/>
      <c r="F435" s="52" t="s">
        <v>79</v>
      </c>
      <c r="G435" s="52" t="s">
        <v>79</v>
      </c>
      <c r="H435" s="53" t="s">
        <v>79</v>
      </c>
      <c r="I435" s="26">
        <f>SUM(I436:I563)</f>
        <v>0</v>
      </c>
      <c r="J435" s="33" t="s">
        <v>4</v>
      </c>
      <c r="K435" s="33" t="s">
        <v>4</v>
      </c>
      <c r="L435" s="26">
        <f>SUM(L436:L563)</f>
        <v>8.0475434549999996</v>
      </c>
      <c r="M435" s="54" t="s">
        <v>4</v>
      </c>
      <c r="AI435" s="33" t="s">
        <v>4</v>
      </c>
      <c r="AS435" s="26">
        <f>SUM(AJ436:AJ563)</f>
        <v>0</v>
      </c>
      <c r="AT435" s="26">
        <f>SUM(AK436:AK563)</f>
        <v>0</v>
      </c>
      <c r="AU435" s="26">
        <f>SUM(AL436:AL563)</f>
        <v>0</v>
      </c>
    </row>
    <row r="436" spans="1:76">
      <c r="A436" s="1" t="s">
        <v>611</v>
      </c>
      <c r="B436" s="2" t="s">
        <v>4</v>
      </c>
      <c r="C436" s="2" t="s">
        <v>612</v>
      </c>
      <c r="D436" s="549" t="s">
        <v>613</v>
      </c>
      <c r="E436" s="546"/>
      <c r="F436" s="2" t="s">
        <v>157</v>
      </c>
      <c r="G436" s="55">
        <v>103.88</v>
      </c>
      <c r="H436" s="56">
        <v>0</v>
      </c>
      <c r="I436" s="55">
        <f>G436*H436</f>
        <v>0</v>
      </c>
      <c r="J436" s="55">
        <v>0</v>
      </c>
      <c r="K436" s="55">
        <v>4.6299999999999996E-3</v>
      </c>
      <c r="L436" s="55">
        <f>G436*K436</f>
        <v>0.48096439999999996</v>
      </c>
      <c r="M436" s="57" t="s">
        <v>122</v>
      </c>
      <c r="Z436" s="55">
        <f>IF(AQ436="5",BJ436,0)</f>
        <v>0</v>
      </c>
      <c r="AB436" s="55">
        <f>IF(AQ436="1",BH436,0)</f>
        <v>0</v>
      </c>
      <c r="AC436" s="55">
        <f>IF(AQ436="1",BI436,0)</f>
        <v>0</v>
      </c>
      <c r="AD436" s="55">
        <f>IF(AQ436="7",BH436,0)</f>
        <v>0</v>
      </c>
      <c r="AE436" s="55">
        <f>IF(AQ436="7",BI436,0)</f>
        <v>0</v>
      </c>
      <c r="AF436" s="55">
        <f>IF(AQ436="2",BH436,0)</f>
        <v>0</v>
      </c>
      <c r="AG436" s="55">
        <f>IF(AQ436="2",BI436,0)</f>
        <v>0</v>
      </c>
      <c r="AH436" s="55">
        <f>IF(AQ436="0",BJ436,0)</f>
        <v>0</v>
      </c>
      <c r="AI436" s="33" t="s">
        <v>4</v>
      </c>
      <c r="AJ436" s="55">
        <f>IF(AN436=0,I436,0)</f>
        <v>0</v>
      </c>
      <c r="AK436" s="55">
        <f>IF(AN436=12,I436,0)</f>
        <v>0</v>
      </c>
      <c r="AL436" s="55">
        <f>IF(AN436=21,I436,0)</f>
        <v>0</v>
      </c>
      <c r="AN436" s="55">
        <v>21</v>
      </c>
      <c r="AO436" s="55">
        <f>H436*0.713737374</f>
        <v>0</v>
      </c>
      <c r="AP436" s="55">
        <f>H436*(1-0.713737374)</f>
        <v>0</v>
      </c>
      <c r="AQ436" s="58" t="s">
        <v>162</v>
      </c>
      <c r="AV436" s="55">
        <f>AW436+AX436</f>
        <v>0</v>
      </c>
      <c r="AW436" s="55">
        <f>G436*AO436</f>
        <v>0</v>
      </c>
      <c r="AX436" s="55">
        <f>G436*AP436</f>
        <v>0</v>
      </c>
      <c r="AY436" s="58" t="s">
        <v>614</v>
      </c>
      <c r="AZ436" s="58" t="s">
        <v>615</v>
      </c>
      <c r="BA436" s="33" t="s">
        <v>125</v>
      </c>
      <c r="BB436" s="59">
        <v>100034</v>
      </c>
      <c r="BC436" s="55">
        <f>AW436+AX436</f>
        <v>0</v>
      </c>
      <c r="BD436" s="55">
        <f>H436/(100-BE436)*100</f>
        <v>0</v>
      </c>
      <c r="BE436" s="55">
        <v>0</v>
      </c>
      <c r="BF436" s="55">
        <f>L436</f>
        <v>0.48096439999999996</v>
      </c>
      <c r="BH436" s="55">
        <f>G436*AO436</f>
        <v>0</v>
      </c>
      <c r="BI436" s="55">
        <f>G436*AP436</f>
        <v>0</v>
      </c>
      <c r="BJ436" s="55">
        <f>G436*H436</f>
        <v>0</v>
      </c>
      <c r="BK436" s="55"/>
      <c r="BL436" s="55">
        <v>711</v>
      </c>
      <c r="BW436" s="55">
        <v>21</v>
      </c>
      <c r="BX436" s="3" t="s">
        <v>613</v>
      </c>
    </row>
    <row r="437" spans="1:76" ht="13.5" customHeight="1">
      <c r="A437" s="60"/>
      <c r="D437" s="634" t="s">
        <v>616</v>
      </c>
      <c r="E437" s="635"/>
      <c r="F437" s="635"/>
      <c r="G437" s="635"/>
      <c r="H437" s="636"/>
      <c r="I437" s="635"/>
      <c r="J437" s="635"/>
      <c r="K437" s="635"/>
      <c r="L437" s="635"/>
      <c r="M437" s="637"/>
    </row>
    <row r="438" spans="1:76">
      <c r="A438" s="60"/>
      <c r="D438" s="61" t="s">
        <v>500</v>
      </c>
      <c r="E438" s="61" t="s">
        <v>501</v>
      </c>
      <c r="G438" s="62">
        <v>15.79</v>
      </c>
      <c r="M438" s="63"/>
    </row>
    <row r="439" spans="1:76">
      <c r="A439" s="60"/>
      <c r="D439" s="61" t="s">
        <v>502</v>
      </c>
      <c r="E439" s="61" t="s">
        <v>503</v>
      </c>
      <c r="G439" s="62">
        <v>2.61</v>
      </c>
      <c r="M439" s="63"/>
    </row>
    <row r="440" spans="1:76">
      <c r="A440" s="60"/>
      <c r="D440" s="61" t="s">
        <v>504</v>
      </c>
      <c r="E440" s="61" t="s">
        <v>505</v>
      </c>
      <c r="G440" s="62">
        <v>1.89</v>
      </c>
      <c r="M440" s="63"/>
    </row>
    <row r="441" spans="1:76">
      <c r="A441" s="60"/>
      <c r="D441" s="61" t="s">
        <v>506</v>
      </c>
      <c r="E441" s="61" t="s">
        <v>507</v>
      </c>
      <c r="G441" s="62">
        <v>5.2</v>
      </c>
      <c r="M441" s="63"/>
    </row>
    <row r="442" spans="1:76">
      <c r="A442" s="60"/>
      <c r="D442" s="61" t="s">
        <v>510</v>
      </c>
      <c r="E442" s="61" t="s">
        <v>511</v>
      </c>
      <c r="G442" s="62">
        <v>4.42</v>
      </c>
      <c r="M442" s="63"/>
    </row>
    <row r="443" spans="1:76">
      <c r="A443" s="60"/>
      <c r="D443" s="61" t="s">
        <v>508</v>
      </c>
      <c r="E443" s="61" t="s">
        <v>509</v>
      </c>
      <c r="G443" s="62">
        <v>4.7300000000000004</v>
      </c>
      <c r="M443" s="63"/>
    </row>
    <row r="444" spans="1:76">
      <c r="A444" s="60"/>
      <c r="D444" s="61" t="s">
        <v>512</v>
      </c>
      <c r="E444" s="61" t="s">
        <v>513</v>
      </c>
      <c r="G444" s="62">
        <v>5.34</v>
      </c>
      <c r="M444" s="63"/>
    </row>
    <row r="445" spans="1:76">
      <c r="A445" s="60"/>
      <c r="D445" s="61" t="s">
        <v>514</v>
      </c>
      <c r="E445" s="61" t="s">
        <v>515</v>
      </c>
      <c r="G445" s="62">
        <v>5.21</v>
      </c>
      <c r="M445" s="63"/>
    </row>
    <row r="446" spans="1:76">
      <c r="A446" s="60"/>
      <c r="D446" s="61" t="s">
        <v>516</v>
      </c>
      <c r="E446" s="61" t="s">
        <v>517</v>
      </c>
      <c r="G446" s="62">
        <v>5.63</v>
      </c>
      <c r="M446" s="63"/>
    </row>
    <row r="447" spans="1:76">
      <c r="A447" s="60"/>
      <c r="D447" s="61" t="s">
        <v>518</v>
      </c>
      <c r="E447" s="61" t="s">
        <v>519</v>
      </c>
      <c r="G447" s="62">
        <v>16.84</v>
      </c>
      <c r="M447" s="63"/>
    </row>
    <row r="448" spans="1:76">
      <c r="A448" s="60"/>
      <c r="D448" s="61" t="s">
        <v>520</v>
      </c>
      <c r="E448" s="61" t="s">
        <v>521</v>
      </c>
      <c r="G448" s="62">
        <v>9.5500000000000007</v>
      </c>
      <c r="M448" s="63"/>
    </row>
    <row r="449" spans="1:76">
      <c r="A449" s="60"/>
      <c r="D449" s="61" t="s">
        <v>522</v>
      </c>
      <c r="E449" s="61" t="s">
        <v>314</v>
      </c>
      <c r="G449" s="62">
        <v>8.5</v>
      </c>
      <c r="M449" s="63"/>
    </row>
    <row r="450" spans="1:76">
      <c r="A450" s="60"/>
      <c r="D450" s="61" t="s">
        <v>523</v>
      </c>
      <c r="E450" s="61" t="s">
        <v>318</v>
      </c>
      <c r="G450" s="62">
        <v>1.86</v>
      </c>
      <c r="M450" s="63"/>
    </row>
    <row r="451" spans="1:76">
      <c r="A451" s="60"/>
      <c r="D451" s="61" t="s">
        <v>524</v>
      </c>
      <c r="E451" s="61" t="s">
        <v>525</v>
      </c>
      <c r="G451" s="62">
        <v>6.51</v>
      </c>
      <c r="M451" s="63"/>
    </row>
    <row r="452" spans="1:76">
      <c r="A452" s="60"/>
      <c r="D452" s="61" t="s">
        <v>526</v>
      </c>
      <c r="E452" s="61" t="s">
        <v>324</v>
      </c>
      <c r="G452" s="62">
        <v>4.93</v>
      </c>
      <c r="M452" s="63"/>
    </row>
    <row r="453" spans="1:76">
      <c r="A453" s="60"/>
      <c r="D453" s="61" t="s">
        <v>527</v>
      </c>
      <c r="E453" s="61" t="s">
        <v>528</v>
      </c>
      <c r="G453" s="62">
        <v>4.87</v>
      </c>
      <c r="M453" s="63"/>
    </row>
    <row r="454" spans="1:76" ht="38.25">
      <c r="A454" s="60"/>
      <c r="C454" s="64" t="s">
        <v>127</v>
      </c>
      <c r="D454" s="618" t="s">
        <v>617</v>
      </c>
      <c r="E454" s="619"/>
      <c r="F454" s="619"/>
      <c r="G454" s="619"/>
      <c r="H454" s="620"/>
      <c r="I454" s="619"/>
      <c r="J454" s="619"/>
      <c r="K454" s="619"/>
      <c r="L454" s="619"/>
      <c r="M454" s="621"/>
      <c r="BX454" s="65" t="s">
        <v>617</v>
      </c>
    </row>
    <row r="455" spans="1:76">
      <c r="A455" s="1" t="s">
        <v>618</v>
      </c>
      <c r="B455" s="2" t="s">
        <v>4</v>
      </c>
      <c r="C455" s="2" t="s">
        <v>619</v>
      </c>
      <c r="D455" s="549" t="s">
        <v>620</v>
      </c>
      <c r="E455" s="546"/>
      <c r="F455" s="2" t="s">
        <v>219</v>
      </c>
      <c r="G455" s="55">
        <v>165.08</v>
      </c>
      <c r="H455" s="56">
        <v>0</v>
      </c>
      <c r="I455" s="55">
        <f>G455*H455</f>
        <v>0</v>
      </c>
      <c r="J455" s="55">
        <v>0</v>
      </c>
      <c r="K455" s="55">
        <v>5.9999999999999995E-4</v>
      </c>
      <c r="L455" s="55">
        <f>G455*K455</f>
        <v>9.9047999999999997E-2</v>
      </c>
      <c r="M455" s="57" t="s">
        <v>122</v>
      </c>
      <c r="Z455" s="55">
        <f>IF(AQ455="5",BJ455,0)</f>
        <v>0</v>
      </c>
      <c r="AB455" s="55">
        <f>IF(AQ455="1",BH455,0)</f>
        <v>0</v>
      </c>
      <c r="AC455" s="55">
        <f>IF(AQ455="1",BI455,0)</f>
        <v>0</v>
      </c>
      <c r="AD455" s="55">
        <f>IF(AQ455="7",BH455,0)</f>
        <v>0</v>
      </c>
      <c r="AE455" s="55">
        <f>IF(AQ455="7",BI455,0)</f>
        <v>0</v>
      </c>
      <c r="AF455" s="55">
        <f>IF(AQ455="2",BH455,0)</f>
        <v>0</v>
      </c>
      <c r="AG455" s="55">
        <f>IF(AQ455="2",BI455,0)</f>
        <v>0</v>
      </c>
      <c r="AH455" s="55">
        <f>IF(AQ455="0",BJ455,0)</f>
        <v>0</v>
      </c>
      <c r="AI455" s="33" t="s">
        <v>4</v>
      </c>
      <c r="AJ455" s="55">
        <f>IF(AN455=0,I455,0)</f>
        <v>0</v>
      </c>
      <c r="AK455" s="55">
        <f>IF(AN455=12,I455,0)</f>
        <v>0</v>
      </c>
      <c r="AL455" s="55">
        <f>IF(AN455=21,I455,0)</f>
        <v>0</v>
      </c>
      <c r="AN455" s="55">
        <v>21</v>
      </c>
      <c r="AO455" s="55">
        <f>H455*0.71519084</f>
        <v>0</v>
      </c>
      <c r="AP455" s="55">
        <f>H455*(1-0.71519084)</f>
        <v>0</v>
      </c>
      <c r="AQ455" s="58" t="s">
        <v>162</v>
      </c>
      <c r="AV455" s="55">
        <f>AW455+AX455</f>
        <v>0</v>
      </c>
      <c r="AW455" s="55">
        <f>G455*AO455</f>
        <v>0</v>
      </c>
      <c r="AX455" s="55">
        <f>G455*AP455</f>
        <v>0</v>
      </c>
      <c r="AY455" s="58" t="s">
        <v>614</v>
      </c>
      <c r="AZ455" s="58" t="s">
        <v>615</v>
      </c>
      <c r="BA455" s="33" t="s">
        <v>125</v>
      </c>
      <c r="BB455" s="59">
        <v>100034</v>
      </c>
      <c r="BC455" s="55">
        <f>AW455+AX455</f>
        <v>0</v>
      </c>
      <c r="BD455" s="55">
        <f>H455/(100-BE455)*100</f>
        <v>0</v>
      </c>
      <c r="BE455" s="55">
        <v>0</v>
      </c>
      <c r="BF455" s="55">
        <f>L455</f>
        <v>9.9047999999999997E-2</v>
      </c>
      <c r="BH455" s="55">
        <f>G455*AO455</f>
        <v>0</v>
      </c>
      <c r="BI455" s="55">
        <f>G455*AP455</f>
        <v>0</v>
      </c>
      <c r="BJ455" s="55">
        <f>G455*H455</f>
        <v>0</v>
      </c>
      <c r="BK455" s="55"/>
      <c r="BL455" s="55">
        <v>711</v>
      </c>
      <c r="BW455" s="55">
        <v>21</v>
      </c>
      <c r="BX455" s="3" t="s">
        <v>620</v>
      </c>
    </row>
    <row r="456" spans="1:76" ht="13.5" customHeight="1">
      <c r="A456" s="60"/>
      <c r="D456" s="634" t="s">
        <v>621</v>
      </c>
      <c r="E456" s="635"/>
      <c r="F456" s="635"/>
      <c r="G456" s="635"/>
      <c r="H456" s="636"/>
      <c r="I456" s="635"/>
      <c r="J456" s="635"/>
      <c r="K456" s="635"/>
      <c r="L456" s="635"/>
      <c r="M456" s="637"/>
    </row>
    <row r="457" spans="1:76">
      <c r="A457" s="60"/>
      <c r="D457" s="61" t="s">
        <v>622</v>
      </c>
      <c r="E457" s="61" t="s">
        <v>501</v>
      </c>
      <c r="G457" s="62">
        <v>18.079999999999998</v>
      </c>
      <c r="M457" s="63"/>
    </row>
    <row r="458" spans="1:76">
      <c r="A458" s="60"/>
      <c r="D458" s="61" t="s">
        <v>623</v>
      </c>
      <c r="E458" s="61" t="s">
        <v>503</v>
      </c>
      <c r="G458" s="62">
        <v>7.16</v>
      </c>
      <c r="M458" s="63"/>
    </row>
    <row r="459" spans="1:76">
      <c r="A459" s="60"/>
      <c r="D459" s="61" t="s">
        <v>624</v>
      </c>
      <c r="E459" s="61" t="s">
        <v>505</v>
      </c>
      <c r="G459" s="62">
        <v>6.08</v>
      </c>
      <c r="M459" s="63"/>
    </row>
    <row r="460" spans="1:76">
      <c r="A460" s="60"/>
      <c r="D460" s="61" t="s">
        <v>625</v>
      </c>
      <c r="E460" s="61" t="s">
        <v>507</v>
      </c>
      <c r="G460" s="62">
        <v>9.43</v>
      </c>
      <c r="M460" s="63"/>
    </row>
    <row r="461" spans="1:76">
      <c r="A461" s="60"/>
      <c r="D461" s="61" t="s">
        <v>626</v>
      </c>
      <c r="E461" s="61" t="s">
        <v>509</v>
      </c>
      <c r="G461" s="62">
        <v>8.84</v>
      </c>
      <c r="M461" s="63"/>
    </row>
    <row r="462" spans="1:76">
      <c r="A462" s="60"/>
      <c r="D462" s="61" t="s">
        <v>627</v>
      </c>
      <c r="E462" s="61" t="s">
        <v>511</v>
      </c>
      <c r="G462" s="62">
        <v>9.01</v>
      </c>
      <c r="M462" s="63"/>
    </row>
    <row r="463" spans="1:76">
      <c r="A463" s="60"/>
      <c r="D463" s="61" t="s">
        <v>628</v>
      </c>
      <c r="E463" s="61" t="s">
        <v>513</v>
      </c>
      <c r="G463" s="62">
        <v>9.2899999999999991</v>
      </c>
      <c r="M463" s="63"/>
    </row>
    <row r="464" spans="1:76">
      <c r="A464" s="60"/>
      <c r="D464" s="61" t="s">
        <v>629</v>
      </c>
      <c r="E464" s="61" t="s">
        <v>515</v>
      </c>
      <c r="G464" s="62">
        <v>9.18</v>
      </c>
      <c r="M464" s="63"/>
    </row>
    <row r="465" spans="1:76">
      <c r="A465" s="60"/>
      <c r="D465" s="61" t="s">
        <v>630</v>
      </c>
      <c r="E465" s="61" t="s">
        <v>517</v>
      </c>
      <c r="G465" s="62">
        <v>9.6999999999999993</v>
      </c>
      <c r="M465" s="63"/>
    </row>
    <row r="466" spans="1:76">
      <c r="A466" s="60"/>
      <c r="D466" s="61" t="s">
        <v>631</v>
      </c>
      <c r="E466" s="61" t="s">
        <v>519</v>
      </c>
      <c r="G466" s="62">
        <v>17.920000000000002</v>
      </c>
      <c r="M466" s="63"/>
    </row>
    <row r="467" spans="1:76">
      <c r="A467" s="60"/>
      <c r="D467" s="61" t="s">
        <v>632</v>
      </c>
      <c r="E467" s="61" t="s">
        <v>521</v>
      </c>
      <c r="G467" s="62">
        <v>12.65</v>
      </c>
      <c r="M467" s="63"/>
    </row>
    <row r="468" spans="1:76">
      <c r="A468" s="60"/>
      <c r="D468" s="61" t="s">
        <v>633</v>
      </c>
      <c r="E468" s="61" t="s">
        <v>314</v>
      </c>
      <c r="G468" s="62">
        <v>12.05</v>
      </c>
      <c r="M468" s="63"/>
    </row>
    <row r="469" spans="1:76">
      <c r="A469" s="60"/>
      <c r="D469" s="61" t="s">
        <v>634</v>
      </c>
      <c r="E469" s="61" t="s">
        <v>318</v>
      </c>
      <c r="G469" s="62">
        <v>5.79</v>
      </c>
      <c r="M469" s="63"/>
    </row>
    <row r="470" spans="1:76">
      <c r="A470" s="60"/>
      <c r="D470" s="61" t="s">
        <v>635</v>
      </c>
      <c r="E470" s="61" t="s">
        <v>525</v>
      </c>
      <c r="G470" s="62">
        <v>12.15</v>
      </c>
      <c r="M470" s="63"/>
    </row>
    <row r="471" spans="1:76">
      <c r="A471" s="60"/>
      <c r="D471" s="61" t="s">
        <v>636</v>
      </c>
      <c r="E471" s="61" t="s">
        <v>324</v>
      </c>
      <c r="G471" s="62">
        <v>8.9</v>
      </c>
      <c r="M471" s="63"/>
    </row>
    <row r="472" spans="1:76">
      <c r="A472" s="60"/>
      <c r="D472" s="61" t="s">
        <v>637</v>
      </c>
      <c r="E472" s="61" t="s">
        <v>528</v>
      </c>
      <c r="G472" s="62">
        <v>8.85</v>
      </c>
      <c r="M472" s="63"/>
    </row>
    <row r="473" spans="1:76" ht="25.5">
      <c r="A473" s="1" t="s">
        <v>638</v>
      </c>
      <c r="B473" s="2" t="s">
        <v>4</v>
      </c>
      <c r="C473" s="2" t="s">
        <v>639</v>
      </c>
      <c r="D473" s="549" t="s">
        <v>640</v>
      </c>
      <c r="E473" s="546"/>
      <c r="F473" s="2" t="s">
        <v>145</v>
      </c>
      <c r="G473" s="55">
        <v>83</v>
      </c>
      <c r="H473" s="56">
        <v>0</v>
      </c>
      <c r="I473" s="55">
        <f>G473*H473</f>
        <v>0</v>
      </c>
      <c r="J473" s="55">
        <v>0</v>
      </c>
      <c r="K473" s="55">
        <v>1.1E-4</v>
      </c>
      <c r="L473" s="55">
        <f>G473*K473</f>
        <v>9.130000000000001E-3</v>
      </c>
      <c r="M473" s="57" t="s">
        <v>122</v>
      </c>
      <c r="Z473" s="55">
        <f>IF(AQ473="5",BJ473,0)</f>
        <v>0</v>
      </c>
      <c r="AB473" s="55">
        <f>IF(AQ473="1",BH473,0)</f>
        <v>0</v>
      </c>
      <c r="AC473" s="55">
        <f>IF(AQ473="1",BI473,0)</f>
        <v>0</v>
      </c>
      <c r="AD473" s="55">
        <f>IF(AQ473="7",BH473,0)</f>
        <v>0</v>
      </c>
      <c r="AE473" s="55">
        <f>IF(AQ473="7",BI473,0)</f>
        <v>0</v>
      </c>
      <c r="AF473" s="55">
        <f>IF(AQ473="2",BH473,0)</f>
        <v>0</v>
      </c>
      <c r="AG473" s="55">
        <f>IF(AQ473="2",BI473,0)</f>
        <v>0</v>
      </c>
      <c r="AH473" s="55">
        <f>IF(AQ473="0",BJ473,0)</f>
        <v>0</v>
      </c>
      <c r="AI473" s="33" t="s">
        <v>4</v>
      </c>
      <c r="AJ473" s="55">
        <f>IF(AN473=0,I473,0)</f>
        <v>0</v>
      </c>
      <c r="AK473" s="55">
        <f>IF(AN473=12,I473,0)</f>
        <v>0</v>
      </c>
      <c r="AL473" s="55">
        <f>IF(AN473=21,I473,0)</f>
        <v>0</v>
      </c>
      <c r="AN473" s="55">
        <v>21</v>
      </c>
      <c r="AO473" s="55">
        <f>H473*0.868931212</f>
        <v>0</v>
      </c>
      <c r="AP473" s="55">
        <f>H473*(1-0.868931212)</f>
        <v>0</v>
      </c>
      <c r="AQ473" s="58" t="s">
        <v>162</v>
      </c>
      <c r="AV473" s="55">
        <f>AW473+AX473</f>
        <v>0</v>
      </c>
      <c r="AW473" s="55">
        <f>G473*AO473</f>
        <v>0</v>
      </c>
      <c r="AX473" s="55">
        <f>G473*AP473</f>
        <v>0</v>
      </c>
      <c r="AY473" s="58" t="s">
        <v>614</v>
      </c>
      <c r="AZ473" s="58" t="s">
        <v>615</v>
      </c>
      <c r="BA473" s="33" t="s">
        <v>125</v>
      </c>
      <c r="BB473" s="59">
        <v>100034</v>
      </c>
      <c r="BC473" s="55">
        <f>AW473+AX473</f>
        <v>0</v>
      </c>
      <c r="BD473" s="55">
        <f>H473/(100-BE473)*100</f>
        <v>0</v>
      </c>
      <c r="BE473" s="55">
        <v>0</v>
      </c>
      <c r="BF473" s="55">
        <f>L473</f>
        <v>9.130000000000001E-3</v>
      </c>
      <c r="BH473" s="55">
        <f>G473*AO473</f>
        <v>0</v>
      </c>
      <c r="BI473" s="55">
        <f>G473*AP473</f>
        <v>0</v>
      </c>
      <c r="BJ473" s="55">
        <f>G473*H473</f>
        <v>0</v>
      </c>
      <c r="BK473" s="55"/>
      <c r="BL473" s="55">
        <v>711</v>
      </c>
      <c r="BW473" s="55">
        <v>21</v>
      </c>
      <c r="BX473" s="3" t="s">
        <v>640</v>
      </c>
    </row>
    <row r="474" spans="1:76">
      <c r="A474" s="60"/>
      <c r="D474" s="61" t="s">
        <v>184</v>
      </c>
      <c r="E474" s="61" t="s">
        <v>641</v>
      </c>
      <c r="G474" s="62">
        <v>11</v>
      </c>
      <c r="M474" s="63"/>
    </row>
    <row r="475" spans="1:76">
      <c r="A475" s="60"/>
      <c r="D475" s="61" t="s">
        <v>189</v>
      </c>
      <c r="E475" s="61" t="s">
        <v>642</v>
      </c>
      <c r="G475" s="62">
        <v>12</v>
      </c>
      <c r="M475" s="63"/>
    </row>
    <row r="476" spans="1:76">
      <c r="A476" s="60"/>
      <c r="D476" s="61" t="s">
        <v>181</v>
      </c>
      <c r="E476" s="61" t="s">
        <v>643</v>
      </c>
      <c r="G476" s="62">
        <v>10</v>
      </c>
      <c r="M476" s="63"/>
    </row>
    <row r="477" spans="1:76">
      <c r="A477" s="60"/>
      <c r="D477" s="61" t="s">
        <v>169</v>
      </c>
      <c r="E477" s="61" t="s">
        <v>644</v>
      </c>
      <c r="G477" s="62">
        <v>8</v>
      </c>
      <c r="M477" s="63"/>
    </row>
    <row r="478" spans="1:76">
      <c r="A478" s="60"/>
      <c r="D478" s="61" t="s">
        <v>154</v>
      </c>
      <c r="E478" s="61" t="s">
        <v>645</v>
      </c>
      <c r="G478" s="62">
        <v>6</v>
      </c>
      <c r="M478" s="63"/>
    </row>
    <row r="479" spans="1:76">
      <c r="A479" s="60"/>
      <c r="D479" s="61" t="s">
        <v>142</v>
      </c>
      <c r="E479" s="61" t="s">
        <v>646</v>
      </c>
      <c r="G479" s="62">
        <v>4</v>
      </c>
      <c r="M479" s="63"/>
    </row>
    <row r="480" spans="1:76">
      <c r="A480" s="60"/>
      <c r="D480" s="61" t="s">
        <v>142</v>
      </c>
      <c r="E480" s="61" t="s">
        <v>647</v>
      </c>
      <c r="G480" s="62">
        <v>4</v>
      </c>
      <c r="M480" s="63"/>
    </row>
    <row r="481" spans="1:76">
      <c r="A481" s="60"/>
      <c r="D481" s="61" t="s">
        <v>142</v>
      </c>
      <c r="E481" s="61" t="s">
        <v>648</v>
      </c>
      <c r="G481" s="62">
        <v>4</v>
      </c>
      <c r="M481" s="63"/>
    </row>
    <row r="482" spans="1:76">
      <c r="A482" s="60"/>
      <c r="D482" s="61" t="s">
        <v>142</v>
      </c>
      <c r="E482" s="61" t="s">
        <v>649</v>
      </c>
      <c r="G482" s="62">
        <v>4</v>
      </c>
      <c r="M482" s="63"/>
    </row>
    <row r="483" spans="1:76">
      <c r="A483" s="60"/>
      <c r="D483" s="61" t="s">
        <v>189</v>
      </c>
      <c r="E483" s="61" t="s">
        <v>650</v>
      </c>
      <c r="G483" s="62">
        <v>12</v>
      </c>
      <c r="M483" s="63"/>
    </row>
    <row r="484" spans="1:76">
      <c r="A484" s="60"/>
      <c r="D484" s="61" t="s">
        <v>169</v>
      </c>
      <c r="E484" s="61" t="s">
        <v>651</v>
      </c>
      <c r="G484" s="62">
        <v>8</v>
      </c>
      <c r="M484" s="63"/>
    </row>
    <row r="485" spans="1:76">
      <c r="A485" s="1" t="s">
        <v>652</v>
      </c>
      <c r="B485" s="2" t="s">
        <v>4</v>
      </c>
      <c r="C485" s="2" t="s">
        <v>653</v>
      </c>
      <c r="D485" s="549" t="s">
        <v>654</v>
      </c>
      <c r="E485" s="546"/>
      <c r="F485" s="2" t="s">
        <v>157</v>
      </c>
      <c r="G485" s="55">
        <v>271.07549999999998</v>
      </c>
      <c r="H485" s="56">
        <v>0</v>
      </c>
      <c r="I485" s="55">
        <f>G485*H485</f>
        <v>0</v>
      </c>
      <c r="J485" s="55">
        <v>0</v>
      </c>
      <c r="K485" s="55">
        <v>2.1000000000000001E-4</v>
      </c>
      <c r="L485" s="55">
        <f>G485*K485</f>
        <v>5.6925854999999997E-2</v>
      </c>
      <c r="M485" s="57" t="s">
        <v>122</v>
      </c>
      <c r="Z485" s="55">
        <f>IF(AQ485="5",BJ485,0)</f>
        <v>0</v>
      </c>
      <c r="AB485" s="55">
        <f>IF(AQ485="1",BH485,0)</f>
        <v>0</v>
      </c>
      <c r="AC485" s="55">
        <f>IF(AQ485="1",BI485,0)</f>
        <v>0</v>
      </c>
      <c r="AD485" s="55">
        <f>IF(AQ485="7",BH485,0)</f>
        <v>0</v>
      </c>
      <c r="AE485" s="55">
        <f>IF(AQ485="7",BI485,0)</f>
        <v>0</v>
      </c>
      <c r="AF485" s="55">
        <f>IF(AQ485="2",BH485,0)</f>
        <v>0</v>
      </c>
      <c r="AG485" s="55">
        <f>IF(AQ485="2",BI485,0)</f>
        <v>0</v>
      </c>
      <c r="AH485" s="55">
        <f>IF(AQ485="0",BJ485,0)</f>
        <v>0</v>
      </c>
      <c r="AI485" s="33" t="s">
        <v>4</v>
      </c>
      <c r="AJ485" s="55">
        <f>IF(AN485=0,I485,0)</f>
        <v>0</v>
      </c>
      <c r="AK485" s="55">
        <f>IF(AN485=12,I485,0)</f>
        <v>0</v>
      </c>
      <c r="AL485" s="55">
        <f>IF(AN485=21,I485,0)</f>
        <v>0</v>
      </c>
      <c r="AN485" s="55">
        <v>21</v>
      </c>
      <c r="AO485" s="55">
        <f>H485*0.33887356</f>
        <v>0</v>
      </c>
      <c r="AP485" s="55">
        <f>H485*(1-0.33887356)</f>
        <v>0</v>
      </c>
      <c r="AQ485" s="58" t="s">
        <v>162</v>
      </c>
      <c r="AV485" s="55">
        <f>AW485+AX485</f>
        <v>0</v>
      </c>
      <c r="AW485" s="55">
        <f>G485*AO485</f>
        <v>0</v>
      </c>
      <c r="AX485" s="55">
        <f>G485*AP485</f>
        <v>0</v>
      </c>
      <c r="AY485" s="58" t="s">
        <v>614</v>
      </c>
      <c r="AZ485" s="58" t="s">
        <v>615</v>
      </c>
      <c r="BA485" s="33" t="s">
        <v>125</v>
      </c>
      <c r="BB485" s="59">
        <v>100034</v>
      </c>
      <c r="BC485" s="55">
        <f>AW485+AX485</f>
        <v>0</v>
      </c>
      <c r="BD485" s="55">
        <f>H485/(100-BE485)*100</f>
        <v>0</v>
      </c>
      <c r="BE485" s="55">
        <v>0</v>
      </c>
      <c r="BF485" s="55">
        <f>L485</f>
        <v>5.6925854999999997E-2</v>
      </c>
      <c r="BH485" s="55">
        <f>G485*AO485</f>
        <v>0</v>
      </c>
      <c r="BI485" s="55">
        <f>G485*AP485</f>
        <v>0</v>
      </c>
      <c r="BJ485" s="55">
        <f>G485*H485</f>
        <v>0</v>
      </c>
      <c r="BK485" s="55"/>
      <c r="BL485" s="55">
        <v>711</v>
      </c>
      <c r="BW485" s="55">
        <v>21</v>
      </c>
      <c r="BX485" s="3" t="s">
        <v>654</v>
      </c>
    </row>
    <row r="486" spans="1:76">
      <c r="A486" s="60"/>
      <c r="D486" s="61" t="s">
        <v>655</v>
      </c>
      <c r="E486" s="61" t="s">
        <v>656</v>
      </c>
      <c r="G486" s="62">
        <v>6.3</v>
      </c>
      <c r="M486" s="63"/>
    </row>
    <row r="487" spans="1:76">
      <c r="A487" s="60"/>
      <c r="D487" s="61" t="s">
        <v>657</v>
      </c>
      <c r="E487" s="61" t="s">
        <v>658</v>
      </c>
      <c r="G487" s="62">
        <v>14.150499999999999</v>
      </c>
      <c r="M487" s="63"/>
    </row>
    <row r="488" spans="1:76">
      <c r="A488" s="60"/>
      <c r="D488" s="61" t="s">
        <v>342</v>
      </c>
      <c r="E488" s="61" t="s">
        <v>659</v>
      </c>
      <c r="G488" s="62">
        <v>22.076499999999999</v>
      </c>
      <c r="M488" s="63"/>
    </row>
    <row r="489" spans="1:76">
      <c r="A489" s="60"/>
      <c r="D489" s="61" t="s">
        <v>289</v>
      </c>
      <c r="E489" s="61" t="s">
        <v>290</v>
      </c>
      <c r="G489" s="62">
        <v>36.3245</v>
      </c>
      <c r="M489" s="63"/>
    </row>
    <row r="490" spans="1:76">
      <c r="A490" s="60"/>
      <c r="D490" s="61" t="s">
        <v>660</v>
      </c>
      <c r="E490" s="61" t="s">
        <v>513</v>
      </c>
      <c r="G490" s="62">
        <v>21.7195</v>
      </c>
      <c r="M490" s="63"/>
    </row>
    <row r="491" spans="1:76">
      <c r="A491" s="60"/>
      <c r="D491" s="61" t="s">
        <v>661</v>
      </c>
      <c r="E491" s="61" t="s">
        <v>515</v>
      </c>
      <c r="G491" s="62">
        <v>21.439</v>
      </c>
      <c r="M491" s="63"/>
    </row>
    <row r="492" spans="1:76">
      <c r="A492" s="60"/>
      <c r="D492" s="61" t="s">
        <v>662</v>
      </c>
      <c r="E492" s="61" t="s">
        <v>517</v>
      </c>
      <c r="G492" s="62">
        <v>22.765000000000001</v>
      </c>
      <c r="M492" s="63"/>
    </row>
    <row r="493" spans="1:76">
      <c r="A493" s="60"/>
      <c r="D493" s="61" t="s">
        <v>663</v>
      </c>
      <c r="E493" s="61" t="s">
        <v>519</v>
      </c>
      <c r="G493" s="62">
        <v>45.887999999999998</v>
      </c>
      <c r="M493" s="63"/>
    </row>
    <row r="494" spans="1:76">
      <c r="A494" s="60"/>
      <c r="D494" s="61" t="s">
        <v>307</v>
      </c>
      <c r="E494" s="61" t="s">
        <v>308</v>
      </c>
      <c r="G494" s="62">
        <v>23.050999999999998</v>
      </c>
      <c r="M494" s="63"/>
    </row>
    <row r="495" spans="1:76">
      <c r="A495" s="60"/>
      <c r="D495" s="61" t="s">
        <v>664</v>
      </c>
      <c r="E495" s="61" t="s">
        <v>312</v>
      </c>
      <c r="G495" s="62">
        <v>18.861999999999998</v>
      </c>
      <c r="M495" s="63"/>
    </row>
    <row r="496" spans="1:76">
      <c r="A496" s="60"/>
      <c r="D496" s="61" t="s">
        <v>317</v>
      </c>
      <c r="E496" s="61" t="s">
        <v>318</v>
      </c>
      <c r="G496" s="62">
        <v>13.188499999999999</v>
      </c>
      <c r="M496" s="63"/>
    </row>
    <row r="497" spans="1:76">
      <c r="A497" s="60"/>
      <c r="D497" s="61" t="s">
        <v>665</v>
      </c>
      <c r="E497" s="61" t="s">
        <v>525</v>
      </c>
      <c r="G497" s="62">
        <v>29.406500000000001</v>
      </c>
      <c r="M497" s="63"/>
    </row>
    <row r="498" spans="1:76">
      <c r="A498" s="60"/>
      <c r="D498" s="61" t="s">
        <v>666</v>
      </c>
      <c r="E498" s="61" t="s">
        <v>667</v>
      </c>
      <c r="G498" s="62">
        <v>-46.206000000000003</v>
      </c>
      <c r="M498" s="63"/>
    </row>
    <row r="499" spans="1:76">
      <c r="A499" s="60"/>
      <c r="D499" s="61" t="s">
        <v>323</v>
      </c>
      <c r="E499" s="61" t="s">
        <v>324</v>
      </c>
      <c r="G499" s="62">
        <v>21.119</v>
      </c>
      <c r="M499" s="63"/>
    </row>
    <row r="500" spans="1:76">
      <c r="A500" s="60"/>
      <c r="D500" s="61" t="s">
        <v>325</v>
      </c>
      <c r="E500" s="61" t="s">
        <v>326</v>
      </c>
      <c r="G500" s="62">
        <v>20.991499999999998</v>
      </c>
      <c r="M500" s="63"/>
    </row>
    <row r="501" spans="1:76">
      <c r="A501" s="60"/>
      <c r="C501" s="64" t="s">
        <v>127</v>
      </c>
      <c r="D501" s="618" t="s">
        <v>668</v>
      </c>
      <c r="E501" s="619"/>
      <c r="F501" s="619"/>
      <c r="G501" s="619"/>
      <c r="H501" s="620"/>
      <c r="I501" s="619"/>
      <c r="J501" s="619"/>
      <c r="K501" s="619"/>
      <c r="L501" s="619"/>
      <c r="M501" s="621"/>
      <c r="BX501" s="65" t="s">
        <v>668</v>
      </c>
    </row>
    <row r="502" spans="1:76">
      <c r="A502" s="1" t="s">
        <v>669</v>
      </c>
      <c r="B502" s="2" t="s">
        <v>4</v>
      </c>
      <c r="C502" s="2" t="s">
        <v>670</v>
      </c>
      <c r="D502" s="549" t="s">
        <v>671</v>
      </c>
      <c r="E502" s="546"/>
      <c r="F502" s="2" t="s">
        <v>157</v>
      </c>
      <c r="G502" s="55">
        <v>271.07549999999998</v>
      </c>
      <c r="H502" s="56">
        <v>0</v>
      </c>
      <c r="I502" s="55">
        <f>G502*H502</f>
        <v>0</v>
      </c>
      <c r="J502" s="55">
        <v>0</v>
      </c>
      <c r="K502" s="55">
        <v>3.3999999999999998E-3</v>
      </c>
      <c r="L502" s="55">
        <f>G502*K502</f>
        <v>0.92165669999999988</v>
      </c>
      <c r="M502" s="57" t="s">
        <v>122</v>
      </c>
      <c r="Z502" s="55">
        <f>IF(AQ502="5",BJ502,0)</f>
        <v>0</v>
      </c>
      <c r="AB502" s="55">
        <f>IF(AQ502="1",BH502,0)</f>
        <v>0</v>
      </c>
      <c r="AC502" s="55">
        <f>IF(AQ502="1",BI502,0)</f>
        <v>0</v>
      </c>
      <c r="AD502" s="55">
        <f>IF(AQ502="7",BH502,0)</f>
        <v>0</v>
      </c>
      <c r="AE502" s="55">
        <f>IF(AQ502="7",BI502,0)</f>
        <v>0</v>
      </c>
      <c r="AF502" s="55">
        <f>IF(AQ502="2",BH502,0)</f>
        <v>0</v>
      </c>
      <c r="AG502" s="55">
        <f>IF(AQ502="2",BI502,0)</f>
        <v>0</v>
      </c>
      <c r="AH502" s="55">
        <f>IF(AQ502="0",BJ502,0)</f>
        <v>0</v>
      </c>
      <c r="AI502" s="33" t="s">
        <v>4</v>
      </c>
      <c r="AJ502" s="55">
        <f>IF(AN502=0,I502,0)</f>
        <v>0</v>
      </c>
      <c r="AK502" s="55">
        <f>IF(AN502=12,I502,0)</f>
        <v>0</v>
      </c>
      <c r="AL502" s="55">
        <f>IF(AN502=21,I502,0)</f>
        <v>0</v>
      </c>
      <c r="AN502" s="55">
        <v>21</v>
      </c>
      <c r="AO502" s="55">
        <f>H502*0.661562027</f>
        <v>0</v>
      </c>
      <c r="AP502" s="55">
        <f>H502*(1-0.661562027)</f>
        <v>0</v>
      </c>
      <c r="AQ502" s="58" t="s">
        <v>162</v>
      </c>
      <c r="AV502" s="55">
        <f>AW502+AX502</f>
        <v>0</v>
      </c>
      <c r="AW502" s="55">
        <f>G502*AO502</f>
        <v>0</v>
      </c>
      <c r="AX502" s="55">
        <f>G502*AP502</f>
        <v>0</v>
      </c>
      <c r="AY502" s="58" t="s">
        <v>614</v>
      </c>
      <c r="AZ502" s="58" t="s">
        <v>615</v>
      </c>
      <c r="BA502" s="33" t="s">
        <v>125</v>
      </c>
      <c r="BB502" s="59">
        <v>100034</v>
      </c>
      <c r="BC502" s="55">
        <f>AW502+AX502</f>
        <v>0</v>
      </c>
      <c r="BD502" s="55">
        <f>H502/(100-BE502)*100</f>
        <v>0</v>
      </c>
      <c r="BE502" s="55">
        <v>0</v>
      </c>
      <c r="BF502" s="55">
        <f>L502</f>
        <v>0.92165669999999988</v>
      </c>
      <c r="BH502" s="55">
        <f>G502*AO502</f>
        <v>0</v>
      </c>
      <c r="BI502" s="55">
        <f>G502*AP502</f>
        <v>0</v>
      </c>
      <c r="BJ502" s="55">
        <f>G502*H502</f>
        <v>0</v>
      </c>
      <c r="BK502" s="55"/>
      <c r="BL502" s="55">
        <v>711</v>
      </c>
      <c r="BW502" s="55">
        <v>21</v>
      </c>
      <c r="BX502" s="3" t="s">
        <v>671</v>
      </c>
    </row>
    <row r="503" spans="1:76" ht="13.5" customHeight="1">
      <c r="A503" s="60"/>
      <c r="D503" s="634" t="s">
        <v>672</v>
      </c>
      <c r="E503" s="635"/>
      <c r="F503" s="635"/>
      <c r="G503" s="635"/>
      <c r="H503" s="636"/>
      <c r="I503" s="635"/>
      <c r="J503" s="635"/>
      <c r="K503" s="635"/>
      <c r="L503" s="635"/>
      <c r="M503" s="637"/>
    </row>
    <row r="504" spans="1:76">
      <c r="A504" s="60"/>
      <c r="D504" s="61" t="s">
        <v>655</v>
      </c>
      <c r="E504" s="61" t="s">
        <v>656</v>
      </c>
      <c r="G504" s="62">
        <v>6.3</v>
      </c>
      <c r="M504" s="63"/>
    </row>
    <row r="505" spans="1:76">
      <c r="A505" s="60"/>
      <c r="D505" s="61" t="s">
        <v>657</v>
      </c>
      <c r="E505" s="61" t="s">
        <v>658</v>
      </c>
      <c r="G505" s="62">
        <v>14.150499999999999</v>
      </c>
      <c r="M505" s="63"/>
    </row>
    <row r="506" spans="1:76">
      <c r="A506" s="60"/>
      <c r="D506" s="61" t="s">
        <v>342</v>
      </c>
      <c r="E506" s="61" t="s">
        <v>659</v>
      </c>
      <c r="G506" s="62">
        <v>22.076499999999999</v>
      </c>
      <c r="M506" s="63"/>
    </row>
    <row r="507" spans="1:76">
      <c r="A507" s="60"/>
      <c r="D507" s="61" t="s">
        <v>289</v>
      </c>
      <c r="E507" s="61" t="s">
        <v>290</v>
      </c>
      <c r="G507" s="62">
        <v>36.3245</v>
      </c>
      <c r="M507" s="63"/>
    </row>
    <row r="508" spans="1:76">
      <c r="A508" s="60"/>
      <c r="D508" s="61" t="s">
        <v>660</v>
      </c>
      <c r="E508" s="61" t="s">
        <v>513</v>
      </c>
      <c r="G508" s="62">
        <v>21.7195</v>
      </c>
      <c r="M508" s="63"/>
    </row>
    <row r="509" spans="1:76">
      <c r="A509" s="60"/>
      <c r="D509" s="61" t="s">
        <v>661</v>
      </c>
      <c r="E509" s="61" t="s">
        <v>515</v>
      </c>
      <c r="G509" s="62">
        <v>21.439</v>
      </c>
      <c r="M509" s="63"/>
    </row>
    <row r="510" spans="1:76">
      <c r="A510" s="60"/>
      <c r="D510" s="61" t="s">
        <v>662</v>
      </c>
      <c r="E510" s="61" t="s">
        <v>517</v>
      </c>
      <c r="G510" s="62">
        <v>22.765000000000001</v>
      </c>
      <c r="M510" s="63"/>
    </row>
    <row r="511" spans="1:76">
      <c r="A511" s="60"/>
      <c r="D511" s="61" t="s">
        <v>663</v>
      </c>
      <c r="E511" s="61" t="s">
        <v>519</v>
      </c>
      <c r="G511" s="62">
        <v>45.887999999999998</v>
      </c>
      <c r="M511" s="63"/>
    </row>
    <row r="512" spans="1:76">
      <c r="A512" s="60"/>
      <c r="D512" s="61" t="s">
        <v>307</v>
      </c>
      <c r="E512" s="61" t="s">
        <v>308</v>
      </c>
      <c r="G512" s="62">
        <v>23.050999999999998</v>
      </c>
      <c r="M512" s="63"/>
    </row>
    <row r="513" spans="1:76">
      <c r="A513" s="60"/>
      <c r="D513" s="61" t="s">
        <v>664</v>
      </c>
      <c r="E513" s="61" t="s">
        <v>312</v>
      </c>
      <c r="G513" s="62">
        <v>18.861999999999998</v>
      </c>
      <c r="M513" s="63"/>
    </row>
    <row r="514" spans="1:76">
      <c r="A514" s="60"/>
      <c r="D514" s="61" t="s">
        <v>317</v>
      </c>
      <c r="E514" s="61" t="s">
        <v>318</v>
      </c>
      <c r="G514" s="62">
        <v>13.188499999999999</v>
      </c>
      <c r="M514" s="63"/>
    </row>
    <row r="515" spans="1:76">
      <c r="A515" s="60"/>
      <c r="D515" s="61" t="s">
        <v>665</v>
      </c>
      <c r="E515" s="61" t="s">
        <v>525</v>
      </c>
      <c r="G515" s="62">
        <v>29.406500000000001</v>
      </c>
      <c r="M515" s="63"/>
    </row>
    <row r="516" spans="1:76">
      <c r="A516" s="60"/>
      <c r="D516" s="61" t="s">
        <v>666</v>
      </c>
      <c r="E516" s="61" t="s">
        <v>667</v>
      </c>
      <c r="G516" s="62">
        <v>-46.206000000000003</v>
      </c>
      <c r="M516" s="63"/>
    </row>
    <row r="517" spans="1:76">
      <c r="A517" s="60"/>
      <c r="D517" s="61" t="s">
        <v>323</v>
      </c>
      <c r="E517" s="61" t="s">
        <v>324</v>
      </c>
      <c r="G517" s="62">
        <v>21.119</v>
      </c>
      <c r="M517" s="63"/>
    </row>
    <row r="518" spans="1:76">
      <c r="A518" s="60"/>
      <c r="D518" s="61" t="s">
        <v>325</v>
      </c>
      <c r="E518" s="61" t="s">
        <v>326</v>
      </c>
      <c r="G518" s="62">
        <v>20.991499999999998</v>
      </c>
      <c r="M518" s="63"/>
    </row>
    <row r="519" spans="1:76" ht="63.75">
      <c r="A519" s="60"/>
      <c r="C519" s="64" t="s">
        <v>127</v>
      </c>
      <c r="D519" s="618" t="s">
        <v>673</v>
      </c>
      <c r="E519" s="619"/>
      <c r="F519" s="619"/>
      <c r="G519" s="619"/>
      <c r="H519" s="620"/>
      <c r="I519" s="619"/>
      <c r="J519" s="619"/>
      <c r="K519" s="619"/>
      <c r="L519" s="619"/>
      <c r="M519" s="621"/>
      <c r="BX519" s="65" t="s">
        <v>673</v>
      </c>
    </row>
    <row r="520" spans="1:76">
      <c r="A520" s="1" t="s">
        <v>674</v>
      </c>
      <c r="B520" s="2" t="s">
        <v>4</v>
      </c>
      <c r="C520" s="2" t="s">
        <v>675</v>
      </c>
      <c r="D520" s="549" t="s">
        <v>676</v>
      </c>
      <c r="E520" s="546"/>
      <c r="F520" s="2" t="s">
        <v>219</v>
      </c>
      <c r="G520" s="55">
        <v>175.25</v>
      </c>
      <c r="H520" s="56">
        <v>0</v>
      </c>
      <c r="I520" s="55">
        <f>G520*H520</f>
        <v>0</v>
      </c>
      <c r="J520" s="55">
        <v>0</v>
      </c>
      <c r="K520" s="55">
        <v>2.9E-4</v>
      </c>
      <c r="L520" s="55">
        <f>G520*K520</f>
        <v>5.08225E-2</v>
      </c>
      <c r="M520" s="57" t="s">
        <v>122</v>
      </c>
      <c r="Z520" s="55">
        <f>IF(AQ520="5",BJ520,0)</f>
        <v>0</v>
      </c>
      <c r="AB520" s="55">
        <f>IF(AQ520="1",BH520,0)</f>
        <v>0</v>
      </c>
      <c r="AC520" s="55">
        <f>IF(AQ520="1",BI520,0)</f>
        <v>0</v>
      </c>
      <c r="AD520" s="55">
        <f>IF(AQ520="7",BH520,0)</f>
        <v>0</v>
      </c>
      <c r="AE520" s="55">
        <f>IF(AQ520="7",BI520,0)</f>
        <v>0</v>
      </c>
      <c r="AF520" s="55">
        <f>IF(AQ520="2",BH520,0)</f>
        <v>0</v>
      </c>
      <c r="AG520" s="55">
        <f>IF(AQ520="2",BI520,0)</f>
        <v>0</v>
      </c>
      <c r="AH520" s="55">
        <f>IF(AQ520="0",BJ520,0)</f>
        <v>0</v>
      </c>
      <c r="AI520" s="33" t="s">
        <v>4</v>
      </c>
      <c r="AJ520" s="55">
        <f>IF(AN520=0,I520,0)</f>
        <v>0</v>
      </c>
      <c r="AK520" s="55">
        <f>IF(AN520=12,I520,0)</f>
        <v>0</v>
      </c>
      <c r="AL520" s="55">
        <f>IF(AN520=21,I520,0)</f>
        <v>0</v>
      </c>
      <c r="AN520" s="55">
        <v>21</v>
      </c>
      <c r="AO520" s="55">
        <f>H520*0.634727273</f>
        <v>0</v>
      </c>
      <c r="AP520" s="55">
        <f>H520*(1-0.634727273)</f>
        <v>0</v>
      </c>
      <c r="AQ520" s="58" t="s">
        <v>162</v>
      </c>
      <c r="AV520" s="55">
        <f>AW520+AX520</f>
        <v>0</v>
      </c>
      <c r="AW520" s="55">
        <f>G520*AO520</f>
        <v>0</v>
      </c>
      <c r="AX520" s="55">
        <f>G520*AP520</f>
        <v>0</v>
      </c>
      <c r="AY520" s="58" t="s">
        <v>614</v>
      </c>
      <c r="AZ520" s="58" t="s">
        <v>615</v>
      </c>
      <c r="BA520" s="33" t="s">
        <v>125</v>
      </c>
      <c r="BB520" s="59">
        <v>100034</v>
      </c>
      <c r="BC520" s="55">
        <f>AW520+AX520</f>
        <v>0</v>
      </c>
      <c r="BD520" s="55">
        <f>H520/(100-BE520)*100</f>
        <v>0</v>
      </c>
      <c r="BE520" s="55">
        <v>0</v>
      </c>
      <c r="BF520" s="55">
        <f>L520</f>
        <v>5.08225E-2</v>
      </c>
      <c r="BH520" s="55">
        <f>G520*AO520</f>
        <v>0</v>
      </c>
      <c r="BI520" s="55">
        <f>G520*AP520</f>
        <v>0</v>
      </c>
      <c r="BJ520" s="55">
        <f>G520*H520</f>
        <v>0</v>
      </c>
      <c r="BK520" s="55"/>
      <c r="BL520" s="55">
        <v>711</v>
      </c>
      <c r="BW520" s="55">
        <v>21</v>
      </c>
      <c r="BX520" s="3" t="s">
        <v>676</v>
      </c>
    </row>
    <row r="521" spans="1:76" ht="13.5" customHeight="1">
      <c r="A521" s="60"/>
      <c r="D521" s="634" t="s">
        <v>677</v>
      </c>
      <c r="E521" s="635"/>
      <c r="F521" s="635"/>
      <c r="G521" s="635"/>
      <c r="H521" s="636"/>
      <c r="I521" s="635"/>
      <c r="J521" s="635"/>
      <c r="K521" s="635"/>
      <c r="L521" s="635"/>
      <c r="M521" s="637"/>
    </row>
    <row r="522" spans="1:76">
      <c r="A522" s="60"/>
      <c r="D522" s="61" t="s">
        <v>678</v>
      </c>
      <c r="E522" s="61" t="s">
        <v>679</v>
      </c>
      <c r="G522" s="62">
        <v>3.6</v>
      </c>
      <c r="M522" s="63"/>
    </row>
    <row r="523" spans="1:76">
      <c r="A523" s="60"/>
      <c r="D523" s="61" t="s">
        <v>680</v>
      </c>
      <c r="E523" s="61" t="s">
        <v>681</v>
      </c>
      <c r="G523" s="62">
        <v>10.199999999999999</v>
      </c>
      <c r="M523" s="63"/>
    </row>
    <row r="524" spans="1:76">
      <c r="A524" s="60"/>
      <c r="D524" s="61" t="s">
        <v>682</v>
      </c>
      <c r="E524" s="61" t="s">
        <v>659</v>
      </c>
      <c r="G524" s="62">
        <v>12.75</v>
      </c>
      <c r="M524" s="63"/>
    </row>
    <row r="525" spans="1:76">
      <c r="A525" s="60"/>
      <c r="D525" s="61" t="s">
        <v>683</v>
      </c>
      <c r="E525" s="61" t="s">
        <v>643</v>
      </c>
      <c r="G525" s="62">
        <v>25.5</v>
      </c>
      <c r="M525" s="63"/>
    </row>
    <row r="526" spans="1:76">
      <c r="A526" s="60"/>
      <c r="D526" s="61" t="s">
        <v>684</v>
      </c>
      <c r="E526" s="61" t="s">
        <v>644</v>
      </c>
      <c r="G526" s="62">
        <v>20</v>
      </c>
      <c r="M526" s="63"/>
    </row>
    <row r="527" spans="1:76">
      <c r="A527" s="60"/>
      <c r="D527" s="61" t="s">
        <v>685</v>
      </c>
      <c r="E527" s="61" t="s">
        <v>4</v>
      </c>
      <c r="G527" s="62">
        <v>15.3</v>
      </c>
      <c r="M527" s="63"/>
    </row>
    <row r="528" spans="1:76">
      <c r="A528" s="60"/>
      <c r="D528" s="61" t="s">
        <v>686</v>
      </c>
      <c r="E528" s="61" t="s">
        <v>646</v>
      </c>
      <c r="G528" s="62">
        <v>31.8</v>
      </c>
      <c r="M528" s="63"/>
    </row>
    <row r="529" spans="1:76">
      <c r="A529" s="60"/>
      <c r="D529" s="61" t="s">
        <v>680</v>
      </c>
      <c r="E529" s="61" t="s">
        <v>687</v>
      </c>
      <c r="G529" s="62">
        <v>10.199999999999999</v>
      </c>
      <c r="M529" s="63"/>
    </row>
    <row r="530" spans="1:76">
      <c r="A530" s="60"/>
      <c r="D530" s="61" t="s">
        <v>680</v>
      </c>
      <c r="E530" s="61" t="s">
        <v>647</v>
      </c>
      <c r="G530" s="62">
        <v>10.199999999999999</v>
      </c>
      <c r="M530" s="63"/>
    </row>
    <row r="531" spans="1:76">
      <c r="A531" s="60"/>
      <c r="D531" s="61" t="s">
        <v>680</v>
      </c>
      <c r="E531" s="61" t="s">
        <v>649</v>
      </c>
      <c r="G531" s="62">
        <v>10.199999999999999</v>
      </c>
      <c r="M531" s="63"/>
    </row>
    <row r="532" spans="1:76">
      <c r="A532" s="60"/>
      <c r="D532" s="61" t="s">
        <v>688</v>
      </c>
      <c r="E532" s="61" t="s">
        <v>650</v>
      </c>
      <c r="G532" s="62">
        <v>5.0999999999999996</v>
      </c>
      <c r="M532" s="63"/>
    </row>
    <row r="533" spans="1:76">
      <c r="A533" s="60"/>
      <c r="D533" s="61" t="s">
        <v>689</v>
      </c>
      <c r="E533" s="61" t="s">
        <v>651</v>
      </c>
      <c r="G533" s="62">
        <v>20.399999999999999</v>
      </c>
      <c r="M533" s="63"/>
    </row>
    <row r="534" spans="1:76">
      <c r="A534" s="60"/>
      <c r="C534" s="64" t="s">
        <v>127</v>
      </c>
      <c r="D534" s="618" t="s">
        <v>690</v>
      </c>
      <c r="E534" s="619"/>
      <c r="F534" s="619"/>
      <c r="G534" s="619"/>
      <c r="H534" s="620"/>
      <c r="I534" s="619"/>
      <c r="J534" s="619"/>
      <c r="K534" s="619"/>
      <c r="L534" s="619"/>
      <c r="M534" s="621"/>
      <c r="BX534" s="65" t="s">
        <v>690</v>
      </c>
    </row>
    <row r="535" spans="1:76">
      <c r="A535" s="1" t="s">
        <v>691</v>
      </c>
      <c r="B535" s="2" t="s">
        <v>4</v>
      </c>
      <c r="C535" s="2" t="s">
        <v>692</v>
      </c>
      <c r="D535" s="549" t="s">
        <v>693</v>
      </c>
      <c r="E535" s="546"/>
      <c r="F535" s="2" t="s">
        <v>157</v>
      </c>
      <c r="G535" s="55">
        <v>573.04</v>
      </c>
      <c r="H535" s="56">
        <v>0</v>
      </c>
      <c r="I535" s="55">
        <f>G535*H535</f>
        <v>0</v>
      </c>
      <c r="J535" s="55">
        <v>0</v>
      </c>
      <c r="K535" s="55">
        <v>3.3E-4</v>
      </c>
      <c r="L535" s="55">
        <f>G535*K535</f>
        <v>0.1891032</v>
      </c>
      <c r="M535" s="57" t="s">
        <v>122</v>
      </c>
      <c r="Z535" s="55">
        <f>IF(AQ535="5",BJ535,0)</f>
        <v>0</v>
      </c>
      <c r="AB535" s="55">
        <f>IF(AQ535="1",BH535,0)</f>
        <v>0</v>
      </c>
      <c r="AC535" s="55">
        <f>IF(AQ535="1",BI535,0)</f>
        <v>0</v>
      </c>
      <c r="AD535" s="55">
        <f>IF(AQ535="7",BH535,0)</f>
        <v>0</v>
      </c>
      <c r="AE535" s="55">
        <f>IF(AQ535="7",BI535,0)</f>
        <v>0</v>
      </c>
      <c r="AF535" s="55">
        <f>IF(AQ535="2",BH535,0)</f>
        <v>0</v>
      </c>
      <c r="AG535" s="55">
        <f>IF(AQ535="2",BI535,0)</f>
        <v>0</v>
      </c>
      <c r="AH535" s="55">
        <f>IF(AQ535="0",BJ535,0)</f>
        <v>0</v>
      </c>
      <c r="AI535" s="33" t="s">
        <v>4</v>
      </c>
      <c r="AJ535" s="55">
        <f>IF(AN535=0,I535,0)</f>
        <v>0</v>
      </c>
      <c r="AK535" s="55">
        <f>IF(AN535=12,I535,0)</f>
        <v>0</v>
      </c>
      <c r="AL535" s="55">
        <f>IF(AN535=21,I535,0)</f>
        <v>0</v>
      </c>
      <c r="AN535" s="55">
        <v>21</v>
      </c>
      <c r="AO535" s="55">
        <f>H535*0.722030603</f>
        <v>0</v>
      </c>
      <c r="AP535" s="55">
        <f>H535*(1-0.722030603)</f>
        <v>0</v>
      </c>
      <c r="AQ535" s="58" t="s">
        <v>162</v>
      </c>
      <c r="AV535" s="55">
        <f>AW535+AX535</f>
        <v>0</v>
      </c>
      <c r="AW535" s="55">
        <f>G535*AO535</f>
        <v>0</v>
      </c>
      <c r="AX535" s="55">
        <f>G535*AP535</f>
        <v>0</v>
      </c>
      <c r="AY535" s="58" t="s">
        <v>614</v>
      </c>
      <c r="AZ535" s="58" t="s">
        <v>615</v>
      </c>
      <c r="BA535" s="33" t="s">
        <v>125</v>
      </c>
      <c r="BB535" s="59">
        <v>100034</v>
      </c>
      <c r="BC535" s="55">
        <f>AW535+AX535</f>
        <v>0</v>
      </c>
      <c r="BD535" s="55">
        <f>H535/(100-BE535)*100</f>
        <v>0</v>
      </c>
      <c r="BE535" s="55">
        <v>0</v>
      </c>
      <c r="BF535" s="55">
        <f>L535</f>
        <v>0.1891032</v>
      </c>
      <c r="BH535" s="55">
        <f>G535*AO535</f>
        <v>0</v>
      </c>
      <c r="BI535" s="55">
        <f>G535*AP535</f>
        <v>0</v>
      </c>
      <c r="BJ535" s="55">
        <f>G535*H535</f>
        <v>0</v>
      </c>
      <c r="BK535" s="55"/>
      <c r="BL535" s="55">
        <v>711</v>
      </c>
      <c r="BW535" s="55">
        <v>21</v>
      </c>
      <c r="BX535" s="3" t="s">
        <v>693</v>
      </c>
    </row>
    <row r="536" spans="1:76" ht="13.5" customHeight="1">
      <c r="A536" s="60"/>
      <c r="D536" s="634" t="s">
        <v>694</v>
      </c>
      <c r="E536" s="635"/>
      <c r="F536" s="635"/>
      <c r="G536" s="635"/>
      <c r="H536" s="636"/>
      <c r="I536" s="635"/>
      <c r="J536" s="635"/>
      <c r="K536" s="635"/>
      <c r="L536" s="635"/>
      <c r="M536" s="637"/>
    </row>
    <row r="537" spans="1:76">
      <c r="A537" s="60"/>
      <c r="D537" s="61" t="s">
        <v>590</v>
      </c>
      <c r="E537" s="61" t="s">
        <v>4</v>
      </c>
      <c r="G537" s="62">
        <v>510</v>
      </c>
      <c r="M537" s="63"/>
    </row>
    <row r="538" spans="1:76">
      <c r="A538" s="60"/>
      <c r="D538" s="61" t="s">
        <v>573</v>
      </c>
      <c r="E538" s="61" t="s">
        <v>4</v>
      </c>
      <c r="G538" s="62">
        <v>63.04</v>
      </c>
      <c r="M538" s="63"/>
    </row>
    <row r="539" spans="1:76" ht="51">
      <c r="A539" s="60"/>
      <c r="C539" s="64" t="s">
        <v>127</v>
      </c>
      <c r="D539" s="618" t="s">
        <v>695</v>
      </c>
      <c r="E539" s="619"/>
      <c r="F539" s="619"/>
      <c r="G539" s="619"/>
      <c r="H539" s="620"/>
      <c r="I539" s="619"/>
      <c r="J539" s="619"/>
      <c r="K539" s="619"/>
      <c r="L539" s="619"/>
      <c r="M539" s="621"/>
      <c r="BX539" s="65" t="s">
        <v>695</v>
      </c>
    </row>
    <row r="540" spans="1:76">
      <c r="A540" s="1" t="s">
        <v>696</v>
      </c>
      <c r="B540" s="2" t="s">
        <v>4</v>
      </c>
      <c r="C540" s="2" t="s">
        <v>697</v>
      </c>
      <c r="D540" s="549" t="s">
        <v>698</v>
      </c>
      <c r="E540" s="546"/>
      <c r="F540" s="2" t="s">
        <v>157</v>
      </c>
      <c r="G540" s="55">
        <v>573.04</v>
      </c>
      <c r="H540" s="56">
        <v>0</v>
      </c>
      <c r="I540" s="55">
        <f>G540*H540</f>
        <v>0</v>
      </c>
      <c r="J540" s="55">
        <v>0</v>
      </c>
      <c r="K540" s="55">
        <v>8.1999999999999998E-4</v>
      </c>
      <c r="L540" s="55">
        <f>G540*K540</f>
        <v>0.46989279999999994</v>
      </c>
      <c r="M540" s="57" t="s">
        <v>122</v>
      </c>
      <c r="Z540" s="55">
        <f>IF(AQ540="5",BJ540,0)</f>
        <v>0</v>
      </c>
      <c r="AB540" s="55">
        <f>IF(AQ540="1",BH540,0)</f>
        <v>0</v>
      </c>
      <c r="AC540" s="55">
        <f>IF(AQ540="1",BI540,0)</f>
        <v>0</v>
      </c>
      <c r="AD540" s="55">
        <f>IF(AQ540="7",BH540,0)</f>
        <v>0</v>
      </c>
      <c r="AE540" s="55">
        <f>IF(AQ540="7",BI540,0)</f>
        <v>0</v>
      </c>
      <c r="AF540" s="55">
        <f>IF(AQ540="2",BH540,0)</f>
        <v>0</v>
      </c>
      <c r="AG540" s="55">
        <f>IF(AQ540="2",BI540,0)</f>
        <v>0</v>
      </c>
      <c r="AH540" s="55">
        <f>IF(AQ540="0",BJ540,0)</f>
        <v>0</v>
      </c>
      <c r="AI540" s="33" t="s">
        <v>4</v>
      </c>
      <c r="AJ540" s="55">
        <f>IF(AN540=0,I540,0)</f>
        <v>0</v>
      </c>
      <c r="AK540" s="55">
        <f>IF(AN540=12,I540,0)</f>
        <v>0</v>
      </c>
      <c r="AL540" s="55">
        <f>IF(AN540=21,I540,0)</f>
        <v>0</v>
      </c>
      <c r="AN540" s="55">
        <v>21</v>
      </c>
      <c r="AO540" s="55">
        <f>H540*0.079545455</f>
        <v>0</v>
      </c>
      <c r="AP540" s="55">
        <f>H540*(1-0.079545455)</f>
        <v>0</v>
      </c>
      <c r="AQ540" s="58" t="s">
        <v>162</v>
      </c>
      <c r="AV540" s="55">
        <f>AW540+AX540</f>
        <v>0</v>
      </c>
      <c r="AW540" s="55">
        <f>G540*AO540</f>
        <v>0</v>
      </c>
      <c r="AX540" s="55">
        <f>G540*AP540</f>
        <v>0</v>
      </c>
      <c r="AY540" s="58" t="s">
        <v>614</v>
      </c>
      <c r="AZ540" s="58" t="s">
        <v>615</v>
      </c>
      <c r="BA540" s="33" t="s">
        <v>125</v>
      </c>
      <c r="BB540" s="59">
        <v>100034</v>
      </c>
      <c r="BC540" s="55">
        <f>AW540+AX540</f>
        <v>0</v>
      </c>
      <c r="BD540" s="55">
        <f>H540/(100-BE540)*100</f>
        <v>0</v>
      </c>
      <c r="BE540" s="55">
        <v>0</v>
      </c>
      <c r="BF540" s="55">
        <f>L540</f>
        <v>0.46989279999999994</v>
      </c>
      <c r="BH540" s="55">
        <f>G540*AO540</f>
        <v>0</v>
      </c>
      <c r="BI540" s="55">
        <f>G540*AP540</f>
        <v>0</v>
      </c>
      <c r="BJ540" s="55">
        <f>G540*H540</f>
        <v>0</v>
      </c>
      <c r="BK540" s="55"/>
      <c r="BL540" s="55">
        <v>711</v>
      </c>
      <c r="BW540" s="55">
        <v>21</v>
      </c>
      <c r="BX540" s="3" t="s">
        <v>698</v>
      </c>
    </row>
    <row r="541" spans="1:76" ht="13.5" customHeight="1">
      <c r="A541" s="60"/>
      <c r="D541" s="634" t="s">
        <v>699</v>
      </c>
      <c r="E541" s="635"/>
      <c r="F541" s="635"/>
      <c r="G541" s="635"/>
      <c r="H541" s="636"/>
      <c r="I541" s="635"/>
      <c r="J541" s="635"/>
      <c r="K541" s="635"/>
      <c r="L541" s="635"/>
      <c r="M541" s="637"/>
    </row>
    <row r="542" spans="1:76">
      <c r="A542" s="60"/>
      <c r="D542" s="61" t="s">
        <v>700</v>
      </c>
      <c r="E542" s="61" t="s">
        <v>4</v>
      </c>
      <c r="G542" s="62">
        <v>63.04</v>
      </c>
      <c r="M542" s="63"/>
    </row>
    <row r="543" spans="1:76">
      <c r="A543" s="60"/>
      <c r="D543" s="61" t="s">
        <v>590</v>
      </c>
      <c r="E543" s="61" t="s">
        <v>4</v>
      </c>
      <c r="G543" s="62">
        <v>510</v>
      </c>
      <c r="M543" s="63"/>
    </row>
    <row r="544" spans="1:76" ht="38.25">
      <c r="A544" s="60"/>
      <c r="C544" s="64" t="s">
        <v>127</v>
      </c>
      <c r="D544" s="618" t="s">
        <v>701</v>
      </c>
      <c r="E544" s="619"/>
      <c r="F544" s="619"/>
      <c r="G544" s="619"/>
      <c r="H544" s="620"/>
      <c r="I544" s="619"/>
      <c r="J544" s="619"/>
      <c r="K544" s="619"/>
      <c r="L544" s="619"/>
      <c r="M544" s="621"/>
      <c r="BX544" s="65" t="s">
        <v>701</v>
      </c>
    </row>
    <row r="545" spans="1:76">
      <c r="A545" s="66" t="s">
        <v>702</v>
      </c>
      <c r="B545" s="67" t="s">
        <v>4</v>
      </c>
      <c r="C545" s="67" t="s">
        <v>703</v>
      </c>
      <c r="D545" s="622" t="s">
        <v>704</v>
      </c>
      <c r="E545" s="623"/>
      <c r="F545" s="67" t="s">
        <v>157</v>
      </c>
      <c r="G545" s="69">
        <v>643.5</v>
      </c>
      <c r="H545" s="70">
        <v>0</v>
      </c>
      <c r="I545" s="69">
        <f>G545*H545</f>
        <v>0</v>
      </c>
      <c r="J545" s="69">
        <v>0</v>
      </c>
      <c r="K545" s="69">
        <v>4.3E-3</v>
      </c>
      <c r="L545" s="69">
        <f>G545*K545</f>
        <v>2.7670499999999998</v>
      </c>
      <c r="M545" s="71" t="s">
        <v>122</v>
      </c>
      <c r="Z545" s="55">
        <f>IF(AQ545="5",BJ545,0)</f>
        <v>0</v>
      </c>
      <c r="AB545" s="55">
        <f>IF(AQ545="1",BH545,0)</f>
        <v>0</v>
      </c>
      <c r="AC545" s="55">
        <f>IF(AQ545="1",BI545,0)</f>
        <v>0</v>
      </c>
      <c r="AD545" s="55">
        <f>IF(AQ545="7",BH545,0)</f>
        <v>0</v>
      </c>
      <c r="AE545" s="55">
        <f>IF(AQ545="7",BI545,0)</f>
        <v>0</v>
      </c>
      <c r="AF545" s="55">
        <f>IF(AQ545="2",BH545,0)</f>
        <v>0</v>
      </c>
      <c r="AG545" s="55">
        <f>IF(AQ545="2",BI545,0)</f>
        <v>0</v>
      </c>
      <c r="AH545" s="55">
        <f>IF(AQ545="0",BJ545,0)</f>
        <v>0</v>
      </c>
      <c r="AI545" s="33" t="s">
        <v>4</v>
      </c>
      <c r="AJ545" s="69">
        <f>IF(AN545=0,I545,0)</f>
        <v>0</v>
      </c>
      <c r="AK545" s="69">
        <f>IF(AN545=12,I545,0)</f>
        <v>0</v>
      </c>
      <c r="AL545" s="69">
        <f>IF(AN545=21,I545,0)</f>
        <v>0</v>
      </c>
      <c r="AN545" s="55">
        <v>21</v>
      </c>
      <c r="AO545" s="55">
        <f>H545*1</f>
        <v>0</v>
      </c>
      <c r="AP545" s="55">
        <f>H545*(1-1)</f>
        <v>0</v>
      </c>
      <c r="AQ545" s="72" t="s">
        <v>162</v>
      </c>
      <c r="AV545" s="55">
        <f>AW545+AX545</f>
        <v>0</v>
      </c>
      <c r="AW545" s="55">
        <f>G545*AO545</f>
        <v>0</v>
      </c>
      <c r="AX545" s="55">
        <f>G545*AP545</f>
        <v>0</v>
      </c>
      <c r="AY545" s="58" t="s">
        <v>614</v>
      </c>
      <c r="AZ545" s="58" t="s">
        <v>615</v>
      </c>
      <c r="BA545" s="33" t="s">
        <v>125</v>
      </c>
      <c r="BC545" s="55">
        <f>AW545+AX545</f>
        <v>0</v>
      </c>
      <c r="BD545" s="55">
        <f>H545/(100-BE545)*100</f>
        <v>0</v>
      </c>
      <c r="BE545" s="55">
        <v>0</v>
      </c>
      <c r="BF545" s="55">
        <f>L545</f>
        <v>2.7670499999999998</v>
      </c>
      <c r="BH545" s="69">
        <f>G545*AO545</f>
        <v>0</v>
      </c>
      <c r="BI545" s="69">
        <f>G545*AP545</f>
        <v>0</v>
      </c>
      <c r="BJ545" s="69">
        <f>G545*H545</f>
        <v>0</v>
      </c>
      <c r="BK545" s="69"/>
      <c r="BL545" s="55">
        <v>711</v>
      </c>
      <c r="BW545" s="55">
        <v>21</v>
      </c>
      <c r="BX545" s="68" t="s">
        <v>704</v>
      </c>
    </row>
    <row r="546" spans="1:76">
      <c r="A546" s="60"/>
      <c r="D546" s="61" t="s">
        <v>705</v>
      </c>
      <c r="E546" s="61" t="s">
        <v>4</v>
      </c>
      <c r="G546" s="62">
        <v>75</v>
      </c>
      <c r="M546" s="63"/>
    </row>
    <row r="547" spans="1:76">
      <c r="A547" s="60"/>
      <c r="D547" s="61" t="s">
        <v>590</v>
      </c>
      <c r="E547" s="61" t="s">
        <v>4</v>
      </c>
      <c r="G547" s="62">
        <v>510</v>
      </c>
      <c r="M547" s="63"/>
    </row>
    <row r="548" spans="1:76">
      <c r="A548" s="60"/>
      <c r="D548" s="61" t="s">
        <v>706</v>
      </c>
      <c r="E548" s="61" t="s">
        <v>4</v>
      </c>
      <c r="G548" s="62">
        <v>58.5</v>
      </c>
      <c r="M548" s="63"/>
    </row>
    <row r="549" spans="1:76" ht="76.5">
      <c r="A549" s="60"/>
      <c r="C549" s="64" t="s">
        <v>127</v>
      </c>
      <c r="D549" s="618" t="s">
        <v>707</v>
      </c>
      <c r="E549" s="619"/>
      <c r="F549" s="619"/>
      <c r="G549" s="619"/>
      <c r="H549" s="620"/>
      <c r="I549" s="619"/>
      <c r="J549" s="619"/>
      <c r="K549" s="619"/>
      <c r="L549" s="619"/>
      <c r="M549" s="621"/>
      <c r="BX549" s="73" t="s">
        <v>707</v>
      </c>
    </row>
    <row r="550" spans="1:76">
      <c r="A550" s="66" t="s">
        <v>478</v>
      </c>
      <c r="B550" s="67" t="s">
        <v>4</v>
      </c>
      <c r="C550" s="67" t="s">
        <v>708</v>
      </c>
      <c r="D550" s="622" t="s">
        <v>709</v>
      </c>
      <c r="E550" s="623"/>
      <c r="F550" s="67" t="s">
        <v>157</v>
      </c>
      <c r="G550" s="69">
        <v>643.5</v>
      </c>
      <c r="H550" s="70">
        <v>0</v>
      </c>
      <c r="I550" s="69">
        <f>G550*H550</f>
        <v>0</v>
      </c>
      <c r="J550" s="69">
        <v>0</v>
      </c>
      <c r="K550" s="69">
        <v>4.4999999999999997E-3</v>
      </c>
      <c r="L550" s="69">
        <f>G550*K550</f>
        <v>2.8957499999999996</v>
      </c>
      <c r="M550" s="71" t="s">
        <v>122</v>
      </c>
      <c r="Z550" s="55">
        <f>IF(AQ550="5",BJ550,0)</f>
        <v>0</v>
      </c>
      <c r="AB550" s="55">
        <f>IF(AQ550="1",BH550,0)</f>
        <v>0</v>
      </c>
      <c r="AC550" s="55">
        <f>IF(AQ550="1",BI550,0)</f>
        <v>0</v>
      </c>
      <c r="AD550" s="55">
        <f>IF(AQ550="7",BH550,0)</f>
        <v>0</v>
      </c>
      <c r="AE550" s="55">
        <f>IF(AQ550="7",BI550,0)</f>
        <v>0</v>
      </c>
      <c r="AF550" s="55">
        <f>IF(AQ550="2",BH550,0)</f>
        <v>0</v>
      </c>
      <c r="AG550" s="55">
        <f>IF(AQ550="2",BI550,0)</f>
        <v>0</v>
      </c>
      <c r="AH550" s="55">
        <f>IF(AQ550="0",BJ550,0)</f>
        <v>0</v>
      </c>
      <c r="AI550" s="33" t="s">
        <v>4</v>
      </c>
      <c r="AJ550" s="69">
        <f>IF(AN550=0,I550,0)</f>
        <v>0</v>
      </c>
      <c r="AK550" s="69">
        <f>IF(AN550=12,I550,0)</f>
        <v>0</v>
      </c>
      <c r="AL550" s="69">
        <f>IF(AN550=21,I550,0)</f>
        <v>0</v>
      </c>
      <c r="AN550" s="55">
        <v>21</v>
      </c>
      <c r="AO550" s="55">
        <f>H550*1</f>
        <v>0</v>
      </c>
      <c r="AP550" s="55">
        <f>H550*(1-1)</f>
        <v>0</v>
      </c>
      <c r="AQ550" s="72" t="s">
        <v>162</v>
      </c>
      <c r="AV550" s="55">
        <f>AW550+AX550</f>
        <v>0</v>
      </c>
      <c r="AW550" s="55">
        <f>G550*AO550</f>
        <v>0</v>
      </c>
      <c r="AX550" s="55">
        <f>G550*AP550</f>
        <v>0</v>
      </c>
      <c r="AY550" s="58" t="s">
        <v>614</v>
      </c>
      <c r="AZ550" s="58" t="s">
        <v>615</v>
      </c>
      <c r="BA550" s="33" t="s">
        <v>125</v>
      </c>
      <c r="BC550" s="55">
        <f>AW550+AX550</f>
        <v>0</v>
      </c>
      <c r="BD550" s="55">
        <f>H550/(100-BE550)*100</f>
        <v>0</v>
      </c>
      <c r="BE550" s="55">
        <v>0</v>
      </c>
      <c r="BF550" s="55">
        <f>L550</f>
        <v>2.8957499999999996</v>
      </c>
      <c r="BH550" s="69">
        <f>G550*AO550</f>
        <v>0</v>
      </c>
      <c r="BI550" s="69">
        <f>G550*AP550</f>
        <v>0</v>
      </c>
      <c r="BJ550" s="69">
        <f>G550*H550</f>
        <v>0</v>
      </c>
      <c r="BK550" s="69"/>
      <c r="BL550" s="55">
        <v>711</v>
      </c>
      <c r="BW550" s="55">
        <v>21</v>
      </c>
      <c r="BX550" s="68" t="s">
        <v>709</v>
      </c>
    </row>
    <row r="551" spans="1:76">
      <c r="A551" s="60"/>
      <c r="D551" s="61" t="s">
        <v>705</v>
      </c>
      <c r="E551" s="61" t="s">
        <v>4</v>
      </c>
      <c r="G551" s="62">
        <v>75</v>
      </c>
      <c r="M551" s="63"/>
    </row>
    <row r="552" spans="1:76">
      <c r="A552" s="60"/>
      <c r="D552" s="61" t="s">
        <v>590</v>
      </c>
      <c r="E552" s="61" t="s">
        <v>4</v>
      </c>
      <c r="G552" s="62">
        <v>510</v>
      </c>
      <c r="M552" s="63"/>
    </row>
    <row r="553" spans="1:76">
      <c r="A553" s="60"/>
      <c r="D553" s="61" t="s">
        <v>706</v>
      </c>
      <c r="E553" s="61" t="s">
        <v>4</v>
      </c>
      <c r="G553" s="62">
        <v>58.5</v>
      </c>
      <c r="M553" s="63"/>
    </row>
    <row r="554" spans="1:76" ht="89.25">
      <c r="A554" s="60"/>
      <c r="C554" s="64" t="s">
        <v>127</v>
      </c>
      <c r="D554" s="618" t="s">
        <v>710</v>
      </c>
      <c r="E554" s="619"/>
      <c r="F554" s="619"/>
      <c r="G554" s="619"/>
      <c r="H554" s="620"/>
      <c r="I554" s="619"/>
      <c r="J554" s="619"/>
      <c r="K554" s="619"/>
      <c r="L554" s="619"/>
      <c r="M554" s="621"/>
      <c r="BX554" s="73" t="s">
        <v>710</v>
      </c>
    </row>
    <row r="555" spans="1:76">
      <c r="A555" s="1" t="s">
        <v>711</v>
      </c>
      <c r="B555" s="2" t="s">
        <v>4</v>
      </c>
      <c r="C555" s="2" t="s">
        <v>712</v>
      </c>
      <c r="D555" s="549" t="s">
        <v>713</v>
      </c>
      <c r="E555" s="546"/>
      <c r="F555" s="2" t="s">
        <v>157</v>
      </c>
      <c r="G555" s="55">
        <v>20</v>
      </c>
      <c r="H555" s="56">
        <v>0</v>
      </c>
      <c r="I555" s="55">
        <f>G555*H555</f>
        <v>0</v>
      </c>
      <c r="J555" s="55">
        <v>0</v>
      </c>
      <c r="K555" s="55">
        <v>1.58E-3</v>
      </c>
      <c r="L555" s="55">
        <f>G555*K555</f>
        <v>3.1600000000000003E-2</v>
      </c>
      <c r="M555" s="57" t="s">
        <v>122</v>
      </c>
      <c r="Z555" s="55">
        <f>IF(AQ555="5",BJ555,0)</f>
        <v>0</v>
      </c>
      <c r="AB555" s="55">
        <f>IF(AQ555="1",BH555,0)</f>
        <v>0</v>
      </c>
      <c r="AC555" s="55">
        <f>IF(AQ555="1",BI555,0)</f>
        <v>0</v>
      </c>
      <c r="AD555" s="55">
        <f>IF(AQ555="7",BH555,0)</f>
        <v>0</v>
      </c>
      <c r="AE555" s="55">
        <f>IF(AQ555="7",BI555,0)</f>
        <v>0</v>
      </c>
      <c r="AF555" s="55">
        <f>IF(AQ555="2",BH555,0)</f>
        <v>0</v>
      </c>
      <c r="AG555" s="55">
        <f>IF(AQ555="2",BI555,0)</f>
        <v>0</v>
      </c>
      <c r="AH555" s="55">
        <f>IF(AQ555="0",BJ555,0)</f>
        <v>0</v>
      </c>
      <c r="AI555" s="33" t="s">
        <v>4</v>
      </c>
      <c r="AJ555" s="55">
        <f>IF(AN555=0,I555,0)</f>
        <v>0</v>
      </c>
      <c r="AK555" s="55">
        <f>IF(AN555=12,I555,0)</f>
        <v>0</v>
      </c>
      <c r="AL555" s="55">
        <f>IF(AN555=21,I555,0)</f>
        <v>0</v>
      </c>
      <c r="AN555" s="55">
        <v>21</v>
      </c>
      <c r="AO555" s="55">
        <f>H555*0.641488673</f>
        <v>0</v>
      </c>
      <c r="AP555" s="55">
        <f>H555*(1-0.641488673)</f>
        <v>0</v>
      </c>
      <c r="AQ555" s="58" t="s">
        <v>162</v>
      </c>
      <c r="AV555" s="55">
        <f>AW555+AX555</f>
        <v>0</v>
      </c>
      <c r="AW555" s="55">
        <f>G555*AO555</f>
        <v>0</v>
      </c>
      <c r="AX555" s="55">
        <f>G555*AP555</f>
        <v>0</v>
      </c>
      <c r="AY555" s="58" t="s">
        <v>614</v>
      </c>
      <c r="AZ555" s="58" t="s">
        <v>615</v>
      </c>
      <c r="BA555" s="33" t="s">
        <v>125</v>
      </c>
      <c r="BB555" s="59">
        <v>100034</v>
      </c>
      <c r="BC555" s="55">
        <f>AW555+AX555</f>
        <v>0</v>
      </c>
      <c r="BD555" s="55">
        <f>H555/(100-BE555)*100</f>
        <v>0</v>
      </c>
      <c r="BE555" s="55">
        <v>0</v>
      </c>
      <c r="BF555" s="55">
        <f>L555</f>
        <v>3.1600000000000003E-2</v>
      </c>
      <c r="BH555" s="55">
        <f>G555*AO555</f>
        <v>0</v>
      </c>
      <c r="BI555" s="55">
        <f>G555*AP555</f>
        <v>0</v>
      </c>
      <c r="BJ555" s="55">
        <f>G555*H555</f>
        <v>0</v>
      </c>
      <c r="BK555" s="55"/>
      <c r="BL555" s="55">
        <v>711</v>
      </c>
      <c r="BW555" s="55">
        <v>21</v>
      </c>
      <c r="BX555" s="3" t="s">
        <v>713</v>
      </c>
    </row>
    <row r="556" spans="1:76" ht="13.5" customHeight="1">
      <c r="A556" s="60"/>
      <c r="D556" s="634" t="s">
        <v>714</v>
      </c>
      <c r="E556" s="635"/>
      <c r="F556" s="635"/>
      <c r="G556" s="635"/>
      <c r="H556" s="636"/>
      <c r="I556" s="635"/>
      <c r="J556" s="635"/>
      <c r="K556" s="635"/>
      <c r="L556" s="635"/>
      <c r="M556" s="637"/>
    </row>
    <row r="557" spans="1:76">
      <c r="A557" s="60"/>
      <c r="D557" s="61" t="s">
        <v>332</v>
      </c>
      <c r="E557" s="61" t="s">
        <v>4</v>
      </c>
      <c r="G557" s="62">
        <v>20</v>
      </c>
      <c r="M557" s="63"/>
    </row>
    <row r="558" spans="1:76">
      <c r="A558" s="60"/>
      <c r="C558" s="64" t="s">
        <v>127</v>
      </c>
      <c r="D558" s="618" t="s">
        <v>668</v>
      </c>
      <c r="E558" s="619"/>
      <c r="F558" s="619"/>
      <c r="G558" s="619"/>
      <c r="H558" s="620"/>
      <c r="I558" s="619"/>
      <c r="J558" s="619"/>
      <c r="K558" s="619"/>
      <c r="L558" s="619"/>
      <c r="M558" s="621"/>
      <c r="BX558" s="65" t="s">
        <v>668</v>
      </c>
    </row>
    <row r="559" spans="1:76">
      <c r="A559" s="1" t="s">
        <v>715</v>
      </c>
      <c r="B559" s="2" t="s">
        <v>4</v>
      </c>
      <c r="C559" s="2" t="s">
        <v>716</v>
      </c>
      <c r="D559" s="549" t="s">
        <v>717</v>
      </c>
      <c r="E559" s="546"/>
      <c r="F559" s="2" t="s">
        <v>157</v>
      </c>
      <c r="G559" s="55">
        <v>20</v>
      </c>
      <c r="H559" s="56">
        <v>0</v>
      </c>
      <c r="I559" s="55">
        <f>G559*H559</f>
        <v>0</v>
      </c>
      <c r="J559" s="55">
        <v>0</v>
      </c>
      <c r="K559" s="55">
        <v>3.7799999999999999E-3</v>
      </c>
      <c r="L559" s="55">
        <f>G559*K559</f>
        <v>7.5600000000000001E-2</v>
      </c>
      <c r="M559" s="57" t="s">
        <v>122</v>
      </c>
      <c r="Z559" s="55">
        <f>IF(AQ559="5",BJ559,0)</f>
        <v>0</v>
      </c>
      <c r="AB559" s="55">
        <f>IF(AQ559="1",BH559,0)</f>
        <v>0</v>
      </c>
      <c r="AC559" s="55">
        <f>IF(AQ559="1",BI559,0)</f>
        <v>0</v>
      </c>
      <c r="AD559" s="55">
        <f>IF(AQ559="7",BH559,0)</f>
        <v>0</v>
      </c>
      <c r="AE559" s="55">
        <f>IF(AQ559="7",BI559,0)</f>
        <v>0</v>
      </c>
      <c r="AF559" s="55">
        <f>IF(AQ559="2",BH559,0)</f>
        <v>0</v>
      </c>
      <c r="AG559" s="55">
        <f>IF(AQ559="2",BI559,0)</f>
        <v>0</v>
      </c>
      <c r="AH559" s="55">
        <f>IF(AQ559="0",BJ559,0)</f>
        <v>0</v>
      </c>
      <c r="AI559" s="33" t="s">
        <v>4</v>
      </c>
      <c r="AJ559" s="55">
        <f>IF(AN559=0,I559,0)</f>
        <v>0</v>
      </c>
      <c r="AK559" s="55">
        <f>IF(AN559=12,I559,0)</f>
        <v>0</v>
      </c>
      <c r="AL559" s="55">
        <f>IF(AN559=21,I559,0)</f>
        <v>0</v>
      </c>
      <c r="AN559" s="55">
        <v>21</v>
      </c>
      <c r="AO559" s="55">
        <f>H559*0.729828851</f>
        <v>0</v>
      </c>
      <c r="AP559" s="55">
        <f>H559*(1-0.729828851)</f>
        <v>0</v>
      </c>
      <c r="AQ559" s="58" t="s">
        <v>162</v>
      </c>
      <c r="AV559" s="55">
        <f>AW559+AX559</f>
        <v>0</v>
      </c>
      <c r="AW559" s="55">
        <f>G559*AO559</f>
        <v>0</v>
      </c>
      <c r="AX559" s="55">
        <f>G559*AP559</f>
        <v>0</v>
      </c>
      <c r="AY559" s="58" t="s">
        <v>614</v>
      </c>
      <c r="AZ559" s="58" t="s">
        <v>615</v>
      </c>
      <c r="BA559" s="33" t="s">
        <v>125</v>
      </c>
      <c r="BB559" s="59">
        <v>100034</v>
      </c>
      <c r="BC559" s="55">
        <f>AW559+AX559</f>
        <v>0</v>
      </c>
      <c r="BD559" s="55">
        <f>H559/(100-BE559)*100</f>
        <v>0</v>
      </c>
      <c r="BE559" s="55">
        <v>0</v>
      </c>
      <c r="BF559" s="55">
        <f>L559</f>
        <v>7.5600000000000001E-2</v>
      </c>
      <c r="BH559" s="55">
        <f>G559*AO559</f>
        <v>0</v>
      </c>
      <c r="BI559" s="55">
        <f>G559*AP559</f>
        <v>0</v>
      </c>
      <c r="BJ559" s="55">
        <f>G559*H559</f>
        <v>0</v>
      </c>
      <c r="BK559" s="55"/>
      <c r="BL559" s="55">
        <v>711</v>
      </c>
      <c r="BW559" s="55">
        <v>21</v>
      </c>
      <c r="BX559" s="3" t="s">
        <v>717</v>
      </c>
    </row>
    <row r="560" spans="1:76" ht="13.5" customHeight="1">
      <c r="A560" s="60"/>
      <c r="D560" s="634" t="s">
        <v>718</v>
      </c>
      <c r="E560" s="635"/>
      <c r="F560" s="635"/>
      <c r="G560" s="635"/>
      <c r="H560" s="636"/>
      <c r="I560" s="635"/>
      <c r="J560" s="635"/>
      <c r="K560" s="635"/>
      <c r="L560" s="635"/>
      <c r="M560" s="637"/>
    </row>
    <row r="561" spans="1:76">
      <c r="A561" s="60"/>
      <c r="D561" s="61" t="s">
        <v>332</v>
      </c>
      <c r="E561" s="61" t="s">
        <v>4</v>
      </c>
      <c r="G561" s="62">
        <v>20</v>
      </c>
      <c r="M561" s="63"/>
    </row>
    <row r="562" spans="1:76" ht="25.5">
      <c r="A562" s="60"/>
      <c r="C562" s="64" t="s">
        <v>127</v>
      </c>
      <c r="D562" s="618" t="s">
        <v>719</v>
      </c>
      <c r="E562" s="619"/>
      <c r="F562" s="619"/>
      <c r="G562" s="619"/>
      <c r="H562" s="620"/>
      <c r="I562" s="619"/>
      <c r="J562" s="619"/>
      <c r="K562" s="619"/>
      <c r="L562" s="619"/>
      <c r="M562" s="621"/>
      <c r="BX562" s="65" t="s">
        <v>719</v>
      </c>
    </row>
    <row r="563" spans="1:76">
      <c r="A563" s="1" t="s">
        <v>720</v>
      </c>
      <c r="B563" s="2" t="s">
        <v>4</v>
      </c>
      <c r="C563" s="2" t="s">
        <v>721</v>
      </c>
      <c r="D563" s="549" t="s">
        <v>722</v>
      </c>
      <c r="E563" s="546"/>
      <c r="F563" s="2" t="s">
        <v>132</v>
      </c>
      <c r="G563" s="55">
        <v>8.0475399999999997</v>
      </c>
      <c r="H563" s="56">
        <v>0</v>
      </c>
      <c r="I563" s="55">
        <f>G563*H563</f>
        <v>0</v>
      </c>
      <c r="J563" s="55">
        <v>0</v>
      </c>
      <c r="K563" s="55">
        <v>0</v>
      </c>
      <c r="L563" s="55">
        <f>G563*K563</f>
        <v>0</v>
      </c>
      <c r="M563" s="57" t="s">
        <v>122</v>
      </c>
      <c r="Z563" s="55">
        <f>IF(AQ563="5",BJ563,0)</f>
        <v>0</v>
      </c>
      <c r="AB563" s="55">
        <f>IF(AQ563="1",BH563,0)</f>
        <v>0</v>
      </c>
      <c r="AC563" s="55">
        <f>IF(AQ563="1",BI563,0)</f>
        <v>0</v>
      </c>
      <c r="AD563" s="55">
        <f>IF(AQ563="7",BH563,0)</f>
        <v>0</v>
      </c>
      <c r="AE563" s="55">
        <f>IF(AQ563="7",BI563,0)</f>
        <v>0</v>
      </c>
      <c r="AF563" s="55">
        <f>IF(AQ563="2",BH563,0)</f>
        <v>0</v>
      </c>
      <c r="AG563" s="55">
        <f>IF(AQ563="2",BI563,0)</f>
        <v>0</v>
      </c>
      <c r="AH563" s="55">
        <f>IF(AQ563="0",BJ563,0)</f>
        <v>0</v>
      </c>
      <c r="AI563" s="33" t="s">
        <v>4</v>
      </c>
      <c r="AJ563" s="55">
        <f>IF(AN563=0,I563,0)</f>
        <v>0</v>
      </c>
      <c r="AK563" s="55">
        <f>IF(AN563=12,I563,0)</f>
        <v>0</v>
      </c>
      <c r="AL563" s="55">
        <f>IF(AN563=21,I563,0)</f>
        <v>0</v>
      </c>
      <c r="AN563" s="55">
        <v>21</v>
      </c>
      <c r="AO563" s="55">
        <f>H563*0</f>
        <v>0</v>
      </c>
      <c r="AP563" s="55">
        <f>H563*(1-0)</f>
        <v>0</v>
      </c>
      <c r="AQ563" s="58" t="s">
        <v>139</v>
      </c>
      <c r="AV563" s="55">
        <f>AW563+AX563</f>
        <v>0</v>
      </c>
      <c r="AW563" s="55">
        <f>G563*AO563</f>
        <v>0</v>
      </c>
      <c r="AX563" s="55">
        <f>G563*AP563</f>
        <v>0</v>
      </c>
      <c r="AY563" s="58" t="s">
        <v>614</v>
      </c>
      <c r="AZ563" s="58" t="s">
        <v>615</v>
      </c>
      <c r="BA563" s="33" t="s">
        <v>125</v>
      </c>
      <c r="BB563" s="59">
        <v>100034</v>
      </c>
      <c r="BC563" s="55">
        <f>AW563+AX563</f>
        <v>0</v>
      </c>
      <c r="BD563" s="55">
        <f>H563/(100-BE563)*100</f>
        <v>0</v>
      </c>
      <c r="BE563" s="55">
        <v>0</v>
      </c>
      <c r="BF563" s="55">
        <f>L563</f>
        <v>0</v>
      </c>
      <c r="BH563" s="55">
        <f>G563*AO563</f>
        <v>0</v>
      </c>
      <c r="BI563" s="55">
        <f>G563*AP563</f>
        <v>0</v>
      </c>
      <c r="BJ563" s="55">
        <f>G563*H563</f>
        <v>0</v>
      </c>
      <c r="BK563" s="55"/>
      <c r="BL563" s="55">
        <v>711</v>
      </c>
      <c r="BW563" s="55">
        <v>21</v>
      </c>
      <c r="BX563" s="3" t="s">
        <v>722</v>
      </c>
    </row>
    <row r="564" spans="1:76">
      <c r="A564" s="50" t="s">
        <v>4</v>
      </c>
      <c r="B564" s="51" t="s">
        <v>4</v>
      </c>
      <c r="C564" s="51" t="s">
        <v>723</v>
      </c>
      <c r="D564" s="625" t="s">
        <v>724</v>
      </c>
      <c r="E564" s="626"/>
      <c r="F564" s="52" t="s">
        <v>79</v>
      </c>
      <c r="G564" s="52" t="s">
        <v>79</v>
      </c>
      <c r="H564" s="53" t="s">
        <v>79</v>
      </c>
      <c r="I564" s="26">
        <f>SUM(I565:I565)</f>
        <v>0</v>
      </c>
      <c r="J564" s="33" t="s">
        <v>4</v>
      </c>
      <c r="K564" s="33" t="s">
        <v>4</v>
      </c>
      <c r="L564" s="26">
        <f>SUM(L565:L565)</f>
        <v>0.1176</v>
      </c>
      <c r="M564" s="54" t="s">
        <v>4</v>
      </c>
      <c r="AI564" s="33" t="s">
        <v>4</v>
      </c>
      <c r="AS564" s="26">
        <f>SUM(AJ565:AJ565)</f>
        <v>0</v>
      </c>
      <c r="AT564" s="26">
        <f>SUM(AK565:AK565)</f>
        <v>0</v>
      </c>
      <c r="AU564" s="26">
        <f>SUM(AL565:AL565)</f>
        <v>0</v>
      </c>
    </row>
    <row r="565" spans="1:76" ht="25.5">
      <c r="A565" s="1" t="s">
        <v>725</v>
      </c>
      <c r="B565" s="2" t="s">
        <v>4</v>
      </c>
      <c r="C565" s="2" t="s">
        <v>726</v>
      </c>
      <c r="D565" s="549" t="s">
        <v>727</v>
      </c>
      <c r="E565" s="546"/>
      <c r="F565" s="2" t="s">
        <v>145</v>
      </c>
      <c r="G565" s="55">
        <v>40</v>
      </c>
      <c r="H565" s="56">
        <v>0</v>
      </c>
      <c r="I565" s="55">
        <f>G565*H565</f>
        <v>0</v>
      </c>
      <c r="J565" s="55">
        <v>0</v>
      </c>
      <c r="K565" s="55">
        <v>2.9399999999999999E-3</v>
      </c>
      <c r="L565" s="55">
        <f>G565*K565</f>
        <v>0.1176</v>
      </c>
      <c r="M565" s="57" t="s">
        <v>122</v>
      </c>
      <c r="Z565" s="55">
        <f>IF(AQ565="5",BJ565,0)</f>
        <v>0</v>
      </c>
      <c r="AB565" s="55">
        <f>IF(AQ565="1",BH565,0)</f>
        <v>0</v>
      </c>
      <c r="AC565" s="55">
        <f>IF(AQ565="1",BI565,0)</f>
        <v>0</v>
      </c>
      <c r="AD565" s="55">
        <f>IF(AQ565="7",BH565,0)</f>
        <v>0</v>
      </c>
      <c r="AE565" s="55">
        <f>IF(AQ565="7",BI565,0)</f>
        <v>0</v>
      </c>
      <c r="AF565" s="55">
        <f>IF(AQ565="2",BH565,0)</f>
        <v>0</v>
      </c>
      <c r="AG565" s="55">
        <f>IF(AQ565="2",BI565,0)</f>
        <v>0</v>
      </c>
      <c r="AH565" s="55">
        <f>IF(AQ565="0",BJ565,0)</f>
        <v>0</v>
      </c>
      <c r="AI565" s="33" t="s">
        <v>4</v>
      </c>
      <c r="AJ565" s="55">
        <f>IF(AN565=0,I565,0)</f>
        <v>0</v>
      </c>
      <c r="AK565" s="55">
        <f>IF(AN565=12,I565,0)</f>
        <v>0</v>
      </c>
      <c r="AL565" s="55">
        <f>IF(AN565=21,I565,0)</f>
        <v>0</v>
      </c>
      <c r="AN565" s="55">
        <v>21</v>
      </c>
      <c r="AO565" s="55">
        <f>H565*0.317762022</f>
        <v>0</v>
      </c>
      <c r="AP565" s="55">
        <f>H565*(1-0.317762022)</f>
        <v>0</v>
      </c>
      <c r="AQ565" s="58" t="s">
        <v>162</v>
      </c>
      <c r="AV565" s="55">
        <f>AW565+AX565</f>
        <v>0</v>
      </c>
      <c r="AW565" s="55">
        <f>G565*AO565</f>
        <v>0</v>
      </c>
      <c r="AX565" s="55">
        <f>G565*AP565</f>
        <v>0</v>
      </c>
      <c r="AY565" s="58" t="s">
        <v>728</v>
      </c>
      <c r="AZ565" s="58" t="s">
        <v>615</v>
      </c>
      <c r="BA565" s="33" t="s">
        <v>125</v>
      </c>
      <c r="BB565" s="59">
        <v>100058</v>
      </c>
      <c r="BC565" s="55">
        <f>AW565+AX565</f>
        <v>0</v>
      </c>
      <c r="BD565" s="55">
        <f>H565/(100-BE565)*100</f>
        <v>0</v>
      </c>
      <c r="BE565" s="55">
        <v>0</v>
      </c>
      <c r="BF565" s="55">
        <f>L565</f>
        <v>0.1176</v>
      </c>
      <c r="BH565" s="55">
        <f>G565*AO565</f>
        <v>0</v>
      </c>
      <c r="BI565" s="55">
        <f>G565*AP565</f>
        <v>0</v>
      </c>
      <c r="BJ565" s="55">
        <f>G565*H565</f>
        <v>0</v>
      </c>
      <c r="BK565" s="55"/>
      <c r="BL565" s="55">
        <v>713</v>
      </c>
      <c r="BW565" s="55">
        <v>21</v>
      </c>
      <c r="BX565" s="3" t="s">
        <v>727</v>
      </c>
    </row>
    <row r="566" spans="1:76">
      <c r="A566" s="60"/>
      <c r="D566" s="61" t="s">
        <v>581</v>
      </c>
      <c r="E566" s="61" t="s">
        <v>4</v>
      </c>
      <c r="G566" s="62">
        <v>40</v>
      </c>
      <c r="M566" s="63"/>
    </row>
    <row r="567" spans="1:76" ht="63.75">
      <c r="A567" s="60"/>
      <c r="C567" s="64" t="s">
        <v>127</v>
      </c>
      <c r="D567" s="618" t="s">
        <v>729</v>
      </c>
      <c r="E567" s="619"/>
      <c r="F567" s="619"/>
      <c r="G567" s="619"/>
      <c r="H567" s="620"/>
      <c r="I567" s="619"/>
      <c r="J567" s="619"/>
      <c r="K567" s="619"/>
      <c r="L567" s="619"/>
      <c r="M567" s="621"/>
      <c r="BX567" s="65" t="s">
        <v>729</v>
      </c>
    </row>
    <row r="568" spans="1:76">
      <c r="A568" s="50" t="s">
        <v>4</v>
      </c>
      <c r="B568" s="51" t="s">
        <v>4</v>
      </c>
      <c r="C568" s="51" t="s">
        <v>730</v>
      </c>
      <c r="D568" s="625" t="s">
        <v>731</v>
      </c>
      <c r="E568" s="626"/>
      <c r="F568" s="52" t="s">
        <v>79</v>
      </c>
      <c r="G568" s="52" t="s">
        <v>79</v>
      </c>
      <c r="H568" s="53" t="s">
        <v>79</v>
      </c>
      <c r="I568" s="26">
        <f>SUM(I569:I571)</f>
        <v>0</v>
      </c>
      <c r="J568" s="33" t="s">
        <v>4</v>
      </c>
      <c r="K568" s="33" t="s">
        <v>4</v>
      </c>
      <c r="L568" s="26">
        <f>SUM(L569:L571)</f>
        <v>0</v>
      </c>
      <c r="M568" s="54" t="s">
        <v>4</v>
      </c>
      <c r="AI568" s="33" t="s">
        <v>4</v>
      </c>
      <c r="AS568" s="26">
        <f>SUM(AJ569:AJ571)</f>
        <v>0</v>
      </c>
      <c r="AT568" s="26">
        <f>SUM(AK569:AK571)</f>
        <v>0</v>
      </c>
      <c r="AU568" s="26">
        <f>SUM(AL569:AL571)</f>
        <v>0</v>
      </c>
    </row>
    <row r="569" spans="1:76">
      <c r="A569" s="1" t="s">
        <v>732</v>
      </c>
      <c r="B569" s="2" t="s">
        <v>4</v>
      </c>
      <c r="C569" s="2" t="s">
        <v>733</v>
      </c>
      <c r="D569" s="549" t="s">
        <v>734</v>
      </c>
      <c r="E569" s="546"/>
      <c r="F569" s="2" t="s">
        <v>145</v>
      </c>
      <c r="G569" s="55">
        <v>4</v>
      </c>
      <c r="H569" s="56">
        <v>0</v>
      </c>
      <c r="I569" s="55">
        <f>G569*H569</f>
        <v>0</v>
      </c>
      <c r="J569" s="55">
        <v>0</v>
      </c>
      <c r="K569" s="55">
        <v>0</v>
      </c>
      <c r="L569" s="55">
        <f>G569*K569</f>
        <v>0</v>
      </c>
      <c r="M569" s="57" t="s">
        <v>122</v>
      </c>
      <c r="Z569" s="55">
        <f>IF(AQ569="5",BJ569,0)</f>
        <v>0</v>
      </c>
      <c r="AB569" s="55">
        <f>IF(AQ569="1",BH569,0)</f>
        <v>0</v>
      </c>
      <c r="AC569" s="55">
        <f>IF(AQ569="1",BI569,0)</f>
        <v>0</v>
      </c>
      <c r="AD569" s="55">
        <f>IF(AQ569="7",BH569,0)</f>
        <v>0</v>
      </c>
      <c r="AE569" s="55">
        <f>IF(AQ569="7",BI569,0)</f>
        <v>0</v>
      </c>
      <c r="AF569" s="55">
        <f>IF(AQ569="2",BH569,0)</f>
        <v>0</v>
      </c>
      <c r="AG569" s="55">
        <f>IF(AQ569="2",BI569,0)</f>
        <v>0</v>
      </c>
      <c r="AH569" s="55">
        <f>IF(AQ569="0",BJ569,0)</f>
        <v>0</v>
      </c>
      <c r="AI569" s="33" t="s">
        <v>4</v>
      </c>
      <c r="AJ569" s="55">
        <f>IF(AN569=0,I569,0)</f>
        <v>0</v>
      </c>
      <c r="AK569" s="55">
        <f>IF(AN569=12,I569,0)</f>
        <v>0</v>
      </c>
      <c r="AL569" s="55">
        <f>IF(AN569=21,I569,0)</f>
        <v>0</v>
      </c>
      <c r="AN569" s="55">
        <v>21</v>
      </c>
      <c r="AO569" s="55">
        <f>H569*0</f>
        <v>0</v>
      </c>
      <c r="AP569" s="55">
        <f>H569*(1-0)</f>
        <v>0</v>
      </c>
      <c r="AQ569" s="58" t="s">
        <v>162</v>
      </c>
      <c r="AV569" s="55">
        <f>AW569+AX569</f>
        <v>0</v>
      </c>
      <c r="AW569" s="55">
        <f>G569*AO569</f>
        <v>0</v>
      </c>
      <c r="AX569" s="55">
        <f>G569*AP569</f>
        <v>0</v>
      </c>
      <c r="AY569" s="58" t="s">
        <v>735</v>
      </c>
      <c r="AZ569" s="58" t="s">
        <v>736</v>
      </c>
      <c r="BA569" s="33" t="s">
        <v>125</v>
      </c>
      <c r="BB569" s="59">
        <v>100037</v>
      </c>
      <c r="BC569" s="55">
        <f>AW569+AX569</f>
        <v>0</v>
      </c>
      <c r="BD569" s="55">
        <f>H569/(100-BE569)*100</f>
        <v>0</v>
      </c>
      <c r="BE569" s="55">
        <v>0</v>
      </c>
      <c r="BF569" s="55">
        <f>L569</f>
        <v>0</v>
      </c>
      <c r="BH569" s="55">
        <f>G569*AO569</f>
        <v>0</v>
      </c>
      <c r="BI569" s="55">
        <f>G569*AP569</f>
        <v>0</v>
      </c>
      <c r="BJ569" s="55">
        <f>G569*H569</f>
        <v>0</v>
      </c>
      <c r="BK569" s="55"/>
      <c r="BL569" s="55">
        <v>728</v>
      </c>
      <c r="BW569" s="55">
        <v>21</v>
      </c>
      <c r="BX569" s="3" t="s">
        <v>734</v>
      </c>
    </row>
    <row r="570" spans="1:76">
      <c r="A570" s="60"/>
      <c r="D570" s="61" t="s">
        <v>142</v>
      </c>
      <c r="E570" s="61" t="s">
        <v>372</v>
      </c>
      <c r="G570" s="62">
        <v>4</v>
      </c>
      <c r="M570" s="63"/>
    </row>
    <row r="571" spans="1:76">
      <c r="A571" s="66" t="s">
        <v>273</v>
      </c>
      <c r="B571" s="67" t="s">
        <v>4</v>
      </c>
      <c r="C571" s="67" t="s">
        <v>737</v>
      </c>
      <c r="D571" s="622" t="s">
        <v>738</v>
      </c>
      <c r="E571" s="623"/>
      <c r="F571" s="67" t="s">
        <v>145</v>
      </c>
      <c r="G571" s="69">
        <v>4</v>
      </c>
      <c r="H571" s="70">
        <v>0</v>
      </c>
      <c r="I571" s="69">
        <f>G571*H571</f>
        <v>0</v>
      </c>
      <c r="J571" s="69">
        <v>0</v>
      </c>
      <c r="K571" s="69">
        <v>0</v>
      </c>
      <c r="L571" s="69">
        <f>G571*K571</f>
        <v>0</v>
      </c>
      <c r="M571" s="71" t="s">
        <v>122</v>
      </c>
      <c r="Z571" s="55">
        <f>IF(AQ571="5",BJ571,0)</f>
        <v>0</v>
      </c>
      <c r="AB571" s="55">
        <f>IF(AQ571="1",BH571,0)</f>
        <v>0</v>
      </c>
      <c r="AC571" s="55">
        <f>IF(AQ571="1",BI571,0)</f>
        <v>0</v>
      </c>
      <c r="AD571" s="55">
        <f>IF(AQ571="7",BH571,0)</f>
        <v>0</v>
      </c>
      <c r="AE571" s="55">
        <f>IF(AQ571="7",BI571,0)</f>
        <v>0</v>
      </c>
      <c r="AF571" s="55">
        <f>IF(AQ571="2",BH571,0)</f>
        <v>0</v>
      </c>
      <c r="AG571" s="55">
        <f>IF(AQ571="2",BI571,0)</f>
        <v>0</v>
      </c>
      <c r="AH571" s="55">
        <f>IF(AQ571="0",BJ571,0)</f>
        <v>0</v>
      </c>
      <c r="AI571" s="33" t="s">
        <v>4</v>
      </c>
      <c r="AJ571" s="69">
        <f>IF(AN571=0,I571,0)</f>
        <v>0</v>
      </c>
      <c r="AK571" s="69">
        <f>IF(AN571=12,I571,0)</f>
        <v>0</v>
      </c>
      <c r="AL571" s="69">
        <f>IF(AN571=21,I571,0)</f>
        <v>0</v>
      </c>
      <c r="AN571" s="55">
        <v>21</v>
      </c>
      <c r="AO571" s="55">
        <f>H571*1</f>
        <v>0</v>
      </c>
      <c r="AP571" s="55">
        <f>H571*(1-1)</f>
        <v>0</v>
      </c>
      <c r="AQ571" s="72" t="s">
        <v>162</v>
      </c>
      <c r="AV571" s="55">
        <f>AW571+AX571</f>
        <v>0</v>
      </c>
      <c r="AW571" s="55">
        <f>G571*AO571</f>
        <v>0</v>
      </c>
      <c r="AX571" s="55">
        <f>G571*AP571</f>
        <v>0</v>
      </c>
      <c r="AY571" s="58" t="s">
        <v>735</v>
      </c>
      <c r="AZ571" s="58" t="s">
        <v>736</v>
      </c>
      <c r="BA571" s="33" t="s">
        <v>125</v>
      </c>
      <c r="BC571" s="55">
        <f>AW571+AX571</f>
        <v>0</v>
      </c>
      <c r="BD571" s="55">
        <f>H571/(100-BE571)*100</f>
        <v>0</v>
      </c>
      <c r="BE571" s="55">
        <v>0</v>
      </c>
      <c r="BF571" s="55">
        <f>L571</f>
        <v>0</v>
      </c>
      <c r="BH571" s="69">
        <f>G571*AO571</f>
        <v>0</v>
      </c>
      <c r="BI571" s="69">
        <f>G571*AP571</f>
        <v>0</v>
      </c>
      <c r="BJ571" s="69">
        <f>G571*H571</f>
        <v>0</v>
      </c>
      <c r="BK571" s="69"/>
      <c r="BL571" s="55">
        <v>728</v>
      </c>
      <c r="BW571" s="55">
        <v>21</v>
      </c>
      <c r="BX571" s="68" t="s">
        <v>738</v>
      </c>
    </row>
    <row r="572" spans="1:76">
      <c r="A572" s="60"/>
      <c r="D572" s="61" t="s">
        <v>142</v>
      </c>
      <c r="E572" s="61" t="s">
        <v>4</v>
      </c>
      <c r="G572" s="62">
        <v>4</v>
      </c>
      <c r="M572" s="63"/>
    </row>
    <row r="573" spans="1:76">
      <c r="A573" s="50" t="s">
        <v>4</v>
      </c>
      <c r="B573" s="51" t="s">
        <v>4</v>
      </c>
      <c r="C573" s="51" t="s">
        <v>739</v>
      </c>
      <c r="D573" s="625" t="s">
        <v>740</v>
      </c>
      <c r="E573" s="626"/>
      <c r="F573" s="52" t="s">
        <v>79</v>
      </c>
      <c r="G573" s="52" t="s">
        <v>79</v>
      </c>
      <c r="H573" s="53" t="s">
        <v>79</v>
      </c>
      <c r="I573" s="26">
        <f>SUM(I574:I579)</f>
        <v>0</v>
      </c>
      <c r="J573" s="33" t="s">
        <v>4</v>
      </c>
      <c r="K573" s="33" t="s">
        <v>4</v>
      </c>
      <c r="L573" s="26">
        <f>SUM(L574:L579)</f>
        <v>0.35785799999999995</v>
      </c>
      <c r="M573" s="54" t="s">
        <v>4</v>
      </c>
      <c r="AI573" s="33" t="s">
        <v>4</v>
      </c>
      <c r="AS573" s="26">
        <f>SUM(AJ574:AJ579)</f>
        <v>0</v>
      </c>
      <c r="AT573" s="26">
        <f>SUM(AK574:AK579)</f>
        <v>0</v>
      </c>
      <c r="AU573" s="26">
        <f>SUM(AL574:AL579)</f>
        <v>0</v>
      </c>
    </row>
    <row r="574" spans="1:76">
      <c r="A574" s="1" t="s">
        <v>398</v>
      </c>
      <c r="B574" s="2" t="s">
        <v>4</v>
      </c>
      <c r="C574" s="2" t="s">
        <v>741</v>
      </c>
      <c r="D574" s="549" t="s">
        <v>742</v>
      </c>
      <c r="E574" s="546"/>
      <c r="F574" s="2" t="s">
        <v>743</v>
      </c>
      <c r="G574" s="55">
        <v>42.3</v>
      </c>
      <c r="H574" s="56">
        <v>0</v>
      </c>
      <c r="I574" s="55">
        <f>G574*H574</f>
        <v>0</v>
      </c>
      <c r="J574" s="55">
        <v>0</v>
      </c>
      <c r="K574" s="55">
        <v>1.6000000000000001E-4</v>
      </c>
      <c r="L574" s="55">
        <f>G574*K574</f>
        <v>6.7679999999999997E-3</v>
      </c>
      <c r="M574" s="57" t="s">
        <v>122</v>
      </c>
      <c r="Z574" s="55">
        <f>IF(AQ574="5",BJ574,0)</f>
        <v>0</v>
      </c>
      <c r="AB574" s="55">
        <f>IF(AQ574="1",BH574,0)</f>
        <v>0</v>
      </c>
      <c r="AC574" s="55">
        <f>IF(AQ574="1",BI574,0)</f>
        <v>0</v>
      </c>
      <c r="AD574" s="55">
        <f>IF(AQ574="7",BH574,0)</f>
        <v>0</v>
      </c>
      <c r="AE574" s="55">
        <f>IF(AQ574="7",BI574,0)</f>
        <v>0</v>
      </c>
      <c r="AF574" s="55">
        <f>IF(AQ574="2",BH574,0)</f>
        <v>0</v>
      </c>
      <c r="AG574" s="55">
        <f>IF(AQ574="2",BI574,0)</f>
        <v>0</v>
      </c>
      <c r="AH574" s="55">
        <f>IF(AQ574="0",BJ574,0)</f>
        <v>0</v>
      </c>
      <c r="AI574" s="33" t="s">
        <v>4</v>
      </c>
      <c r="AJ574" s="55">
        <f>IF(AN574=0,I574,0)</f>
        <v>0</v>
      </c>
      <c r="AK574" s="55">
        <f>IF(AN574=12,I574,0)</f>
        <v>0</v>
      </c>
      <c r="AL574" s="55">
        <f>IF(AN574=21,I574,0)</f>
        <v>0</v>
      </c>
      <c r="AN574" s="55">
        <v>21</v>
      </c>
      <c r="AO574" s="55">
        <f>H574*0.039415053</f>
        <v>0</v>
      </c>
      <c r="AP574" s="55">
        <f>H574*(1-0.039415053)</f>
        <v>0</v>
      </c>
      <c r="AQ574" s="58" t="s">
        <v>162</v>
      </c>
      <c r="AV574" s="55">
        <f>AW574+AX574</f>
        <v>0</v>
      </c>
      <c r="AW574" s="55">
        <f>G574*AO574</f>
        <v>0</v>
      </c>
      <c r="AX574" s="55">
        <f>G574*AP574</f>
        <v>0</v>
      </c>
      <c r="AY574" s="58" t="s">
        <v>744</v>
      </c>
      <c r="AZ574" s="58" t="s">
        <v>745</v>
      </c>
      <c r="BA574" s="33" t="s">
        <v>125</v>
      </c>
      <c r="BB574" s="59">
        <v>100042</v>
      </c>
      <c r="BC574" s="55">
        <f>AW574+AX574</f>
        <v>0</v>
      </c>
      <c r="BD574" s="55">
        <f>H574/(100-BE574)*100</f>
        <v>0</v>
      </c>
      <c r="BE574" s="55">
        <v>0</v>
      </c>
      <c r="BF574" s="55">
        <f>L574</f>
        <v>6.7679999999999997E-3</v>
      </c>
      <c r="BH574" s="55">
        <f>G574*AO574</f>
        <v>0</v>
      </c>
      <c r="BI574" s="55">
        <f>G574*AP574</f>
        <v>0</v>
      </c>
      <c r="BJ574" s="55">
        <f>G574*H574</f>
        <v>0</v>
      </c>
      <c r="BK574" s="55"/>
      <c r="BL574" s="55">
        <v>762</v>
      </c>
      <c r="BW574" s="55">
        <v>21</v>
      </c>
      <c r="BX574" s="3" t="s">
        <v>742</v>
      </c>
    </row>
    <row r="575" spans="1:76">
      <c r="A575" s="60"/>
      <c r="D575" s="61" t="s">
        <v>746</v>
      </c>
      <c r="E575" s="61" t="s">
        <v>4</v>
      </c>
      <c r="G575" s="62">
        <v>42.3</v>
      </c>
      <c r="M575" s="63"/>
    </row>
    <row r="576" spans="1:76">
      <c r="A576" s="66" t="s">
        <v>482</v>
      </c>
      <c r="B576" s="67" t="s">
        <v>4</v>
      </c>
      <c r="C576" s="67" t="s">
        <v>747</v>
      </c>
      <c r="D576" s="622" t="s">
        <v>748</v>
      </c>
      <c r="E576" s="623"/>
      <c r="F576" s="67" t="s">
        <v>743</v>
      </c>
      <c r="G576" s="69">
        <v>42.3</v>
      </c>
      <c r="H576" s="70">
        <v>0</v>
      </c>
      <c r="I576" s="69">
        <f>G576*H576</f>
        <v>0</v>
      </c>
      <c r="J576" s="69">
        <v>0</v>
      </c>
      <c r="K576" s="69">
        <v>8.3000000000000001E-3</v>
      </c>
      <c r="L576" s="69">
        <f>G576*K576</f>
        <v>0.35108999999999996</v>
      </c>
      <c r="M576" s="71" t="s">
        <v>122</v>
      </c>
      <c r="Z576" s="55">
        <f>IF(AQ576="5",BJ576,0)</f>
        <v>0</v>
      </c>
      <c r="AB576" s="55">
        <f>IF(AQ576="1",BH576,0)</f>
        <v>0</v>
      </c>
      <c r="AC576" s="55">
        <f>IF(AQ576="1",BI576,0)</f>
        <v>0</v>
      </c>
      <c r="AD576" s="55">
        <f>IF(AQ576="7",BH576,0)</f>
        <v>0</v>
      </c>
      <c r="AE576" s="55">
        <f>IF(AQ576="7",BI576,0)</f>
        <v>0</v>
      </c>
      <c r="AF576" s="55">
        <f>IF(AQ576="2",BH576,0)</f>
        <v>0</v>
      </c>
      <c r="AG576" s="55">
        <f>IF(AQ576="2",BI576,0)</f>
        <v>0</v>
      </c>
      <c r="AH576" s="55">
        <f>IF(AQ576="0",BJ576,0)</f>
        <v>0</v>
      </c>
      <c r="AI576" s="33" t="s">
        <v>4</v>
      </c>
      <c r="AJ576" s="69">
        <f>IF(AN576=0,I576,0)</f>
        <v>0</v>
      </c>
      <c r="AK576" s="69">
        <f>IF(AN576=12,I576,0)</f>
        <v>0</v>
      </c>
      <c r="AL576" s="69">
        <f>IF(AN576=21,I576,0)</f>
        <v>0</v>
      </c>
      <c r="AN576" s="55">
        <v>21</v>
      </c>
      <c r="AO576" s="55">
        <f>H576*1</f>
        <v>0</v>
      </c>
      <c r="AP576" s="55">
        <f>H576*(1-1)</f>
        <v>0</v>
      </c>
      <c r="AQ576" s="72" t="s">
        <v>162</v>
      </c>
      <c r="AV576" s="55">
        <f>AW576+AX576</f>
        <v>0</v>
      </c>
      <c r="AW576" s="55">
        <f>G576*AO576</f>
        <v>0</v>
      </c>
      <c r="AX576" s="55">
        <f>G576*AP576</f>
        <v>0</v>
      </c>
      <c r="AY576" s="58" t="s">
        <v>744</v>
      </c>
      <c r="AZ576" s="58" t="s">
        <v>745</v>
      </c>
      <c r="BA576" s="33" t="s">
        <v>125</v>
      </c>
      <c r="BC576" s="55">
        <f>AW576+AX576</f>
        <v>0</v>
      </c>
      <c r="BD576" s="55">
        <f>H576/(100-BE576)*100</f>
        <v>0</v>
      </c>
      <c r="BE576" s="55">
        <v>0</v>
      </c>
      <c r="BF576" s="55">
        <f>L576</f>
        <v>0.35108999999999996</v>
      </c>
      <c r="BH576" s="69">
        <f>G576*AO576</f>
        <v>0</v>
      </c>
      <c r="BI576" s="69">
        <f>G576*AP576</f>
        <v>0</v>
      </c>
      <c r="BJ576" s="69">
        <f>G576*H576</f>
        <v>0</v>
      </c>
      <c r="BK576" s="69"/>
      <c r="BL576" s="55">
        <v>762</v>
      </c>
      <c r="BW576" s="55">
        <v>21</v>
      </c>
      <c r="BX576" s="68" t="s">
        <v>748</v>
      </c>
    </row>
    <row r="577" spans="1:76">
      <c r="A577" s="60"/>
      <c r="D577" s="61" t="s">
        <v>746</v>
      </c>
      <c r="E577" s="61" t="s">
        <v>4</v>
      </c>
      <c r="G577" s="62">
        <v>42.3</v>
      </c>
      <c r="M577" s="63"/>
    </row>
    <row r="578" spans="1:76">
      <c r="A578" s="60"/>
      <c r="D578" s="61" t="s">
        <v>749</v>
      </c>
      <c r="E578" s="61" t="s">
        <v>4</v>
      </c>
      <c r="G578" s="62">
        <v>0</v>
      </c>
      <c r="M578" s="63"/>
    </row>
    <row r="579" spans="1:76">
      <c r="A579" s="1" t="s">
        <v>493</v>
      </c>
      <c r="B579" s="2" t="s">
        <v>4</v>
      </c>
      <c r="C579" s="2" t="s">
        <v>750</v>
      </c>
      <c r="D579" s="549" t="s">
        <v>751</v>
      </c>
      <c r="E579" s="546"/>
      <c r="F579" s="2" t="s">
        <v>132</v>
      </c>
      <c r="G579" s="55">
        <v>0.35786000000000001</v>
      </c>
      <c r="H579" s="56">
        <v>0</v>
      </c>
      <c r="I579" s="55">
        <f>G579*H579</f>
        <v>0</v>
      </c>
      <c r="J579" s="55">
        <v>0</v>
      </c>
      <c r="K579" s="55">
        <v>0</v>
      </c>
      <c r="L579" s="55">
        <f>G579*K579</f>
        <v>0</v>
      </c>
      <c r="M579" s="57" t="s">
        <v>122</v>
      </c>
      <c r="Z579" s="55">
        <f>IF(AQ579="5",BJ579,0)</f>
        <v>0</v>
      </c>
      <c r="AB579" s="55">
        <f>IF(AQ579="1",BH579,0)</f>
        <v>0</v>
      </c>
      <c r="AC579" s="55">
        <f>IF(AQ579="1",BI579,0)</f>
        <v>0</v>
      </c>
      <c r="AD579" s="55">
        <f>IF(AQ579="7",BH579,0)</f>
        <v>0</v>
      </c>
      <c r="AE579" s="55">
        <f>IF(AQ579="7",BI579,0)</f>
        <v>0</v>
      </c>
      <c r="AF579" s="55">
        <f>IF(AQ579="2",BH579,0)</f>
        <v>0</v>
      </c>
      <c r="AG579" s="55">
        <f>IF(AQ579="2",BI579,0)</f>
        <v>0</v>
      </c>
      <c r="AH579" s="55">
        <f>IF(AQ579="0",BJ579,0)</f>
        <v>0</v>
      </c>
      <c r="AI579" s="33" t="s">
        <v>4</v>
      </c>
      <c r="AJ579" s="55">
        <f>IF(AN579=0,I579,0)</f>
        <v>0</v>
      </c>
      <c r="AK579" s="55">
        <f>IF(AN579=12,I579,0)</f>
        <v>0</v>
      </c>
      <c r="AL579" s="55">
        <f>IF(AN579=21,I579,0)</f>
        <v>0</v>
      </c>
      <c r="AN579" s="55">
        <v>21</v>
      </c>
      <c r="AO579" s="55">
        <f>H579*0</f>
        <v>0</v>
      </c>
      <c r="AP579" s="55">
        <f>H579*(1-0)</f>
        <v>0</v>
      </c>
      <c r="AQ579" s="58" t="s">
        <v>139</v>
      </c>
      <c r="AV579" s="55">
        <f>AW579+AX579</f>
        <v>0</v>
      </c>
      <c r="AW579" s="55">
        <f>G579*AO579</f>
        <v>0</v>
      </c>
      <c r="AX579" s="55">
        <f>G579*AP579</f>
        <v>0</v>
      </c>
      <c r="AY579" s="58" t="s">
        <v>744</v>
      </c>
      <c r="AZ579" s="58" t="s">
        <v>745</v>
      </c>
      <c r="BA579" s="33" t="s">
        <v>125</v>
      </c>
      <c r="BB579" s="59">
        <v>100047</v>
      </c>
      <c r="BC579" s="55">
        <f>AW579+AX579</f>
        <v>0</v>
      </c>
      <c r="BD579" s="55">
        <f>H579/(100-BE579)*100</f>
        <v>0</v>
      </c>
      <c r="BE579" s="55">
        <v>0</v>
      </c>
      <c r="BF579" s="55">
        <f>L579</f>
        <v>0</v>
      </c>
      <c r="BH579" s="55">
        <f>G579*AO579</f>
        <v>0</v>
      </c>
      <c r="BI579" s="55">
        <f>G579*AP579</f>
        <v>0</v>
      </c>
      <c r="BJ579" s="55">
        <f>G579*H579</f>
        <v>0</v>
      </c>
      <c r="BK579" s="55"/>
      <c r="BL579" s="55">
        <v>762</v>
      </c>
      <c r="BW579" s="55">
        <v>21</v>
      </c>
      <c r="BX579" s="3" t="s">
        <v>751</v>
      </c>
    </row>
    <row r="580" spans="1:76">
      <c r="A580" s="50" t="s">
        <v>4</v>
      </c>
      <c r="B580" s="51" t="s">
        <v>4</v>
      </c>
      <c r="C580" s="51" t="s">
        <v>752</v>
      </c>
      <c r="D580" s="625" t="s">
        <v>753</v>
      </c>
      <c r="E580" s="626"/>
      <c r="F580" s="52" t="s">
        <v>79</v>
      </c>
      <c r="G580" s="52" t="s">
        <v>79</v>
      </c>
      <c r="H580" s="53" t="s">
        <v>79</v>
      </c>
      <c r="I580" s="26">
        <f>SUM(I581:I584)</f>
        <v>0</v>
      </c>
      <c r="J580" s="33" t="s">
        <v>4</v>
      </c>
      <c r="K580" s="33" t="s">
        <v>4</v>
      </c>
      <c r="L580" s="26">
        <f>SUM(L581:L584)</f>
        <v>1.4414400000000001E-2</v>
      </c>
      <c r="M580" s="54" t="s">
        <v>4</v>
      </c>
      <c r="AI580" s="33" t="s">
        <v>4</v>
      </c>
      <c r="AS580" s="26">
        <f>SUM(AJ581:AJ584)</f>
        <v>0</v>
      </c>
      <c r="AT580" s="26">
        <f>SUM(AK581:AK584)</f>
        <v>0</v>
      </c>
      <c r="AU580" s="26">
        <f>SUM(AL581:AL584)</f>
        <v>0</v>
      </c>
    </row>
    <row r="581" spans="1:76">
      <c r="A581" s="1" t="s">
        <v>591</v>
      </c>
      <c r="B581" s="2" t="s">
        <v>4</v>
      </c>
      <c r="C581" s="2" t="s">
        <v>754</v>
      </c>
      <c r="D581" s="549" t="s">
        <v>755</v>
      </c>
      <c r="E581" s="546"/>
      <c r="F581" s="2" t="s">
        <v>219</v>
      </c>
      <c r="G581" s="55">
        <v>7.28</v>
      </c>
      <c r="H581" s="56">
        <v>0</v>
      </c>
      <c r="I581" s="55">
        <f>G581*H581</f>
        <v>0</v>
      </c>
      <c r="J581" s="55">
        <v>0</v>
      </c>
      <c r="K581" s="55">
        <v>1.98E-3</v>
      </c>
      <c r="L581" s="55">
        <f>G581*K581</f>
        <v>1.4414400000000001E-2</v>
      </c>
      <c r="M581" s="57" t="s">
        <v>122</v>
      </c>
      <c r="Z581" s="55">
        <f>IF(AQ581="5",BJ581,0)</f>
        <v>0</v>
      </c>
      <c r="AB581" s="55">
        <f>IF(AQ581="1",BH581,0)</f>
        <v>0</v>
      </c>
      <c r="AC581" s="55">
        <f>IF(AQ581="1",BI581,0)</f>
        <v>0</v>
      </c>
      <c r="AD581" s="55">
        <f>IF(AQ581="7",BH581,0)</f>
        <v>0</v>
      </c>
      <c r="AE581" s="55">
        <f>IF(AQ581="7",BI581,0)</f>
        <v>0</v>
      </c>
      <c r="AF581" s="55">
        <f>IF(AQ581="2",BH581,0)</f>
        <v>0</v>
      </c>
      <c r="AG581" s="55">
        <f>IF(AQ581="2",BI581,0)</f>
        <v>0</v>
      </c>
      <c r="AH581" s="55">
        <f>IF(AQ581="0",BJ581,0)</f>
        <v>0</v>
      </c>
      <c r="AI581" s="33" t="s">
        <v>4</v>
      </c>
      <c r="AJ581" s="55">
        <f>IF(AN581=0,I581,0)</f>
        <v>0</v>
      </c>
      <c r="AK581" s="55">
        <f>IF(AN581=12,I581,0)</f>
        <v>0</v>
      </c>
      <c r="AL581" s="55">
        <f>IF(AN581=21,I581,0)</f>
        <v>0</v>
      </c>
      <c r="AN581" s="55">
        <v>21</v>
      </c>
      <c r="AO581" s="55">
        <f>H581*0.399981216</f>
        <v>0</v>
      </c>
      <c r="AP581" s="55">
        <f>H581*(1-0.399981216)</f>
        <v>0</v>
      </c>
      <c r="AQ581" s="58" t="s">
        <v>162</v>
      </c>
      <c r="AV581" s="55">
        <f>AW581+AX581</f>
        <v>0</v>
      </c>
      <c r="AW581" s="55">
        <f>G581*AO581</f>
        <v>0</v>
      </c>
      <c r="AX581" s="55">
        <f>G581*AP581</f>
        <v>0</v>
      </c>
      <c r="AY581" s="58" t="s">
        <v>756</v>
      </c>
      <c r="AZ581" s="58" t="s">
        <v>745</v>
      </c>
      <c r="BA581" s="33" t="s">
        <v>125</v>
      </c>
      <c r="BB581" s="59">
        <v>100006</v>
      </c>
      <c r="BC581" s="55">
        <f>AW581+AX581</f>
        <v>0</v>
      </c>
      <c r="BD581" s="55">
        <f>H581/(100-BE581)*100</f>
        <v>0</v>
      </c>
      <c r="BE581" s="55">
        <v>0</v>
      </c>
      <c r="BF581" s="55">
        <f>L581</f>
        <v>1.4414400000000001E-2</v>
      </c>
      <c r="BH581" s="55">
        <f>G581*AO581</f>
        <v>0</v>
      </c>
      <c r="BI581" s="55">
        <f>G581*AP581</f>
        <v>0</v>
      </c>
      <c r="BJ581" s="55">
        <f>G581*H581</f>
        <v>0</v>
      </c>
      <c r="BK581" s="55"/>
      <c r="BL581" s="55">
        <v>764</v>
      </c>
      <c r="BW581" s="55">
        <v>21</v>
      </c>
      <c r="BX581" s="3" t="s">
        <v>755</v>
      </c>
    </row>
    <row r="582" spans="1:76" ht="13.5" customHeight="1">
      <c r="A582" s="60"/>
      <c r="D582" s="634" t="s">
        <v>757</v>
      </c>
      <c r="E582" s="635"/>
      <c r="F582" s="635"/>
      <c r="G582" s="635"/>
      <c r="H582" s="636"/>
      <c r="I582" s="635"/>
      <c r="J582" s="635"/>
      <c r="K582" s="635"/>
      <c r="L582" s="635"/>
      <c r="M582" s="637"/>
    </row>
    <row r="583" spans="1:76">
      <c r="A583" s="60"/>
      <c r="D583" s="61" t="s">
        <v>758</v>
      </c>
      <c r="E583" s="61" t="s">
        <v>372</v>
      </c>
      <c r="G583" s="62">
        <v>7.28</v>
      </c>
      <c r="M583" s="63"/>
    </row>
    <row r="584" spans="1:76">
      <c r="A584" s="1" t="s">
        <v>759</v>
      </c>
      <c r="B584" s="2" t="s">
        <v>4</v>
      </c>
      <c r="C584" s="2" t="s">
        <v>760</v>
      </c>
      <c r="D584" s="549" t="s">
        <v>761</v>
      </c>
      <c r="E584" s="546"/>
      <c r="F584" s="2" t="s">
        <v>132</v>
      </c>
      <c r="G584" s="55">
        <v>1.4409999999999999E-2</v>
      </c>
      <c r="H584" s="56">
        <v>0</v>
      </c>
      <c r="I584" s="55">
        <f>G584*H584</f>
        <v>0</v>
      </c>
      <c r="J584" s="55">
        <v>0</v>
      </c>
      <c r="K584" s="55">
        <v>0</v>
      </c>
      <c r="L584" s="55">
        <f>G584*K584</f>
        <v>0</v>
      </c>
      <c r="M584" s="57" t="s">
        <v>122</v>
      </c>
      <c r="Z584" s="55">
        <f>IF(AQ584="5",BJ584,0)</f>
        <v>0</v>
      </c>
      <c r="AB584" s="55">
        <f>IF(AQ584="1",BH584,0)</f>
        <v>0</v>
      </c>
      <c r="AC584" s="55">
        <f>IF(AQ584="1",BI584,0)</f>
        <v>0</v>
      </c>
      <c r="AD584" s="55">
        <f>IF(AQ584="7",BH584,0)</f>
        <v>0</v>
      </c>
      <c r="AE584" s="55">
        <f>IF(AQ584="7",BI584,0)</f>
        <v>0</v>
      </c>
      <c r="AF584" s="55">
        <f>IF(AQ584="2",BH584,0)</f>
        <v>0</v>
      </c>
      <c r="AG584" s="55">
        <f>IF(AQ584="2",BI584,0)</f>
        <v>0</v>
      </c>
      <c r="AH584" s="55">
        <f>IF(AQ584="0",BJ584,0)</f>
        <v>0</v>
      </c>
      <c r="AI584" s="33" t="s">
        <v>4</v>
      </c>
      <c r="AJ584" s="55">
        <f>IF(AN584=0,I584,0)</f>
        <v>0</v>
      </c>
      <c r="AK584" s="55">
        <f>IF(AN584=12,I584,0)</f>
        <v>0</v>
      </c>
      <c r="AL584" s="55">
        <f>IF(AN584=21,I584,0)</f>
        <v>0</v>
      </c>
      <c r="AN584" s="55">
        <v>21</v>
      </c>
      <c r="AO584" s="55">
        <f>H584*0</f>
        <v>0</v>
      </c>
      <c r="AP584" s="55">
        <f>H584*(1-0)</f>
        <v>0</v>
      </c>
      <c r="AQ584" s="58" t="s">
        <v>139</v>
      </c>
      <c r="AV584" s="55">
        <f>AW584+AX584</f>
        <v>0</v>
      </c>
      <c r="AW584" s="55">
        <f>G584*AO584</f>
        <v>0</v>
      </c>
      <c r="AX584" s="55">
        <f>G584*AP584</f>
        <v>0</v>
      </c>
      <c r="AY584" s="58" t="s">
        <v>756</v>
      </c>
      <c r="AZ584" s="58" t="s">
        <v>745</v>
      </c>
      <c r="BA584" s="33" t="s">
        <v>125</v>
      </c>
      <c r="BB584" s="59">
        <v>100048</v>
      </c>
      <c r="BC584" s="55">
        <f>AW584+AX584</f>
        <v>0</v>
      </c>
      <c r="BD584" s="55">
        <f>H584/(100-BE584)*100</f>
        <v>0</v>
      </c>
      <c r="BE584" s="55">
        <v>0</v>
      </c>
      <c r="BF584" s="55">
        <f>L584</f>
        <v>0</v>
      </c>
      <c r="BH584" s="55">
        <f>G584*AO584</f>
        <v>0</v>
      </c>
      <c r="BI584" s="55">
        <f>G584*AP584</f>
        <v>0</v>
      </c>
      <c r="BJ584" s="55">
        <f>G584*H584</f>
        <v>0</v>
      </c>
      <c r="BK584" s="55"/>
      <c r="BL584" s="55">
        <v>764</v>
      </c>
      <c r="BW584" s="55">
        <v>21</v>
      </c>
      <c r="BX584" s="3" t="s">
        <v>761</v>
      </c>
    </row>
    <row r="585" spans="1:76">
      <c r="A585" s="50" t="s">
        <v>4</v>
      </c>
      <c r="B585" s="51" t="s">
        <v>4</v>
      </c>
      <c r="C585" s="51" t="s">
        <v>762</v>
      </c>
      <c r="D585" s="625" t="s">
        <v>763</v>
      </c>
      <c r="E585" s="626"/>
      <c r="F585" s="52" t="s">
        <v>79</v>
      </c>
      <c r="G585" s="52" t="s">
        <v>79</v>
      </c>
      <c r="H585" s="53" t="s">
        <v>79</v>
      </c>
      <c r="I585" s="26">
        <f>SUM(I586:I638)</f>
        <v>0</v>
      </c>
      <c r="J585" s="33" t="s">
        <v>4</v>
      </c>
      <c r="K585" s="33" t="s">
        <v>4</v>
      </c>
      <c r="L585" s="26">
        <f>SUM(L586:L638)</f>
        <v>1.3498500000000002</v>
      </c>
      <c r="M585" s="54" t="s">
        <v>4</v>
      </c>
      <c r="AI585" s="33" t="s">
        <v>4</v>
      </c>
      <c r="AS585" s="26">
        <f>SUM(AJ586:AJ638)</f>
        <v>0</v>
      </c>
      <c r="AT585" s="26">
        <f>SUM(AK586:AK638)</f>
        <v>0</v>
      </c>
      <c r="AU585" s="26">
        <f>SUM(AL586:AL638)</f>
        <v>0</v>
      </c>
    </row>
    <row r="586" spans="1:76">
      <c r="A586" s="1" t="s">
        <v>764</v>
      </c>
      <c r="B586" s="2" t="s">
        <v>4</v>
      </c>
      <c r="C586" s="2" t="s">
        <v>765</v>
      </c>
      <c r="D586" s="549" t="s">
        <v>766</v>
      </c>
      <c r="E586" s="546"/>
      <c r="F586" s="2" t="s">
        <v>145</v>
      </c>
      <c r="G586" s="55">
        <v>18</v>
      </c>
      <c r="H586" s="56">
        <v>0</v>
      </c>
      <c r="I586" s="55">
        <f>G586*H586</f>
        <v>0</v>
      </c>
      <c r="J586" s="55">
        <v>0</v>
      </c>
      <c r="K586" s="55">
        <v>1.6199999999999999E-3</v>
      </c>
      <c r="L586" s="55">
        <f>G586*K586</f>
        <v>2.9159999999999998E-2</v>
      </c>
      <c r="M586" s="57" t="s">
        <v>122</v>
      </c>
      <c r="Z586" s="55">
        <f>IF(AQ586="5",BJ586,0)</f>
        <v>0</v>
      </c>
      <c r="AB586" s="55">
        <f>IF(AQ586="1",BH586,0)</f>
        <v>0</v>
      </c>
      <c r="AC586" s="55">
        <f>IF(AQ586="1",BI586,0)</f>
        <v>0</v>
      </c>
      <c r="AD586" s="55">
        <f>IF(AQ586="7",BH586,0)</f>
        <v>0</v>
      </c>
      <c r="AE586" s="55">
        <f>IF(AQ586="7",BI586,0)</f>
        <v>0</v>
      </c>
      <c r="AF586" s="55">
        <f>IF(AQ586="2",BH586,0)</f>
        <v>0</v>
      </c>
      <c r="AG586" s="55">
        <f>IF(AQ586="2",BI586,0)</f>
        <v>0</v>
      </c>
      <c r="AH586" s="55">
        <f>IF(AQ586="0",BJ586,0)</f>
        <v>0</v>
      </c>
      <c r="AI586" s="33" t="s">
        <v>4</v>
      </c>
      <c r="AJ586" s="55">
        <f>IF(AN586=0,I586,0)</f>
        <v>0</v>
      </c>
      <c r="AK586" s="55">
        <f>IF(AN586=12,I586,0)</f>
        <v>0</v>
      </c>
      <c r="AL586" s="55">
        <f>IF(AN586=21,I586,0)</f>
        <v>0</v>
      </c>
      <c r="AN586" s="55">
        <v>21</v>
      </c>
      <c r="AO586" s="55">
        <f>H586*0.235366605</f>
        <v>0</v>
      </c>
      <c r="AP586" s="55">
        <f>H586*(1-0.235366605)</f>
        <v>0</v>
      </c>
      <c r="AQ586" s="58" t="s">
        <v>162</v>
      </c>
      <c r="AV586" s="55">
        <f>AW586+AX586</f>
        <v>0</v>
      </c>
      <c r="AW586" s="55">
        <f>G586*AO586</f>
        <v>0</v>
      </c>
      <c r="AX586" s="55">
        <f>G586*AP586</f>
        <v>0</v>
      </c>
      <c r="AY586" s="58" t="s">
        <v>767</v>
      </c>
      <c r="AZ586" s="58" t="s">
        <v>745</v>
      </c>
      <c r="BA586" s="33" t="s">
        <v>125</v>
      </c>
      <c r="BB586" s="59">
        <v>100032</v>
      </c>
      <c r="BC586" s="55">
        <f>AW586+AX586</f>
        <v>0</v>
      </c>
      <c r="BD586" s="55">
        <f>H586/(100-BE586)*100</f>
        <v>0</v>
      </c>
      <c r="BE586" s="55">
        <v>0</v>
      </c>
      <c r="BF586" s="55">
        <f>L586</f>
        <v>2.9159999999999998E-2</v>
      </c>
      <c r="BH586" s="55">
        <f>G586*AO586</f>
        <v>0</v>
      </c>
      <c r="BI586" s="55">
        <f>G586*AP586</f>
        <v>0</v>
      </c>
      <c r="BJ586" s="55">
        <f>G586*H586</f>
        <v>0</v>
      </c>
      <c r="BK586" s="55"/>
      <c r="BL586" s="55">
        <v>766</v>
      </c>
      <c r="BW586" s="55">
        <v>21</v>
      </c>
      <c r="BX586" s="3" t="s">
        <v>766</v>
      </c>
    </row>
    <row r="587" spans="1:76">
      <c r="A587" s="60"/>
      <c r="D587" s="61" t="s">
        <v>265</v>
      </c>
      <c r="E587" s="61" t="s">
        <v>4</v>
      </c>
      <c r="G587" s="62">
        <v>18</v>
      </c>
      <c r="M587" s="63"/>
    </row>
    <row r="588" spans="1:76">
      <c r="A588" s="60"/>
      <c r="C588" s="64" t="s">
        <v>127</v>
      </c>
      <c r="D588" s="618" t="s">
        <v>768</v>
      </c>
      <c r="E588" s="619"/>
      <c r="F588" s="619"/>
      <c r="G588" s="619"/>
      <c r="H588" s="620"/>
      <c r="I588" s="619"/>
      <c r="J588" s="619"/>
      <c r="K588" s="619"/>
      <c r="L588" s="619"/>
      <c r="M588" s="621"/>
      <c r="BX588" s="65" t="s">
        <v>768</v>
      </c>
    </row>
    <row r="589" spans="1:76">
      <c r="A589" s="66" t="s">
        <v>769</v>
      </c>
      <c r="B589" s="67" t="s">
        <v>4</v>
      </c>
      <c r="C589" s="67" t="s">
        <v>770</v>
      </c>
      <c r="D589" s="622" t="s">
        <v>771</v>
      </c>
      <c r="E589" s="623"/>
      <c r="F589" s="67" t="s">
        <v>145</v>
      </c>
      <c r="G589" s="69">
        <v>2</v>
      </c>
      <c r="H589" s="70">
        <v>0</v>
      </c>
      <c r="I589" s="69">
        <f>G589*H589</f>
        <v>0</v>
      </c>
      <c r="J589" s="69">
        <v>0</v>
      </c>
      <c r="K589" s="69">
        <v>1.9E-2</v>
      </c>
      <c r="L589" s="69">
        <f>G589*K589</f>
        <v>3.7999999999999999E-2</v>
      </c>
      <c r="M589" s="71" t="s">
        <v>122</v>
      </c>
      <c r="Z589" s="55">
        <f>IF(AQ589="5",BJ589,0)</f>
        <v>0</v>
      </c>
      <c r="AB589" s="55">
        <f>IF(AQ589="1",BH589,0)</f>
        <v>0</v>
      </c>
      <c r="AC589" s="55">
        <f>IF(AQ589="1",BI589,0)</f>
        <v>0</v>
      </c>
      <c r="AD589" s="55">
        <f>IF(AQ589="7",BH589,0)</f>
        <v>0</v>
      </c>
      <c r="AE589" s="55">
        <f>IF(AQ589="7",BI589,0)</f>
        <v>0</v>
      </c>
      <c r="AF589" s="55">
        <f>IF(AQ589="2",BH589,0)</f>
        <v>0</v>
      </c>
      <c r="AG589" s="55">
        <f>IF(AQ589="2",BI589,0)</f>
        <v>0</v>
      </c>
      <c r="AH589" s="55">
        <f>IF(AQ589="0",BJ589,0)</f>
        <v>0</v>
      </c>
      <c r="AI589" s="33" t="s">
        <v>4</v>
      </c>
      <c r="AJ589" s="69">
        <f>IF(AN589=0,I589,0)</f>
        <v>0</v>
      </c>
      <c r="AK589" s="69">
        <f>IF(AN589=12,I589,0)</f>
        <v>0</v>
      </c>
      <c r="AL589" s="69">
        <f>IF(AN589=21,I589,0)</f>
        <v>0</v>
      </c>
      <c r="AN589" s="55">
        <v>21</v>
      </c>
      <c r="AO589" s="55">
        <f>H589*1</f>
        <v>0</v>
      </c>
      <c r="AP589" s="55">
        <f>H589*(1-1)</f>
        <v>0</v>
      </c>
      <c r="AQ589" s="72" t="s">
        <v>162</v>
      </c>
      <c r="AV589" s="55">
        <f>AW589+AX589</f>
        <v>0</v>
      </c>
      <c r="AW589" s="55">
        <f>G589*AO589</f>
        <v>0</v>
      </c>
      <c r="AX589" s="55">
        <f>G589*AP589</f>
        <v>0</v>
      </c>
      <c r="AY589" s="58" t="s">
        <v>767</v>
      </c>
      <c r="AZ589" s="58" t="s">
        <v>745</v>
      </c>
      <c r="BA589" s="33" t="s">
        <v>125</v>
      </c>
      <c r="BC589" s="55">
        <f>AW589+AX589</f>
        <v>0</v>
      </c>
      <c r="BD589" s="55">
        <f>H589/(100-BE589)*100</f>
        <v>0</v>
      </c>
      <c r="BE589" s="55">
        <v>0</v>
      </c>
      <c r="BF589" s="55">
        <f>L589</f>
        <v>3.7999999999999999E-2</v>
      </c>
      <c r="BH589" s="69">
        <f>G589*AO589</f>
        <v>0</v>
      </c>
      <c r="BI589" s="69">
        <f>G589*AP589</f>
        <v>0</v>
      </c>
      <c r="BJ589" s="69">
        <f>G589*H589</f>
        <v>0</v>
      </c>
      <c r="BK589" s="69"/>
      <c r="BL589" s="55">
        <v>766</v>
      </c>
      <c r="BW589" s="55">
        <v>21</v>
      </c>
      <c r="BX589" s="68" t="s">
        <v>771</v>
      </c>
    </row>
    <row r="590" spans="1:76">
      <c r="A590" s="60"/>
      <c r="D590" s="61" t="s">
        <v>129</v>
      </c>
      <c r="E590" s="61" t="s">
        <v>772</v>
      </c>
      <c r="G590" s="62">
        <v>2</v>
      </c>
      <c r="M590" s="63"/>
    </row>
    <row r="591" spans="1:76">
      <c r="A591" s="66" t="s">
        <v>773</v>
      </c>
      <c r="B591" s="67" t="s">
        <v>4</v>
      </c>
      <c r="C591" s="67" t="s">
        <v>774</v>
      </c>
      <c r="D591" s="622" t="s">
        <v>775</v>
      </c>
      <c r="E591" s="623"/>
      <c r="F591" s="67" t="s">
        <v>145</v>
      </c>
      <c r="G591" s="69">
        <v>1</v>
      </c>
      <c r="H591" s="70">
        <v>0</v>
      </c>
      <c r="I591" s="69">
        <f>G591*H591</f>
        <v>0</v>
      </c>
      <c r="J591" s="69">
        <v>0</v>
      </c>
      <c r="K591" s="69">
        <v>1.4999999999999999E-2</v>
      </c>
      <c r="L591" s="69">
        <f>G591*K591</f>
        <v>1.4999999999999999E-2</v>
      </c>
      <c r="M591" s="71" t="s">
        <v>122</v>
      </c>
      <c r="Z591" s="55">
        <f>IF(AQ591="5",BJ591,0)</f>
        <v>0</v>
      </c>
      <c r="AB591" s="55">
        <f>IF(AQ591="1",BH591,0)</f>
        <v>0</v>
      </c>
      <c r="AC591" s="55">
        <f>IF(AQ591="1",BI591,0)</f>
        <v>0</v>
      </c>
      <c r="AD591" s="55">
        <f>IF(AQ591="7",BH591,0)</f>
        <v>0</v>
      </c>
      <c r="AE591" s="55">
        <f>IF(AQ591="7",BI591,0)</f>
        <v>0</v>
      </c>
      <c r="AF591" s="55">
        <f>IF(AQ591="2",BH591,0)</f>
        <v>0</v>
      </c>
      <c r="AG591" s="55">
        <f>IF(AQ591="2",BI591,0)</f>
        <v>0</v>
      </c>
      <c r="AH591" s="55">
        <f>IF(AQ591="0",BJ591,0)</f>
        <v>0</v>
      </c>
      <c r="AI591" s="33" t="s">
        <v>4</v>
      </c>
      <c r="AJ591" s="69">
        <f>IF(AN591=0,I591,0)</f>
        <v>0</v>
      </c>
      <c r="AK591" s="69">
        <f>IF(AN591=12,I591,0)</f>
        <v>0</v>
      </c>
      <c r="AL591" s="69">
        <f>IF(AN591=21,I591,0)</f>
        <v>0</v>
      </c>
      <c r="AN591" s="55">
        <v>21</v>
      </c>
      <c r="AO591" s="55">
        <f>H591*1</f>
        <v>0</v>
      </c>
      <c r="AP591" s="55">
        <f>H591*(1-1)</f>
        <v>0</v>
      </c>
      <c r="AQ591" s="72" t="s">
        <v>162</v>
      </c>
      <c r="AV591" s="55">
        <f>AW591+AX591</f>
        <v>0</v>
      </c>
      <c r="AW591" s="55">
        <f>G591*AO591</f>
        <v>0</v>
      </c>
      <c r="AX591" s="55">
        <f>G591*AP591</f>
        <v>0</v>
      </c>
      <c r="AY591" s="58" t="s">
        <v>767</v>
      </c>
      <c r="AZ591" s="58" t="s">
        <v>745</v>
      </c>
      <c r="BA591" s="33" t="s">
        <v>125</v>
      </c>
      <c r="BC591" s="55">
        <f>AW591+AX591</f>
        <v>0</v>
      </c>
      <c r="BD591" s="55">
        <f>H591/(100-BE591)*100</f>
        <v>0</v>
      </c>
      <c r="BE591" s="55">
        <v>0</v>
      </c>
      <c r="BF591" s="55">
        <f>L591</f>
        <v>1.4999999999999999E-2</v>
      </c>
      <c r="BH591" s="69">
        <f>G591*AO591</f>
        <v>0</v>
      </c>
      <c r="BI591" s="69">
        <f>G591*AP591</f>
        <v>0</v>
      </c>
      <c r="BJ591" s="69">
        <f>G591*H591</f>
        <v>0</v>
      </c>
      <c r="BK591" s="69"/>
      <c r="BL591" s="55">
        <v>766</v>
      </c>
      <c r="BW591" s="55">
        <v>21</v>
      </c>
      <c r="BX591" s="68" t="s">
        <v>775</v>
      </c>
    </row>
    <row r="592" spans="1:76">
      <c r="A592" s="60"/>
      <c r="D592" s="61" t="s">
        <v>118</v>
      </c>
      <c r="E592" s="61" t="s">
        <v>4</v>
      </c>
      <c r="G592" s="62">
        <v>1</v>
      </c>
      <c r="M592" s="63"/>
    </row>
    <row r="593" spans="1:76">
      <c r="A593" s="66" t="s">
        <v>776</v>
      </c>
      <c r="B593" s="67" t="s">
        <v>4</v>
      </c>
      <c r="C593" s="67" t="s">
        <v>777</v>
      </c>
      <c r="D593" s="622" t="s">
        <v>778</v>
      </c>
      <c r="E593" s="623"/>
      <c r="F593" s="67" t="s">
        <v>145</v>
      </c>
      <c r="G593" s="69">
        <v>7</v>
      </c>
      <c r="H593" s="70">
        <v>0</v>
      </c>
      <c r="I593" s="69">
        <f>G593*H593</f>
        <v>0</v>
      </c>
      <c r="J593" s="69">
        <v>0</v>
      </c>
      <c r="K593" s="69">
        <v>1.4999999999999999E-2</v>
      </c>
      <c r="L593" s="69">
        <f>G593*K593</f>
        <v>0.105</v>
      </c>
      <c r="M593" s="71" t="s">
        <v>122</v>
      </c>
      <c r="Z593" s="55">
        <f>IF(AQ593="5",BJ593,0)</f>
        <v>0</v>
      </c>
      <c r="AB593" s="55">
        <f>IF(AQ593="1",BH593,0)</f>
        <v>0</v>
      </c>
      <c r="AC593" s="55">
        <f>IF(AQ593="1",BI593,0)</f>
        <v>0</v>
      </c>
      <c r="AD593" s="55">
        <f>IF(AQ593="7",BH593,0)</f>
        <v>0</v>
      </c>
      <c r="AE593" s="55">
        <f>IF(AQ593="7",BI593,0)</f>
        <v>0</v>
      </c>
      <c r="AF593" s="55">
        <f>IF(AQ593="2",BH593,0)</f>
        <v>0</v>
      </c>
      <c r="AG593" s="55">
        <f>IF(AQ593="2",BI593,0)</f>
        <v>0</v>
      </c>
      <c r="AH593" s="55">
        <f>IF(AQ593="0",BJ593,0)</f>
        <v>0</v>
      </c>
      <c r="AI593" s="33" t="s">
        <v>4</v>
      </c>
      <c r="AJ593" s="69">
        <f>IF(AN593=0,I593,0)</f>
        <v>0</v>
      </c>
      <c r="AK593" s="69">
        <f>IF(AN593=12,I593,0)</f>
        <v>0</v>
      </c>
      <c r="AL593" s="69">
        <f>IF(AN593=21,I593,0)</f>
        <v>0</v>
      </c>
      <c r="AN593" s="55">
        <v>21</v>
      </c>
      <c r="AO593" s="55">
        <f>H593*1</f>
        <v>0</v>
      </c>
      <c r="AP593" s="55">
        <f>H593*(1-1)</f>
        <v>0</v>
      </c>
      <c r="AQ593" s="72" t="s">
        <v>162</v>
      </c>
      <c r="AV593" s="55">
        <f>AW593+AX593</f>
        <v>0</v>
      </c>
      <c r="AW593" s="55">
        <f>G593*AO593</f>
        <v>0</v>
      </c>
      <c r="AX593" s="55">
        <f>G593*AP593</f>
        <v>0</v>
      </c>
      <c r="AY593" s="58" t="s">
        <v>767</v>
      </c>
      <c r="AZ593" s="58" t="s">
        <v>745</v>
      </c>
      <c r="BA593" s="33" t="s">
        <v>125</v>
      </c>
      <c r="BC593" s="55">
        <f>AW593+AX593</f>
        <v>0</v>
      </c>
      <c r="BD593" s="55">
        <f>H593/(100-BE593)*100</f>
        <v>0</v>
      </c>
      <c r="BE593" s="55">
        <v>0</v>
      </c>
      <c r="BF593" s="55">
        <f>L593</f>
        <v>0.105</v>
      </c>
      <c r="BH593" s="69">
        <f>G593*AO593</f>
        <v>0</v>
      </c>
      <c r="BI593" s="69">
        <f>G593*AP593</f>
        <v>0</v>
      </c>
      <c r="BJ593" s="69">
        <f>G593*H593</f>
        <v>0</v>
      </c>
      <c r="BK593" s="69"/>
      <c r="BL593" s="55">
        <v>766</v>
      </c>
      <c r="BW593" s="55">
        <v>21</v>
      </c>
      <c r="BX593" s="68" t="s">
        <v>778</v>
      </c>
    </row>
    <row r="594" spans="1:76">
      <c r="A594" s="60"/>
      <c r="D594" s="61" t="s">
        <v>162</v>
      </c>
      <c r="E594" s="61" t="s">
        <v>779</v>
      </c>
      <c r="G594" s="62">
        <v>7</v>
      </c>
      <c r="M594" s="63"/>
    </row>
    <row r="595" spans="1:76">
      <c r="A595" s="66" t="s">
        <v>780</v>
      </c>
      <c r="B595" s="67" t="s">
        <v>4</v>
      </c>
      <c r="C595" s="67" t="s">
        <v>781</v>
      </c>
      <c r="D595" s="622" t="s">
        <v>782</v>
      </c>
      <c r="E595" s="623"/>
      <c r="F595" s="67" t="s">
        <v>145</v>
      </c>
      <c r="G595" s="69">
        <v>1</v>
      </c>
      <c r="H595" s="70">
        <v>0</v>
      </c>
      <c r="I595" s="69">
        <f>G595*H595</f>
        <v>0</v>
      </c>
      <c r="J595" s="69">
        <v>0</v>
      </c>
      <c r="K595" s="69">
        <v>2.8000000000000001E-2</v>
      </c>
      <c r="L595" s="69">
        <f>G595*K595</f>
        <v>2.8000000000000001E-2</v>
      </c>
      <c r="M595" s="71" t="s">
        <v>122</v>
      </c>
      <c r="Z595" s="55">
        <f>IF(AQ595="5",BJ595,0)</f>
        <v>0</v>
      </c>
      <c r="AB595" s="55">
        <f>IF(AQ595="1",BH595,0)</f>
        <v>0</v>
      </c>
      <c r="AC595" s="55">
        <f>IF(AQ595="1",BI595,0)</f>
        <v>0</v>
      </c>
      <c r="AD595" s="55">
        <f>IF(AQ595="7",BH595,0)</f>
        <v>0</v>
      </c>
      <c r="AE595" s="55">
        <f>IF(AQ595="7",BI595,0)</f>
        <v>0</v>
      </c>
      <c r="AF595" s="55">
        <f>IF(AQ595="2",BH595,0)</f>
        <v>0</v>
      </c>
      <c r="AG595" s="55">
        <f>IF(AQ595="2",BI595,0)</f>
        <v>0</v>
      </c>
      <c r="AH595" s="55">
        <f>IF(AQ595="0",BJ595,0)</f>
        <v>0</v>
      </c>
      <c r="AI595" s="33" t="s">
        <v>4</v>
      </c>
      <c r="AJ595" s="69">
        <f>IF(AN595=0,I595,0)</f>
        <v>0</v>
      </c>
      <c r="AK595" s="69">
        <f>IF(AN595=12,I595,0)</f>
        <v>0</v>
      </c>
      <c r="AL595" s="69">
        <f>IF(AN595=21,I595,0)</f>
        <v>0</v>
      </c>
      <c r="AN595" s="55">
        <v>21</v>
      </c>
      <c r="AO595" s="55">
        <f>H595*1</f>
        <v>0</v>
      </c>
      <c r="AP595" s="55">
        <f>H595*(1-1)</f>
        <v>0</v>
      </c>
      <c r="AQ595" s="72" t="s">
        <v>162</v>
      </c>
      <c r="AV595" s="55">
        <f>AW595+AX595</f>
        <v>0</v>
      </c>
      <c r="AW595" s="55">
        <f>G595*AO595</f>
        <v>0</v>
      </c>
      <c r="AX595" s="55">
        <f>G595*AP595</f>
        <v>0</v>
      </c>
      <c r="AY595" s="58" t="s">
        <v>767</v>
      </c>
      <c r="AZ595" s="58" t="s">
        <v>745</v>
      </c>
      <c r="BA595" s="33" t="s">
        <v>125</v>
      </c>
      <c r="BC595" s="55">
        <f>AW595+AX595</f>
        <v>0</v>
      </c>
      <c r="BD595" s="55">
        <f>H595/(100-BE595)*100</f>
        <v>0</v>
      </c>
      <c r="BE595" s="55">
        <v>0</v>
      </c>
      <c r="BF595" s="55">
        <f>L595</f>
        <v>2.8000000000000001E-2</v>
      </c>
      <c r="BH595" s="69">
        <f>G595*AO595</f>
        <v>0</v>
      </c>
      <c r="BI595" s="69">
        <f>G595*AP595</f>
        <v>0</v>
      </c>
      <c r="BJ595" s="69">
        <f>G595*H595</f>
        <v>0</v>
      </c>
      <c r="BK595" s="69"/>
      <c r="BL595" s="55">
        <v>766</v>
      </c>
      <c r="BW595" s="55">
        <v>21</v>
      </c>
      <c r="BX595" s="68" t="s">
        <v>782</v>
      </c>
    </row>
    <row r="596" spans="1:76">
      <c r="A596" s="60"/>
      <c r="D596" s="61" t="s">
        <v>118</v>
      </c>
      <c r="E596" s="61" t="s">
        <v>4</v>
      </c>
      <c r="G596" s="62">
        <v>1</v>
      </c>
      <c r="M596" s="63"/>
    </row>
    <row r="597" spans="1:76" ht="38.25">
      <c r="A597" s="60"/>
      <c r="C597" s="64" t="s">
        <v>127</v>
      </c>
      <c r="D597" s="618" t="s">
        <v>783</v>
      </c>
      <c r="E597" s="619"/>
      <c r="F597" s="619"/>
      <c r="G597" s="619"/>
      <c r="H597" s="620"/>
      <c r="I597" s="619"/>
      <c r="J597" s="619"/>
      <c r="K597" s="619"/>
      <c r="L597" s="619"/>
      <c r="M597" s="621"/>
      <c r="BX597" s="73" t="s">
        <v>783</v>
      </c>
    </row>
    <row r="598" spans="1:76">
      <c r="A598" s="66" t="s">
        <v>784</v>
      </c>
      <c r="B598" s="67" t="s">
        <v>4</v>
      </c>
      <c r="C598" s="67" t="s">
        <v>777</v>
      </c>
      <c r="D598" s="622" t="s">
        <v>785</v>
      </c>
      <c r="E598" s="623"/>
      <c r="F598" s="67" t="s">
        <v>145</v>
      </c>
      <c r="G598" s="69">
        <v>2</v>
      </c>
      <c r="H598" s="70">
        <v>0</v>
      </c>
      <c r="I598" s="69">
        <f>G598*H598</f>
        <v>0</v>
      </c>
      <c r="J598" s="69">
        <v>0</v>
      </c>
      <c r="K598" s="69">
        <v>1.4999999999999999E-2</v>
      </c>
      <c r="L598" s="69">
        <f>G598*K598</f>
        <v>0.03</v>
      </c>
      <c r="M598" s="71" t="s">
        <v>122</v>
      </c>
      <c r="Z598" s="55">
        <f>IF(AQ598="5",BJ598,0)</f>
        <v>0</v>
      </c>
      <c r="AB598" s="55">
        <f>IF(AQ598="1",BH598,0)</f>
        <v>0</v>
      </c>
      <c r="AC598" s="55">
        <f>IF(AQ598="1",BI598,0)</f>
        <v>0</v>
      </c>
      <c r="AD598" s="55">
        <f>IF(AQ598="7",BH598,0)</f>
        <v>0</v>
      </c>
      <c r="AE598" s="55">
        <f>IF(AQ598="7",BI598,0)</f>
        <v>0</v>
      </c>
      <c r="AF598" s="55">
        <f>IF(AQ598="2",BH598,0)</f>
        <v>0</v>
      </c>
      <c r="AG598" s="55">
        <f>IF(AQ598="2",BI598,0)</f>
        <v>0</v>
      </c>
      <c r="AH598" s="55">
        <f>IF(AQ598="0",BJ598,0)</f>
        <v>0</v>
      </c>
      <c r="AI598" s="33" t="s">
        <v>4</v>
      </c>
      <c r="AJ598" s="69">
        <f>IF(AN598=0,I598,0)</f>
        <v>0</v>
      </c>
      <c r="AK598" s="69">
        <f>IF(AN598=12,I598,0)</f>
        <v>0</v>
      </c>
      <c r="AL598" s="69">
        <f>IF(AN598=21,I598,0)</f>
        <v>0</v>
      </c>
      <c r="AN598" s="55">
        <v>21</v>
      </c>
      <c r="AO598" s="55">
        <f>H598*1</f>
        <v>0</v>
      </c>
      <c r="AP598" s="55">
        <f>H598*(1-1)</f>
        <v>0</v>
      </c>
      <c r="AQ598" s="72" t="s">
        <v>162</v>
      </c>
      <c r="AV598" s="55">
        <f>AW598+AX598</f>
        <v>0</v>
      </c>
      <c r="AW598" s="55">
        <f>G598*AO598</f>
        <v>0</v>
      </c>
      <c r="AX598" s="55">
        <f>G598*AP598</f>
        <v>0</v>
      </c>
      <c r="AY598" s="58" t="s">
        <v>767</v>
      </c>
      <c r="AZ598" s="58" t="s">
        <v>745</v>
      </c>
      <c r="BA598" s="33" t="s">
        <v>125</v>
      </c>
      <c r="BC598" s="55">
        <f>AW598+AX598</f>
        <v>0</v>
      </c>
      <c r="BD598" s="55">
        <f>H598/(100-BE598)*100</f>
        <v>0</v>
      </c>
      <c r="BE598" s="55">
        <v>0</v>
      </c>
      <c r="BF598" s="55">
        <f>L598</f>
        <v>0.03</v>
      </c>
      <c r="BH598" s="69">
        <f>G598*AO598</f>
        <v>0</v>
      </c>
      <c r="BI598" s="69">
        <f>G598*AP598</f>
        <v>0</v>
      </c>
      <c r="BJ598" s="69">
        <f>G598*H598</f>
        <v>0</v>
      </c>
      <c r="BK598" s="69"/>
      <c r="BL598" s="55">
        <v>766</v>
      </c>
      <c r="BW598" s="55">
        <v>21</v>
      </c>
      <c r="BX598" s="68" t="s">
        <v>785</v>
      </c>
    </row>
    <row r="599" spans="1:76">
      <c r="A599" s="60"/>
      <c r="D599" s="61" t="s">
        <v>129</v>
      </c>
      <c r="E599" s="61" t="s">
        <v>4</v>
      </c>
      <c r="G599" s="62">
        <v>2</v>
      </c>
      <c r="M599" s="63"/>
    </row>
    <row r="600" spans="1:76">
      <c r="A600" s="66" t="s">
        <v>786</v>
      </c>
      <c r="B600" s="67" t="s">
        <v>4</v>
      </c>
      <c r="C600" s="67" t="s">
        <v>781</v>
      </c>
      <c r="D600" s="622" t="s">
        <v>787</v>
      </c>
      <c r="E600" s="623"/>
      <c r="F600" s="67" t="s">
        <v>145</v>
      </c>
      <c r="G600" s="69">
        <v>1</v>
      </c>
      <c r="H600" s="70">
        <v>0</v>
      </c>
      <c r="I600" s="69">
        <f>G600*H600</f>
        <v>0</v>
      </c>
      <c r="J600" s="69">
        <v>0</v>
      </c>
      <c r="K600" s="69">
        <v>2.8000000000000001E-2</v>
      </c>
      <c r="L600" s="69">
        <f>G600*K600</f>
        <v>2.8000000000000001E-2</v>
      </c>
      <c r="M600" s="71" t="s">
        <v>122</v>
      </c>
      <c r="Z600" s="55">
        <f>IF(AQ600="5",BJ600,0)</f>
        <v>0</v>
      </c>
      <c r="AB600" s="55">
        <f>IF(AQ600="1",BH600,0)</f>
        <v>0</v>
      </c>
      <c r="AC600" s="55">
        <f>IF(AQ600="1",BI600,0)</f>
        <v>0</v>
      </c>
      <c r="AD600" s="55">
        <f>IF(AQ600="7",BH600,0)</f>
        <v>0</v>
      </c>
      <c r="AE600" s="55">
        <f>IF(AQ600="7",BI600,0)</f>
        <v>0</v>
      </c>
      <c r="AF600" s="55">
        <f>IF(AQ600="2",BH600,0)</f>
        <v>0</v>
      </c>
      <c r="AG600" s="55">
        <f>IF(AQ600="2",BI600,0)</f>
        <v>0</v>
      </c>
      <c r="AH600" s="55">
        <f>IF(AQ600="0",BJ600,0)</f>
        <v>0</v>
      </c>
      <c r="AI600" s="33" t="s">
        <v>4</v>
      </c>
      <c r="AJ600" s="69">
        <f>IF(AN600=0,I600,0)</f>
        <v>0</v>
      </c>
      <c r="AK600" s="69">
        <f>IF(AN600=12,I600,0)</f>
        <v>0</v>
      </c>
      <c r="AL600" s="69">
        <f>IF(AN600=21,I600,0)</f>
        <v>0</v>
      </c>
      <c r="AN600" s="55">
        <v>21</v>
      </c>
      <c r="AO600" s="55">
        <f>H600*1</f>
        <v>0</v>
      </c>
      <c r="AP600" s="55">
        <f>H600*(1-1)</f>
        <v>0</v>
      </c>
      <c r="AQ600" s="72" t="s">
        <v>162</v>
      </c>
      <c r="AV600" s="55">
        <f>AW600+AX600</f>
        <v>0</v>
      </c>
      <c r="AW600" s="55">
        <f>G600*AO600</f>
        <v>0</v>
      </c>
      <c r="AX600" s="55">
        <f>G600*AP600</f>
        <v>0</v>
      </c>
      <c r="AY600" s="58" t="s">
        <v>767</v>
      </c>
      <c r="AZ600" s="58" t="s">
        <v>745</v>
      </c>
      <c r="BA600" s="33" t="s">
        <v>125</v>
      </c>
      <c r="BC600" s="55">
        <f>AW600+AX600</f>
        <v>0</v>
      </c>
      <c r="BD600" s="55">
        <f>H600/(100-BE600)*100</f>
        <v>0</v>
      </c>
      <c r="BE600" s="55">
        <v>0</v>
      </c>
      <c r="BF600" s="55">
        <f>L600</f>
        <v>2.8000000000000001E-2</v>
      </c>
      <c r="BH600" s="69">
        <f>G600*AO600</f>
        <v>0</v>
      </c>
      <c r="BI600" s="69">
        <f>G600*AP600</f>
        <v>0</v>
      </c>
      <c r="BJ600" s="69">
        <f>G600*H600</f>
        <v>0</v>
      </c>
      <c r="BK600" s="69"/>
      <c r="BL600" s="55">
        <v>766</v>
      </c>
      <c r="BW600" s="55">
        <v>21</v>
      </c>
      <c r="BX600" s="68" t="s">
        <v>787</v>
      </c>
    </row>
    <row r="601" spans="1:76">
      <c r="A601" s="60"/>
      <c r="D601" s="61" t="s">
        <v>118</v>
      </c>
      <c r="E601" s="61" t="s">
        <v>4</v>
      </c>
      <c r="G601" s="62">
        <v>1</v>
      </c>
      <c r="M601" s="63"/>
    </row>
    <row r="602" spans="1:76" ht="38.25">
      <c r="A602" s="60"/>
      <c r="C602" s="64" t="s">
        <v>127</v>
      </c>
      <c r="D602" s="618" t="s">
        <v>788</v>
      </c>
      <c r="E602" s="619"/>
      <c r="F602" s="619"/>
      <c r="G602" s="619"/>
      <c r="H602" s="620"/>
      <c r="I602" s="619"/>
      <c r="J602" s="619"/>
      <c r="K602" s="619"/>
      <c r="L602" s="619"/>
      <c r="M602" s="621"/>
      <c r="BX602" s="73" t="s">
        <v>788</v>
      </c>
    </row>
    <row r="603" spans="1:76">
      <c r="A603" s="66" t="s">
        <v>789</v>
      </c>
      <c r="B603" s="67" t="s">
        <v>4</v>
      </c>
      <c r="C603" s="67" t="s">
        <v>790</v>
      </c>
      <c r="D603" s="622" t="s">
        <v>791</v>
      </c>
      <c r="E603" s="623"/>
      <c r="F603" s="67" t="s">
        <v>145</v>
      </c>
      <c r="G603" s="69">
        <v>1</v>
      </c>
      <c r="H603" s="70">
        <v>0</v>
      </c>
      <c r="I603" s="69">
        <f>G603*H603</f>
        <v>0</v>
      </c>
      <c r="J603" s="69">
        <v>0</v>
      </c>
      <c r="K603" s="69">
        <v>2.9000000000000001E-2</v>
      </c>
      <c r="L603" s="69">
        <f>G603*K603</f>
        <v>2.9000000000000001E-2</v>
      </c>
      <c r="M603" s="71" t="s">
        <v>122</v>
      </c>
      <c r="Z603" s="55">
        <f>IF(AQ603="5",BJ603,0)</f>
        <v>0</v>
      </c>
      <c r="AB603" s="55">
        <f>IF(AQ603="1",BH603,0)</f>
        <v>0</v>
      </c>
      <c r="AC603" s="55">
        <f>IF(AQ603="1",BI603,0)</f>
        <v>0</v>
      </c>
      <c r="AD603" s="55">
        <f>IF(AQ603="7",BH603,0)</f>
        <v>0</v>
      </c>
      <c r="AE603" s="55">
        <f>IF(AQ603="7",BI603,0)</f>
        <v>0</v>
      </c>
      <c r="AF603" s="55">
        <f>IF(AQ603="2",BH603,0)</f>
        <v>0</v>
      </c>
      <c r="AG603" s="55">
        <f>IF(AQ603="2",BI603,0)</f>
        <v>0</v>
      </c>
      <c r="AH603" s="55">
        <f>IF(AQ603="0",BJ603,0)</f>
        <v>0</v>
      </c>
      <c r="AI603" s="33" t="s">
        <v>4</v>
      </c>
      <c r="AJ603" s="69">
        <f>IF(AN603=0,I603,0)</f>
        <v>0</v>
      </c>
      <c r="AK603" s="69">
        <f>IF(AN603=12,I603,0)</f>
        <v>0</v>
      </c>
      <c r="AL603" s="69">
        <f>IF(AN603=21,I603,0)</f>
        <v>0</v>
      </c>
      <c r="AN603" s="55">
        <v>21</v>
      </c>
      <c r="AO603" s="55">
        <f>H603*1</f>
        <v>0</v>
      </c>
      <c r="AP603" s="55">
        <f>H603*(1-1)</f>
        <v>0</v>
      </c>
      <c r="AQ603" s="72" t="s">
        <v>162</v>
      </c>
      <c r="AV603" s="55">
        <f>AW603+AX603</f>
        <v>0</v>
      </c>
      <c r="AW603" s="55">
        <f>G603*AO603</f>
        <v>0</v>
      </c>
      <c r="AX603" s="55">
        <f>G603*AP603</f>
        <v>0</v>
      </c>
      <c r="AY603" s="58" t="s">
        <v>767</v>
      </c>
      <c r="AZ603" s="58" t="s">
        <v>745</v>
      </c>
      <c r="BA603" s="33" t="s">
        <v>125</v>
      </c>
      <c r="BC603" s="55">
        <f>AW603+AX603</f>
        <v>0</v>
      </c>
      <c r="BD603" s="55">
        <f>H603/(100-BE603)*100</f>
        <v>0</v>
      </c>
      <c r="BE603" s="55">
        <v>0</v>
      </c>
      <c r="BF603" s="55">
        <f>L603</f>
        <v>2.9000000000000001E-2</v>
      </c>
      <c r="BH603" s="69">
        <f>G603*AO603</f>
        <v>0</v>
      </c>
      <c r="BI603" s="69">
        <f>G603*AP603</f>
        <v>0</v>
      </c>
      <c r="BJ603" s="69">
        <f>G603*H603</f>
        <v>0</v>
      </c>
      <c r="BK603" s="69"/>
      <c r="BL603" s="55">
        <v>766</v>
      </c>
      <c r="BW603" s="55">
        <v>21</v>
      </c>
      <c r="BX603" s="68" t="s">
        <v>791</v>
      </c>
    </row>
    <row r="604" spans="1:76">
      <c r="A604" s="60"/>
      <c r="D604" s="61" t="s">
        <v>118</v>
      </c>
      <c r="E604" s="61" t="s">
        <v>4</v>
      </c>
      <c r="G604" s="62">
        <v>1</v>
      </c>
      <c r="M604" s="63"/>
    </row>
    <row r="605" spans="1:76" ht="127.5">
      <c r="A605" s="60"/>
      <c r="C605" s="64" t="s">
        <v>127</v>
      </c>
      <c r="D605" s="618" t="s">
        <v>792</v>
      </c>
      <c r="E605" s="619"/>
      <c r="F605" s="619"/>
      <c r="G605" s="619"/>
      <c r="H605" s="620"/>
      <c r="I605" s="619"/>
      <c r="J605" s="619"/>
      <c r="K605" s="619"/>
      <c r="L605" s="619"/>
      <c r="M605" s="621"/>
      <c r="BX605" s="73" t="s">
        <v>792</v>
      </c>
    </row>
    <row r="606" spans="1:76">
      <c r="A606" s="66" t="s">
        <v>793</v>
      </c>
      <c r="B606" s="67" t="s">
        <v>4</v>
      </c>
      <c r="C606" s="67" t="s">
        <v>794</v>
      </c>
      <c r="D606" s="622" t="s">
        <v>795</v>
      </c>
      <c r="E606" s="623"/>
      <c r="F606" s="67" t="s">
        <v>145</v>
      </c>
      <c r="G606" s="69">
        <v>1</v>
      </c>
      <c r="H606" s="70">
        <v>0</v>
      </c>
      <c r="I606" s="69">
        <f>G606*H606</f>
        <v>0</v>
      </c>
      <c r="J606" s="69">
        <v>0</v>
      </c>
      <c r="K606" s="69">
        <v>1.4999999999999999E-2</v>
      </c>
      <c r="L606" s="69">
        <f>G606*K606</f>
        <v>1.4999999999999999E-2</v>
      </c>
      <c r="M606" s="71" t="s">
        <v>122</v>
      </c>
      <c r="Z606" s="55">
        <f>IF(AQ606="5",BJ606,0)</f>
        <v>0</v>
      </c>
      <c r="AB606" s="55">
        <f>IF(AQ606="1",BH606,0)</f>
        <v>0</v>
      </c>
      <c r="AC606" s="55">
        <f>IF(AQ606="1",BI606,0)</f>
        <v>0</v>
      </c>
      <c r="AD606" s="55">
        <f>IF(AQ606="7",BH606,0)</f>
        <v>0</v>
      </c>
      <c r="AE606" s="55">
        <f>IF(AQ606="7",BI606,0)</f>
        <v>0</v>
      </c>
      <c r="AF606" s="55">
        <f>IF(AQ606="2",BH606,0)</f>
        <v>0</v>
      </c>
      <c r="AG606" s="55">
        <f>IF(AQ606="2",BI606,0)</f>
        <v>0</v>
      </c>
      <c r="AH606" s="55">
        <f>IF(AQ606="0",BJ606,0)</f>
        <v>0</v>
      </c>
      <c r="AI606" s="33" t="s">
        <v>4</v>
      </c>
      <c r="AJ606" s="69">
        <f>IF(AN606=0,I606,0)</f>
        <v>0</v>
      </c>
      <c r="AK606" s="69">
        <f>IF(AN606=12,I606,0)</f>
        <v>0</v>
      </c>
      <c r="AL606" s="69">
        <f>IF(AN606=21,I606,0)</f>
        <v>0</v>
      </c>
      <c r="AN606" s="55">
        <v>21</v>
      </c>
      <c r="AO606" s="55">
        <f>H606*1</f>
        <v>0</v>
      </c>
      <c r="AP606" s="55">
        <f>H606*(1-1)</f>
        <v>0</v>
      </c>
      <c r="AQ606" s="72" t="s">
        <v>162</v>
      </c>
      <c r="AV606" s="55">
        <f>AW606+AX606</f>
        <v>0</v>
      </c>
      <c r="AW606" s="55">
        <f>G606*AO606</f>
        <v>0</v>
      </c>
      <c r="AX606" s="55">
        <f>G606*AP606</f>
        <v>0</v>
      </c>
      <c r="AY606" s="58" t="s">
        <v>767</v>
      </c>
      <c r="AZ606" s="58" t="s">
        <v>745</v>
      </c>
      <c r="BA606" s="33" t="s">
        <v>125</v>
      </c>
      <c r="BC606" s="55">
        <f>AW606+AX606</f>
        <v>0</v>
      </c>
      <c r="BD606" s="55">
        <f>H606/(100-BE606)*100</f>
        <v>0</v>
      </c>
      <c r="BE606" s="55">
        <v>0</v>
      </c>
      <c r="BF606" s="55">
        <f>L606</f>
        <v>1.4999999999999999E-2</v>
      </c>
      <c r="BH606" s="69">
        <f>G606*AO606</f>
        <v>0</v>
      </c>
      <c r="BI606" s="69">
        <f>G606*AP606</f>
        <v>0</v>
      </c>
      <c r="BJ606" s="69">
        <f>G606*H606</f>
        <v>0</v>
      </c>
      <c r="BK606" s="69"/>
      <c r="BL606" s="55">
        <v>766</v>
      </c>
      <c r="BW606" s="55">
        <v>21</v>
      </c>
      <c r="BX606" s="68" t="s">
        <v>795</v>
      </c>
    </row>
    <row r="607" spans="1:76">
      <c r="A607" s="60"/>
      <c r="D607" s="61" t="s">
        <v>118</v>
      </c>
      <c r="E607" s="61" t="s">
        <v>4</v>
      </c>
      <c r="G607" s="62">
        <v>1</v>
      </c>
      <c r="M607" s="63"/>
    </row>
    <row r="608" spans="1:76">
      <c r="A608" s="66" t="s">
        <v>705</v>
      </c>
      <c r="B608" s="67" t="s">
        <v>4</v>
      </c>
      <c r="C608" s="67" t="s">
        <v>796</v>
      </c>
      <c r="D608" s="622" t="s">
        <v>797</v>
      </c>
      <c r="E608" s="623"/>
      <c r="F608" s="67" t="s">
        <v>145</v>
      </c>
      <c r="G608" s="69">
        <v>2</v>
      </c>
      <c r="H608" s="70">
        <v>0</v>
      </c>
      <c r="I608" s="69">
        <f>G608*H608</f>
        <v>0</v>
      </c>
      <c r="J608" s="69">
        <v>0</v>
      </c>
      <c r="K608" s="69">
        <v>1.4999999999999999E-2</v>
      </c>
      <c r="L608" s="69">
        <f>G608*K608</f>
        <v>0.03</v>
      </c>
      <c r="M608" s="71" t="s">
        <v>122</v>
      </c>
      <c r="Z608" s="55">
        <f>IF(AQ608="5",BJ608,0)</f>
        <v>0</v>
      </c>
      <c r="AB608" s="55">
        <f>IF(AQ608="1",BH608,0)</f>
        <v>0</v>
      </c>
      <c r="AC608" s="55">
        <f>IF(AQ608="1",BI608,0)</f>
        <v>0</v>
      </c>
      <c r="AD608" s="55">
        <f>IF(AQ608="7",BH608,0)</f>
        <v>0</v>
      </c>
      <c r="AE608" s="55">
        <f>IF(AQ608="7",BI608,0)</f>
        <v>0</v>
      </c>
      <c r="AF608" s="55">
        <f>IF(AQ608="2",BH608,0)</f>
        <v>0</v>
      </c>
      <c r="AG608" s="55">
        <f>IF(AQ608="2",BI608,0)</f>
        <v>0</v>
      </c>
      <c r="AH608" s="55">
        <f>IF(AQ608="0",BJ608,0)</f>
        <v>0</v>
      </c>
      <c r="AI608" s="33" t="s">
        <v>4</v>
      </c>
      <c r="AJ608" s="69">
        <f>IF(AN608=0,I608,0)</f>
        <v>0</v>
      </c>
      <c r="AK608" s="69">
        <f>IF(AN608=12,I608,0)</f>
        <v>0</v>
      </c>
      <c r="AL608" s="69">
        <f>IF(AN608=21,I608,0)</f>
        <v>0</v>
      </c>
      <c r="AN608" s="55">
        <v>21</v>
      </c>
      <c r="AO608" s="55">
        <f>H608*1</f>
        <v>0</v>
      </c>
      <c r="AP608" s="55">
        <f>H608*(1-1)</f>
        <v>0</v>
      </c>
      <c r="AQ608" s="72" t="s">
        <v>162</v>
      </c>
      <c r="AV608" s="55">
        <f>AW608+AX608</f>
        <v>0</v>
      </c>
      <c r="AW608" s="55">
        <f>G608*AO608</f>
        <v>0</v>
      </c>
      <c r="AX608" s="55">
        <f>G608*AP608</f>
        <v>0</v>
      </c>
      <c r="AY608" s="58" t="s">
        <v>767</v>
      </c>
      <c r="AZ608" s="58" t="s">
        <v>745</v>
      </c>
      <c r="BA608" s="33" t="s">
        <v>125</v>
      </c>
      <c r="BC608" s="55">
        <f>AW608+AX608</f>
        <v>0</v>
      </c>
      <c r="BD608" s="55">
        <f>H608/(100-BE608)*100</f>
        <v>0</v>
      </c>
      <c r="BE608" s="55">
        <v>0</v>
      </c>
      <c r="BF608" s="55">
        <f>L608</f>
        <v>0.03</v>
      </c>
      <c r="BH608" s="69">
        <f>G608*AO608</f>
        <v>0</v>
      </c>
      <c r="BI608" s="69">
        <f>G608*AP608</f>
        <v>0</v>
      </c>
      <c r="BJ608" s="69">
        <f>G608*H608</f>
        <v>0</v>
      </c>
      <c r="BK608" s="69"/>
      <c r="BL608" s="55">
        <v>766</v>
      </c>
      <c r="BW608" s="55">
        <v>21</v>
      </c>
      <c r="BX608" s="68" t="s">
        <v>797</v>
      </c>
    </row>
    <row r="609" spans="1:76">
      <c r="A609" s="60"/>
      <c r="D609" s="61" t="s">
        <v>129</v>
      </c>
      <c r="E609" s="61" t="s">
        <v>4</v>
      </c>
      <c r="G609" s="62">
        <v>2</v>
      </c>
      <c r="M609" s="63"/>
    </row>
    <row r="610" spans="1:76">
      <c r="A610" s="1" t="s">
        <v>798</v>
      </c>
      <c r="B610" s="2" t="s">
        <v>4</v>
      </c>
      <c r="C610" s="2" t="s">
        <v>799</v>
      </c>
      <c r="D610" s="549" t="s">
        <v>800</v>
      </c>
      <c r="E610" s="546"/>
      <c r="F610" s="2" t="s">
        <v>145</v>
      </c>
      <c r="G610" s="55">
        <v>2</v>
      </c>
      <c r="H610" s="56">
        <v>0</v>
      </c>
      <c r="I610" s="55">
        <f>G610*H610</f>
        <v>0</v>
      </c>
      <c r="J610" s="55">
        <v>0</v>
      </c>
      <c r="K610" s="55">
        <v>0.184</v>
      </c>
      <c r="L610" s="55">
        <f>G610*K610</f>
        <v>0.36799999999999999</v>
      </c>
      <c r="M610" s="57" t="s">
        <v>122</v>
      </c>
      <c r="Z610" s="55">
        <f>IF(AQ610="5",BJ610,0)</f>
        <v>0</v>
      </c>
      <c r="AB610" s="55">
        <f>IF(AQ610="1",BH610,0)</f>
        <v>0</v>
      </c>
      <c r="AC610" s="55">
        <f>IF(AQ610="1",BI610,0)</f>
        <v>0</v>
      </c>
      <c r="AD610" s="55">
        <f>IF(AQ610="7",BH610,0)</f>
        <v>0</v>
      </c>
      <c r="AE610" s="55">
        <f>IF(AQ610="7",BI610,0)</f>
        <v>0</v>
      </c>
      <c r="AF610" s="55">
        <f>IF(AQ610="2",BH610,0)</f>
        <v>0</v>
      </c>
      <c r="AG610" s="55">
        <f>IF(AQ610="2",BI610,0)</f>
        <v>0</v>
      </c>
      <c r="AH610" s="55">
        <f>IF(AQ610="0",BJ610,0)</f>
        <v>0</v>
      </c>
      <c r="AI610" s="33" t="s">
        <v>4</v>
      </c>
      <c r="AJ610" s="55">
        <f>IF(AN610=0,I610,0)</f>
        <v>0</v>
      </c>
      <c r="AK610" s="55">
        <f>IF(AN610=12,I610,0)</f>
        <v>0</v>
      </c>
      <c r="AL610" s="55">
        <f>IF(AN610=21,I610,0)</f>
        <v>0</v>
      </c>
      <c r="AN610" s="55">
        <v>21</v>
      </c>
      <c r="AO610" s="55">
        <f>H610*0.813024375</f>
        <v>0</v>
      </c>
      <c r="AP610" s="55">
        <f>H610*(1-0.813024375)</f>
        <v>0</v>
      </c>
      <c r="AQ610" s="58" t="s">
        <v>162</v>
      </c>
      <c r="AV610" s="55">
        <f>AW610+AX610</f>
        <v>0</v>
      </c>
      <c r="AW610" s="55">
        <f>G610*AO610</f>
        <v>0</v>
      </c>
      <c r="AX610" s="55">
        <f>G610*AP610</f>
        <v>0</v>
      </c>
      <c r="AY610" s="58" t="s">
        <v>767</v>
      </c>
      <c r="AZ610" s="58" t="s">
        <v>745</v>
      </c>
      <c r="BA610" s="33" t="s">
        <v>125</v>
      </c>
      <c r="BB610" s="59">
        <v>100032</v>
      </c>
      <c r="BC610" s="55">
        <f>AW610+AX610</f>
        <v>0</v>
      </c>
      <c r="BD610" s="55">
        <f>H610/(100-BE610)*100</f>
        <v>0</v>
      </c>
      <c r="BE610" s="55">
        <v>0</v>
      </c>
      <c r="BF610" s="55">
        <f>L610</f>
        <v>0.36799999999999999</v>
      </c>
      <c r="BH610" s="55">
        <f>G610*AO610</f>
        <v>0</v>
      </c>
      <c r="BI610" s="55">
        <f>G610*AP610</f>
        <v>0</v>
      </c>
      <c r="BJ610" s="55">
        <f>G610*H610</f>
        <v>0</v>
      </c>
      <c r="BK610" s="55"/>
      <c r="BL610" s="55">
        <v>766</v>
      </c>
      <c r="BW610" s="55">
        <v>21</v>
      </c>
      <c r="BX610" s="3" t="s">
        <v>800</v>
      </c>
    </row>
    <row r="611" spans="1:76" ht="13.5" customHeight="1">
      <c r="A611" s="60"/>
      <c r="D611" s="634" t="s">
        <v>801</v>
      </c>
      <c r="E611" s="635"/>
      <c r="F611" s="635"/>
      <c r="G611" s="635"/>
      <c r="H611" s="636"/>
      <c r="I611" s="635"/>
      <c r="J611" s="635"/>
      <c r="K611" s="635"/>
      <c r="L611" s="635"/>
      <c r="M611" s="637"/>
    </row>
    <row r="612" spans="1:76">
      <c r="A612" s="60"/>
      <c r="D612" s="61" t="s">
        <v>129</v>
      </c>
      <c r="E612" s="61" t="s">
        <v>4</v>
      </c>
      <c r="G612" s="62">
        <v>2</v>
      </c>
      <c r="M612" s="63"/>
    </row>
    <row r="613" spans="1:76">
      <c r="A613" s="66" t="s">
        <v>802</v>
      </c>
      <c r="B613" s="67" t="s">
        <v>4</v>
      </c>
      <c r="C613" s="67" t="s">
        <v>803</v>
      </c>
      <c r="D613" s="622" t="s">
        <v>804</v>
      </c>
      <c r="E613" s="623"/>
      <c r="F613" s="67" t="s">
        <v>805</v>
      </c>
      <c r="G613" s="69">
        <v>2</v>
      </c>
      <c r="H613" s="70">
        <v>0</v>
      </c>
      <c r="I613" s="69">
        <f>G613*H613</f>
        <v>0</v>
      </c>
      <c r="J613" s="69">
        <v>0</v>
      </c>
      <c r="K613" s="69">
        <v>1.4999999999999999E-2</v>
      </c>
      <c r="L613" s="69">
        <f>G613*K613</f>
        <v>0.03</v>
      </c>
      <c r="M613" s="71" t="s">
        <v>4</v>
      </c>
      <c r="Z613" s="55">
        <f>IF(AQ613="5",BJ613,0)</f>
        <v>0</v>
      </c>
      <c r="AB613" s="55">
        <f>IF(AQ613="1",BH613,0)</f>
        <v>0</v>
      </c>
      <c r="AC613" s="55">
        <f>IF(AQ613="1",BI613,0)</f>
        <v>0</v>
      </c>
      <c r="AD613" s="55">
        <f>IF(AQ613="7",BH613,0)</f>
        <v>0</v>
      </c>
      <c r="AE613" s="55">
        <f>IF(AQ613="7",BI613,0)</f>
        <v>0</v>
      </c>
      <c r="AF613" s="55">
        <f>IF(AQ613="2",BH613,0)</f>
        <v>0</v>
      </c>
      <c r="AG613" s="55">
        <f>IF(AQ613="2",BI613,0)</f>
        <v>0</v>
      </c>
      <c r="AH613" s="55">
        <f>IF(AQ613="0",BJ613,0)</f>
        <v>0</v>
      </c>
      <c r="AI613" s="33" t="s">
        <v>4</v>
      </c>
      <c r="AJ613" s="69">
        <f>IF(AN613=0,I613,0)</f>
        <v>0</v>
      </c>
      <c r="AK613" s="69">
        <f>IF(AN613=12,I613,0)</f>
        <v>0</v>
      </c>
      <c r="AL613" s="69">
        <f>IF(AN613=21,I613,0)</f>
        <v>0</v>
      </c>
      <c r="AN613" s="55">
        <v>21</v>
      </c>
      <c r="AO613" s="55">
        <f>H613*1</f>
        <v>0</v>
      </c>
      <c r="AP613" s="55">
        <f>H613*(1-1)</f>
        <v>0</v>
      </c>
      <c r="AQ613" s="72" t="s">
        <v>162</v>
      </c>
      <c r="AV613" s="55">
        <f>AW613+AX613</f>
        <v>0</v>
      </c>
      <c r="AW613" s="55">
        <f>G613*AO613</f>
        <v>0</v>
      </c>
      <c r="AX613" s="55">
        <f>G613*AP613</f>
        <v>0</v>
      </c>
      <c r="AY613" s="58" t="s">
        <v>767</v>
      </c>
      <c r="AZ613" s="58" t="s">
        <v>745</v>
      </c>
      <c r="BA613" s="33" t="s">
        <v>125</v>
      </c>
      <c r="BC613" s="55">
        <f>AW613+AX613</f>
        <v>0</v>
      </c>
      <c r="BD613" s="55">
        <f>H613/(100-BE613)*100</f>
        <v>0</v>
      </c>
      <c r="BE613" s="55">
        <v>0</v>
      </c>
      <c r="BF613" s="55">
        <f>L613</f>
        <v>0.03</v>
      </c>
      <c r="BH613" s="69">
        <f>G613*AO613</f>
        <v>0</v>
      </c>
      <c r="BI613" s="69">
        <f>G613*AP613</f>
        <v>0</v>
      </c>
      <c r="BJ613" s="69">
        <f>G613*H613</f>
        <v>0</v>
      </c>
      <c r="BK613" s="69"/>
      <c r="BL613" s="55">
        <v>766</v>
      </c>
      <c r="BW613" s="55">
        <v>21</v>
      </c>
      <c r="BX613" s="68" t="s">
        <v>804</v>
      </c>
    </row>
    <row r="614" spans="1:76">
      <c r="A614" s="60"/>
      <c r="D614" s="61" t="s">
        <v>129</v>
      </c>
      <c r="E614" s="61" t="s">
        <v>4</v>
      </c>
      <c r="G614" s="62">
        <v>2</v>
      </c>
      <c r="M614" s="63"/>
    </row>
    <row r="615" spans="1:76">
      <c r="A615" s="66" t="s">
        <v>806</v>
      </c>
      <c r="B615" s="67" t="s">
        <v>4</v>
      </c>
      <c r="C615" s="67" t="s">
        <v>807</v>
      </c>
      <c r="D615" s="622" t="s">
        <v>808</v>
      </c>
      <c r="E615" s="623"/>
      <c r="F615" s="67" t="s">
        <v>805</v>
      </c>
      <c r="G615" s="69">
        <v>2</v>
      </c>
      <c r="H615" s="70">
        <v>0</v>
      </c>
      <c r="I615" s="69">
        <f>G615*H615</f>
        <v>0</v>
      </c>
      <c r="J615" s="69">
        <v>0</v>
      </c>
      <c r="K615" s="69">
        <v>2E-3</v>
      </c>
      <c r="L615" s="69">
        <f>G615*K615</f>
        <v>4.0000000000000001E-3</v>
      </c>
      <c r="M615" s="71" t="s">
        <v>4</v>
      </c>
      <c r="Z615" s="55">
        <f>IF(AQ615="5",BJ615,0)</f>
        <v>0</v>
      </c>
      <c r="AB615" s="55">
        <f>IF(AQ615="1",BH615,0)</f>
        <v>0</v>
      </c>
      <c r="AC615" s="55">
        <f>IF(AQ615="1",BI615,0)</f>
        <v>0</v>
      </c>
      <c r="AD615" s="55">
        <f>IF(AQ615="7",BH615,0)</f>
        <v>0</v>
      </c>
      <c r="AE615" s="55">
        <f>IF(AQ615="7",BI615,0)</f>
        <v>0</v>
      </c>
      <c r="AF615" s="55">
        <f>IF(AQ615="2",BH615,0)</f>
        <v>0</v>
      </c>
      <c r="AG615" s="55">
        <f>IF(AQ615="2",BI615,0)</f>
        <v>0</v>
      </c>
      <c r="AH615" s="55">
        <f>IF(AQ615="0",BJ615,0)</f>
        <v>0</v>
      </c>
      <c r="AI615" s="33" t="s">
        <v>4</v>
      </c>
      <c r="AJ615" s="69">
        <f>IF(AN615=0,I615,0)</f>
        <v>0</v>
      </c>
      <c r="AK615" s="69">
        <f>IF(AN615=12,I615,0)</f>
        <v>0</v>
      </c>
      <c r="AL615" s="69">
        <f>IF(AN615=21,I615,0)</f>
        <v>0</v>
      </c>
      <c r="AN615" s="55">
        <v>21</v>
      </c>
      <c r="AO615" s="55">
        <f>H615*1</f>
        <v>0</v>
      </c>
      <c r="AP615" s="55">
        <f>H615*(1-1)</f>
        <v>0</v>
      </c>
      <c r="AQ615" s="72" t="s">
        <v>162</v>
      </c>
      <c r="AV615" s="55">
        <f>AW615+AX615</f>
        <v>0</v>
      </c>
      <c r="AW615" s="55">
        <f>G615*AO615</f>
        <v>0</v>
      </c>
      <c r="AX615" s="55">
        <f>G615*AP615</f>
        <v>0</v>
      </c>
      <c r="AY615" s="58" t="s">
        <v>767</v>
      </c>
      <c r="AZ615" s="58" t="s">
        <v>745</v>
      </c>
      <c r="BA615" s="33" t="s">
        <v>125</v>
      </c>
      <c r="BC615" s="55">
        <f>AW615+AX615</f>
        <v>0</v>
      </c>
      <c r="BD615" s="55">
        <f>H615/(100-BE615)*100</f>
        <v>0</v>
      </c>
      <c r="BE615" s="55">
        <v>0</v>
      </c>
      <c r="BF615" s="55">
        <f>L615</f>
        <v>4.0000000000000001E-3</v>
      </c>
      <c r="BH615" s="69">
        <f>G615*AO615</f>
        <v>0</v>
      </c>
      <c r="BI615" s="69">
        <f>G615*AP615</f>
        <v>0</v>
      </c>
      <c r="BJ615" s="69">
        <f>G615*H615</f>
        <v>0</v>
      </c>
      <c r="BK615" s="69"/>
      <c r="BL615" s="55">
        <v>766</v>
      </c>
      <c r="BW615" s="55">
        <v>21</v>
      </c>
      <c r="BX615" s="68" t="s">
        <v>808</v>
      </c>
    </row>
    <row r="616" spans="1:76">
      <c r="A616" s="66" t="s">
        <v>809</v>
      </c>
      <c r="B616" s="67" t="s">
        <v>4</v>
      </c>
      <c r="C616" s="67" t="s">
        <v>810</v>
      </c>
      <c r="D616" s="622" t="s">
        <v>811</v>
      </c>
      <c r="E616" s="623"/>
      <c r="F616" s="67" t="s">
        <v>145</v>
      </c>
      <c r="G616" s="69">
        <v>2</v>
      </c>
      <c r="H616" s="70">
        <v>0</v>
      </c>
      <c r="I616" s="69">
        <f>G616*H616</f>
        <v>0</v>
      </c>
      <c r="J616" s="69">
        <v>0</v>
      </c>
      <c r="K616" s="69">
        <v>3.0999999999999999E-3</v>
      </c>
      <c r="L616" s="69">
        <f>G616*K616</f>
        <v>6.1999999999999998E-3</v>
      </c>
      <c r="M616" s="71" t="s">
        <v>122</v>
      </c>
      <c r="Z616" s="55">
        <f>IF(AQ616="5",BJ616,0)</f>
        <v>0</v>
      </c>
      <c r="AB616" s="55">
        <f>IF(AQ616="1",BH616,0)</f>
        <v>0</v>
      </c>
      <c r="AC616" s="55">
        <f>IF(AQ616="1",BI616,0)</f>
        <v>0</v>
      </c>
      <c r="AD616" s="55">
        <f>IF(AQ616="7",BH616,0)</f>
        <v>0</v>
      </c>
      <c r="AE616" s="55">
        <f>IF(AQ616="7",BI616,0)</f>
        <v>0</v>
      </c>
      <c r="AF616" s="55">
        <f>IF(AQ616="2",BH616,0)</f>
        <v>0</v>
      </c>
      <c r="AG616" s="55">
        <f>IF(AQ616="2",BI616,0)</f>
        <v>0</v>
      </c>
      <c r="AH616" s="55">
        <f>IF(AQ616="0",BJ616,0)</f>
        <v>0</v>
      </c>
      <c r="AI616" s="33" t="s">
        <v>4</v>
      </c>
      <c r="AJ616" s="69">
        <f>IF(AN616=0,I616,0)</f>
        <v>0</v>
      </c>
      <c r="AK616" s="69">
        <f>IF(AN616=12,I616,0)</f>
        <v>0</v>
      </c>
      <c r="AL616" s="69">
        <f>IF(AN616=21,I616,0)</f>
        <v>0</v>
      </c>
      <c r="AN616" s="55">
        <v>21</v>
      </c>
      <c r="AO616" s="55">
        <f>H616*1</f>
        <v>0</v>
      </c>
      <c r="AP616" s="55">
        <f>H616*(1-1)</f>
        <v>0</v>
      </c>
      <c r="AQ616" s="72" t="s">
        <v>162</v>
      </c>
      <c r="AV616" s="55">
        <f>AW616+AX616</f>
        <v>0</v>
      </c>
      <c r="AW616" s="55">
        <f>G616*AO616</f>
        <v>0</v>
      </c>
      <c r="AX616" s="55">
        <f>G616*AP616</f>
        <v>0</v>
      </c>
      <c r="AY616" s="58" t="s">
        <v>767</v>
      </c>
      <c r="AZ616" s="58" t="s">
        <v>745</v>
      </c>
      <c r="BA616" s="33" t="s">
        <v>125</v>
      </c>
      <c r="BC616" s="55">
        <f>AW616+AX616</f>
        <v>0</v>
      </c>
      <c r="BD616" s="55">
        <f>H616/(100-BE616)*100</f>
        <v>0</v>
      </c>
      <c r="BE616" s="55">
        <v>0</v>
      </c>
      <c r="BF616" s="55">
        <f>L616</f>
        <v>6.1999999999999998E-3</v>
      </c>
      <c r="BH616" s="69">
        <f>G616*AO616</f>
        <v>0</v>
      </c>
      <c r="BI616" s="69">
        <f>G616*AP616</f>
        <v>0</v>
      </c>
      <c r="BJ616" s="69">
        <f>G616*H616</f>
        <v>0</v>
      </c>
      <c r="BK616" s="69"/>
      <c r="BL616" s="55">
        <v>766</v>
      </c>
      <c r="BW616" s="55">
        <v>21</v>
      </c>
      <c r="BX616" s="68" t="s">
        <v>811</v>
      </c>
    </row>
    <row r="617" spans="1:76">
      <c r="A617" s="60"/>
      <c r="C617" s="64" t="s">
        <v>127</v>
      </c>
      <c r="D617" s="618" t="s">
        <v>812</v>
      </c>
      <c r="E617" s="619"/>
      <c r="F617" s="619"/>
      <c r="G617" s="619"/>
      <c r="H617" s="620"/>
      <c r="I617" s="619"/>
      <c r="J617" s="619"/>
      <c r="K617" s="619"/>
      <c r="L617" s="619"/>
      <c r="M617" s="621"/>
      <c r="BX617" s="73" t="s">
        <v>812</v>
      </c>
    </row>
    <row r="618" spans="1:76">
      <c r="A618" s="1" t="s">
        <v>813</v>
      </c>
      <c r="B618" s="2" t="s">
        <v>4</v>
      </c>
      <c r="C618" s="2" t="s">
        <v>814</v>
      </c>
      <c r="D618" s="549" t="s">
        <v>815</v>
      </c>
      <c r="E618" s="546"/>
      <c r="F618" s="2" t="s">
        <v>145</v>
      </c>
      <c r="G618" s="55">
        <v>1</v>
      </c>
      <c r="H618" s="56">
        <v>0</v>
      </c>
      <c r="I618" s="55">
        <f>G618*H618</f>
        <v>0</v>
      </c>
      <c r="J618" s="55">
        <v>0</v>
      </c>
      <c r="K618" s="55">
        <v>0.105</v>
      </c>
      <c r="L618" s="55">
        <f>G618*K618</f>
        <v>0.105</v>
      </c>
      <c r="M618" s="57" t="s">
        <v>122</v>
      </c>
      <c r="Z618" s="55">
        <f>IF(AQ618="5",BJ618,0)</f>
        <v>0</v>
      </c>
      <c r="AB618" s="55">
        <f>IF(AQ618="1",BH618,0)</f>
        <v>0</v>
      </c>
      <c r="AC618" s="55">
        <f>IF(AQ618="1",BI618,0)</f>
        <v>0</v>
      </c>
      <c r="AD618" s="55">
        <f>IF(AQ618="7",BH618,0)</f>
        <v>0</v>
      </c>
      <c r="AE618" s="55">
        <f>IF(AQ618="7",BI618,0)</f>
        <v>0</v>
      </c>
      <c r="AF618" s="55">
        <f>IF(AQ618="2",BH618,0)</f>
        <v>0</v>
      </c>
      <c r="AG618" s="55">
        <f>IF(AQ618="2",BI618,0)</f>
        <v>0</v>
      </c>
      <c r="AH618" s="55">
        <f>IF(AQ618="0",BJ618,0)</f>
        <v>0</v>
      </c>
      <c r="AI618" s="33" t="s">
        <v>4</v>
      </c>
      <c r="AJ618" s="55">
        <f>IF(AN618=0,I618,0)</f>
        <v>0</v>
      </c>
      <c r="AK618" s="55">
        <f>IF(AN618=12,I618,0)</f>
        <v>0</v>
      </c>
      <c r="AL618" s="55">
        <f>IF(AN618=21,I618,0)</f>
        <v>0</v>
      </c>
      <c r="AN618" s="55">
        <v>21</v>
      </c>
      <c r="AO618" s="55">
        <f>H618*0.80507165</f>
        <v>0</v>
      </c>
      <c r="AP618" s="55">
        <f>H618*(1-0.80507165)</f>
        <v>0</v>
      </c>
      <c r="AQ618" s="58" t="s">
        <v>162</v>
      </c>
      <c r="AV618" s="55">
        <f>AW618+AX618</f>
        <v>0</v>
      </c>
      <c r="AW618" s="55">
        <f>G618*AO618</f>
        <v>0</v>
      </c>
      <c r="AX618" s="55">
        <f>G618*AP618</f>
        <v>0</v>
      </c>
      <c r="AY618" s="58" t="s">
        <v>767</v>
      </c>
      <c r="AZ618" s="58" t="s">
        <v>745</v>
      </c>
      <c r="BA618" s="33" t="s">
        <v>125</v>
      </c>
      <c r="BB618" s="59">
        <v>100032</v>
      </c>
      <c r="BC618" s="55">
        <f>AW618+AX618</f>
        <v>0</v>
      </c>
      <c r="BD618" s="55">
        <f>H618/(100-BE618)*100</f>
        <v>0</v>
      </c>
      <c r="BE618" s="55">
        <v>0</v>
      </c>
      <c r="BF618" s="55">
        <f>L618</f>
        <v>0.105</v>
      </c>
      <c r="BH618" s="55">
        <f>G618*AO618</f>
        <v>0</v>
      </c>
      <c r="BI618" s="55">
        <f>G618*AP618</f>
        <v>0</v>
      </c>
      <c r="BJ618" s="55">
        <f>G618*H618</f>
        <v>0</v>
      </c>
      <c r="BK618" s="55"/>
      <c r="BL618" s="55">
        <v>766</v>
      </c>
      <c r="BW618" s="55">
        <v>21</v>
      </c>
      <c r="BX618" s="3" t="s">
        <v>815</v>
      </c>
    </row>
    <row r="619" spans="1:76" ht="13.5" customHeight="1">
      <c r="A619" s="60"/>
      <c r="D619" s="634" t="s">
        <v>816</v>
      </c>
      <c r="E619" s="635"/>
      <c r="F619" s="635"/>
      <c r="G619" s="635"/>
      <c r="H619" s="636"/>
      <c r="I619" s="635"/>
      <c r="J619" s="635"/>
      <c r="K619" s="635"/>
      <c r="L619" s="635"/>
      <c r="M619" s="637"/>
    </row>
    <row r="620" spans="1:76">
      <c r="A620" s="60"/>
      <c r="D620" s="61" t="s">
        <v>118</v>
      </c>
      <c r="E620" s="61" t="s">
        <v>4</v>
      </c>
      <c r="G620" s="62">
        <v>1</v>
      </c>
      <c r="M620" s="63"/>
    </row>
    <row r="621" spans="1:76">
      <c r="A621" s="66" t="s">
        <v>817</v>
      </c>
      <c r="B621" s="67" t="s">
        <v>4</v>
      </c>
      <c r="C621" s="67" t="s">
        <v>818</v>
      </c>
      <c r="D621" s="622" t="s">
        <v>819</v>
      </c>
      <c r="E621" s="623"/>
      <c r="F621" s="67" t="s">
        <v>145</v>
      </c>
      <c r="G621" s="69">
        <v>1</v>
      </c>
      <c r="H621" s="70">
        <v>0</v>
      </c>
      <c r="I621" s="69">
        <f>G621*H621</f>
        <v>0</v>
      </c>
      <c r="J621" s="69">
        <v>0</v>
      </c>
      <c r="K621" s="69">
        <v>0.13300000000000001</v>
      </c>
      <c r="L621" s="69">
        <f>G621*K621</f>
        <v>0.13300000000000001</v>
      </c>
      <c r="M621" s="71" t="s">
        <v>122</v>
      </c>
      <c r="Z621" s="55">
        <f>IF(AQ621="5",BJ621,0)</f>
        <v>0</v>
      </c>
      <c r="AB621" s="55">
        <f>IF(AQ621="1",BH621,0)</f>
        <v>0</v>
      </c>
      <c r="AC621" s="55">
        <f>IF(AQ621="1",BI621,0)</f>
        <v>0</v>
      </c>
      <c r="AD621" s="55">
        <f>IF(AQ621="7",BH621,0)</f>
        <v>0</v>
      </c>
      <c r="AE621" s="55">
        <f>IF(AQ621="7",BI621,0)</f>
        <v>0</v>
      </c>
      <c r="AF621" s="55">
        <f>IF(AQ621="2",BH621,0)</f>
        <v>0</v>
      </c>
      <c r="AG621" s="55">
        <f>IF(AQ621="2",BI621,0)</f>
        <v>0</v>
      </c>
      <c r="AH621" s="55">
        <f>IF(AQ621="0",BJ621,0)</f>
        <v>0</v>
      </c>
      <c r="AI621" s="33" t="s">
        <v>4</v>
      </c>
      <c r="AJ621" s="69">
        <f>IF(AN621=0,I621,0)</f>
        <v>0</v>
      </c>
      <c r="AK621" s="69">
        <f>IF(AN621=12,I621,0)</f>
        <v>0</v>
      </c>
      <c r="AL621" s="69">
        <f>IF(AN621=21,I621,0)</f>
        <v>0</v>
      </c>
      <c r="AN621" s="55">
        <v>21</v>
      </c>
      <c r="AO621" s="55">
        <f>H621*1</f>
        <v>0</v>
      </c>
      <c r="AP621" s="55">
        <f>H621*(1-1)</f>
        <v>0</v>
      </c>
      <c r="AQ621" s="72" t="s">
        <v>162</v>
      </c>
      <c r="AV621" s="55">
        <f>AW621+AX621</f>
        <v>0</v>
      </c>
      <c r="AW621" s="55">
        <f>G621*AO621</f>
        <v>0</v>
      </c>
      <c r="AX621" s="55">
        <f>G621*AP621</f>
        <v>0</v>
      </c>
      <c r="AY621" s="58" t="s">
        <v>767</v>
      </c>
      <c r="AZ621" s="58" t="s">
        <v>745</v>
      </c>
      <c r="BA621" s="33" t="s">
        <v>125</v>
      </c>
      <c r="BC621" s="55">
        <f>AW621+AX621</f>
        <v>0</v>
      </c>
      <c r="BD621" s="55">
        <f>H621/(100-BE621)*100</f>
        <v>0</v>
      </c>
      <c r="BE621" s="55">
        <v>0</v>
      </c>
      <c r="BF621" s="55">
        <f>L621</f>
        <v>0.13300000000000001</v>
      </c>
      <c r="BH621" s="69">
        <f>G621*AO621</f>
        <v>0</v>
      </c>
      <c r="BI621" s="69">
        <f>G621*AP621</f>
        <v>0</v>
      </c>
      <c r="BJ621" s="69">
        <f>G621*H621</f>
        <v>0</v>
      </c>
      <c r="BK621" s="69"/>
      <c r="BL621" s="55">
        <v>766</v>
      </c>
      <c r="BW621" s="55">
        <v>21</v>
      </c>
      <c r="BX621" s="68" t="s">
        <v>819</v>
      </c>
    </row>
    <row r="622" spans="1:76">
      <c r="A622" s="60"/>
      <c r="D622" s="61" t="s">
        <v>118</v>
      </c>
      <c r="E622" s="61" t="s">
        <v>4</v>
      </c>
      <c r="G622" s="62">
        <v>1</v>
      </c>
      <c r="M622" s="63"/>
    </row>
    <row r="623" spans="1:76">
      <c r="A623" s="1" t="s">
        <v>820</v>
      </c>
      <c r="B623" s="2" t="s">
        <v>4</v>
      </c>
      <c r="C623" s="2" t="s">
        <v>821</v>
      </c>
      <c r="D623" s="549" t="s">
        <v>822</v>
      </c>
      <c r="E623" s="546"/>
      <c r="F623" s="2" t="s">
        <v>145</v>
      </c>
      <c r="G623" s="55">
        <v>1</v>
      </c>
      <c r="H623" s="56">
        <v>0</v>
      </c>
      <c r="I623" s="55">
        <f>G623*H623</f>
        <v>0</v>
      </c>
      <c r="J623" s="55">
        <v>0</v>
      </c>
      <c r="K623" s="55">
        <v>0.22559999999999999</v>
      </c>
      <c r="L623" s="55">
        <f>G623*K623</f>
        <v>0.22559999999999999</v>
      </c>
      <c r="M623" s="57" t="s">
        <v>122</v>
      </c>
      <c r="Z623" s="55">
        <f>IF(AQ623="5",BJ623,0)</f>
        <v>0</v>
      </c>
      <c r="AB623" s="55">
        <f>IF(AQ623="1",BH623,0)</f>
        <v>0</v>
      </c>
      <c r="AC623" s="55">
        <f>IF(AQ623="1",BI623,0)</f>
        <v>0</v>
      </c>
      <c r="AD623" s="55">
        <f>IF(AQ623="7",BH623,0)</f>
        <v>0</v>
      </c>
      <c r="AE623" s="55">
        <f>IF(AQ623="7",BI623,0)</f>
        <v>0</v>
      </c>
      <c r="AF623" s="55">
        <f>IF(AQ623="2",BH623,0)</f>
        <v>0</v>
      </c>
      <c r="AG623" s="55">
        <f>IF(AQ623="2",BI623,0)</f>
        <v>0</v>
      </c>
      <c r="AH623" s="55">
        <f>IF(AQ623="0",BJ623,0)</f>
        <v>0</v>
      </c>
      <c r="AI623" s="33" t="s">
        <v>4</v>
      </c>
      <c r="AJ623" s="55">
        <f>IF(AN623=0,I623,0)</f>
        <v>0</v>
      </c>
      <c r="AK623" s="55">
        <f>IF(AN623=12,I623,0)</f>
        <v>0</v>
      </c>
      <c r="AL623" s="55">
        <f>IF(AN623=21,I623,0)</f>
        <v>0</v>
      </c>
      <c r="AN623" s="55">
        <v>21</v>
      </c>
      <c r="AO623" s="55">
        <f>H623*0.81302446</f>
        <v>0</v>
      </c>
      <c r="AP623" s="55">
        <f>H623*(1-0.81302446)</f>
        <v>0</v>
      </c>
      <c r="AQ623" s="58" t="s">
        <v>162</v>
      </c>
      <c r="AV623" s="55">
        <f>AW623+AX623</f>
        <v>0</v>
      </c>
      <c r="AW623" s="55">
        <f>G623*AO623</f>
        <v>0</v>
      </c>
      <c r="AX623" s="55">
        <f>G623*AP623</f>
        <v>0</v>
      </c>
      <c r="AY623" s="58" t="s">
        <v>767</v>
      </c>
      <c r="AZ623" s="58" t="s">
        <v>745</v>
      </c>
      <c r="BA623" s="33" t="s">
        <v>125</v>
      </c>
      <c r="BB623" s="59">
        <v>100032</v>
      </c>
      <c r="BC623" s="55">
        <f>AW623+AX623</f>
        <v>0</v>
      </c>
      <c r="BD623" s="55">
        <f>H623/(100-BE623)*100</f>
        <v>0</v>
      </c>
      <c r="BE623" s="55">
        <v>0</v>
      </c>
      <c r="BF623" s="55">
        <f>L623</f>
        <v>0.22559999999999999</v>
      </c>
      <c r="BH623" s="55">
        <f>G623*AO623</f>
        <v>0</v>
      </c>
      <c r="BI623" s="55">
        <f>G623*AP623</f>
        <v>0</v>
      </c>
      <c r="BJ623" s="55">
        <f>G623*H623</f>
        <v>0</v>
      </c>
      <c r="BK623" s="55"/>
      <c r="BL623" s="55">
        <v>766</v>
      </c>
      <c r="BW623" s="55">
        <v>21</v>
      </c>
      <c r="BX623" s="3" t="s">
        <v>822</v>
      </c>
    </row>
    <row r="624" spans="1:76" ht="13.5" customHeight="1">
      <c r="A624" s="60"/>
      <c r="D624" s="634" t="s">
        <v>823</v>
      </c>
      <c r="E624" s="635"/>
      <c r="F624" s="635"/>
      <c r="G624" s="635"/>
      <c r="H624" s="636"/>
      <c r="I624" s="635"/>
      <c r="J624" s="635"/>
      <c r="K624" s="635"/>
      <c r="L624" s="635"/>
      <c r="M624" s="637"/>
    </row>
    <row r="625" spans="1:76">
      <c r="A625" s="60"/>
      <c r="D625" s="61" t="s">
        <v>118</v>
      </c>
      <c r="E625" s="61" t="s">
        <v>4</v>
      </c>
      <c r="G625" s="62">
        <v>1</v>
      </c>
      <c r="M625" s="63"/>
    </row>
    <row r="626" spans="1:76">
      <c r="A626" s="66" t="s">
        <v>824</v>
      </c>
      <c r="B626" s="67" t="s">
        <v>4</v>
      </c>
      <c r="C626" s="67" t="s">
        <v>825</v>
      </c>
      <c r="D626" s="622" t="s">
        <v>826</v>
      </c>
      <c r="E626" s="623"/>
      <c r="F626" s="67" t="s">
        <v>145</v>
      </c>
      <c r="G626" s="69">
        <v>1</v>
      </c>
      <c r="H626" s="70">
        <v>0</v>
      </c>
      <c r="I626" s="69">
        <f>G626*H626</f>
        <v>0</v>
      </c>
      <c r="J626" s="69">
        <v>0</v>
      </c>
      <c r="K626" s="69">
        <v>7.0000000000000007E-2</v>
      </c>
      <c r="L626" s="69">
        <f>G626*K626</f>
        <v>7.0000000000000007E-2</v>
      </c>
      <c r="M626" s="71" t="s">
        <v>122</v>
      </c>
      <c r="Z626" s="55">
        <f>IF(AQ626="5",BJ626,0)</f>
        <v>0</v>
      </c>
      <c r="AB626" s="55">
        <f>IF(AQ626="1",BH626,0)</f>
        <v>0</v>
      </c>
      <c r="AC626" s="55">
        <f>IF(AQ626="1",BI626,0)</f>
        <v>0</v>
      </c>
      <c r="AD626" s="55">
        <f>IF(AQ626="7",BH626,0)</f>
        <v>0</v>
      </c>
      <c r="AE626" s="55">
        <f>IF(AQ626="7",BI626,0)</f>
        <v>0</v>
      </c>
      <c r="AF626" s="55">
        <f>IF(AQ626="2",BH626,0)</f>
        <v>0</v>
      </c>
      <c r="AG626" s="55">
        <f>IF(AQ626="2",BI626,0)</f>
        <v>0</v>
      </c>
      <c r="AH626" s="55">
        <f>IF(AQ626="0",BJ626,0)</f>
        <v>0</v>
      </c>
      <c r="AI626" s="33" t="s">
        <v>4</v>
      </c>
      <c r="AJ626" s="69">
        <f>IF(AN626=0,I626,0)</f>
        <v>0</v>
      </c>
      <c r="AK626" s="69">
        <f>IF(AN626=12,I626,0)</f>
        <v>0</v>
      </c>
      <c r="AL626" s="69">
        <f>IF(AN626=21,I626,0)</f>
        <v>0</v>
      </c>
      <c r="AN626" s="55">
        <v>21</v>
      </c>
      <c r="AO626" s="55">
        <f>H626*1</f>
        <v>0</v>
      </c>
      <c r="AP626" s="55">
        <f>H626*(1-1)</f>
        <v>0</v>
      </c>
      <c r="AQ626" s="72" t="s">
        <v>162</v>
      </c>
      <c r="AV626" s="55">
        <f>AW626+AX626</f>
        <v>0</v>
      </c>
      <c r="AW626" s="55">
        <f>G626*AO626</f>
        <v>0</v>
      </c>
      <c r="AX626" s="55">
        <f>G626*AP626</f>
        <v>0</v>
      </c>
      <c r="AY626" s="58" t="s">
        <v>767</v>
      </c>
      <c r="AZ626" s="58" t="s">
        <v>745</v>
      </c>
      <c r="BA626" s="33" t="s">
        <v>125</v>
      </c>
      <c r="BC626" s="55">
        <f>AW626+AX626</f>
        <v>0</v>
      </c>
      <c r="BD626" s="55">
        <f>H626/(100-BE626)*100</f>
        <v>0</v>
      </c>
      <c r="BE626" s="55">
        <v>0</v>
      </c>
      <c r="BF626" s="55">
        <f>L626</f>
        <v>7.0000000000000007E-2</v>
      </c>
      <c r="BH626" s="69">
        <f>G626*AO626</f>
        <v>0</v>
      </c>
      <c r="BI626" s="69">
        <f>G626*AP626</f>
        <v>0</v>
      </c>
      <c r="BJ626" s="69">
        <f>G626*H626</f>
        <v>0</v>
      </c>
      <c r="BK626" s="69"/>
      <c r="BL626" s="55">
        <v>766</v>
      </c>
      <c r="BW626" s="55">
        <v>21</v>
      </c>
      <c r="BX626" s="68" t="s">
        <v>826</v>
      </c>
    </row>
    <row r="627" spans="1:76">
      <c r="A627" s="60"/>
      <c r="D627" s="61" t="s">
        <v>118</v>
      </c>
      <c r="E627" s="61" t="s">
        <v>4</v>
      </c>
      <c r="G627" s="62">
        <v>1</v>
      </c>
      <c r="M627" s="63"/>
    </row>
    <row r="628" spans="1:76">
      <c r="A628" s="66" t="s">
        <v>827</v>
      </c>
      <c r="B628" s="67" t="s">
        <v>4</v>
      </c>
      <c r="C628" s="67" t="s">
        <v>810</v>
      </c>
      <c r="D628" s="622" t="s">
        <v>811</v>
      </c>
      <c r="E628" s="623"/>
      <c r="F628" s="67" t="s">
        <v>145</v>
      </c>
      <c r="G628" s="69">
        <v>1</v>
      </c>
      <c r="H628" s="70">
        <v>0</v>
      </c>
      <c r="I628" s="69">
        <f>G628*H628</f>
        <v>0</v>
      </c>
      <c r="J628" s="69">
        <v>0</v>
      </c>
      <c r="K628" s="69">
        <v>3.0999999999999999E-3</v>
      </c>
      <c r="L628" s="69">
        <f>G628*K628</f>
        <v>3.0999999999999999E-3</v>
      </c>
      <c r="M628" s="71" t="s">
        <v>122</v>
      </c>
      <c r="Z628" s="55">
        <f>IF(AQ628="5",BJ628,0)</f>
        <v>0</v>
      </c>
      <c r="AB628" s="55">
        <f>IF(AQ628="1",BH628,0)</f>
        <v>0</v>
      </c>
      <c r="AC628" s="55">
        <f>IF(AQ628="1",BI628,0)</f>
        <v>0</v>
      </c>
      <c r="AD628" s="55">
        <f>IF(AQ628="7",BH628,0)</f>
        <v>0</v>
      </c>
      <c r="AE628" s="55">
        <f>IF(AQ628="7",BI628,0)</f>
        <v>0</v>
      </c>
      <c r="AF628" s="55">
        <f>IF(AQ628="2",BH628,0)</f>
        <v>0</v>
      </c>
      <c r="AG628" s="55">
        <f>IF(AQ628="2",BI628,0)</f>
        <v>0</v>
      </c>
      <c r="AH628" s="55">
        <f>IF(AQ628="0",BJ628,0)</f>
        <v>0</v>
      </c>
      <c r="AI628" s="33" t="s">
        <v>4</v>
      </c>
      <c r="AJ628" s="69">
        <f>IF(AN628=0,I628,0)</f>
        <v>0</v>
      </c>
      <c r="AK628" s="69">
        <f>IF(AN628=12,I628,0)</f>
        <v>0</v>
      </c>
      <c r="AL628" s="69">
        <f>IF(AN628=21,I628,0)</f>
        <v>0</v>
      </c>
      <c r="AN628" s="55">
        <v>21</v>
      </c>
      <c r="AO628" s="55">
        <f>H628*1</f>
        <v>0</v>
      </c>
      <c r="AP628" s="55">
        <f>H628*(1-1)</f>
        <v>0</v>
      </c>
      <c r="AQ628" s="72" t="s">
        <v>162</v>
      </c>
      <c r="AV628" s="55">
        <f>AW628+AX628</f>
        <v>0</v>
      </c>
      <c r="AW628" s="55">
        <f>G628*AO628</f>
        <v>0</v>
      </c>
      <c r="AX628" s="55">
        <f>G628*AP628</f>
        <v>0</v>
      </c>
      <c r="AY628" s="58" t="s">
        <v>767</v>
      </c>
      <c r="AZ628" s="58" t="s">
        <v>745</v>
      </c>
      <c r="BA628" s="33" t="s">
        <v>125</v>
      </c>
      <c r="BC628" s="55">
        <f>AW628+AX628</f>
        <v>0</v>
      </c>
      <c r="BD628" s="55">
        <f>H628/(100-BE628)*100</f>
        <v>0</v>
      </c>
      <c r="BE628" s="55">
        <v>0</v>
      </c>
      <c r="BF628" s="55">
        <f>L628</f>
        <v>3.0999999999999999E-3</v>
      </c>
      <c r="BH628" s="69">
        <f>G628*AO628</f>
        <v>0</v>
      </c>
      <c r="BI628" s="69">
        <f>G628*AP628</f>
        <v>0</v>
      </c>
      <c r="BJ628" s="69">
        <f>G628*H628</f>
        <v>0</v>
      </c>
      <c r="BK628" s="69"/>
      <c r="BL628" s="55">
        <v>766</v>
      </c>
      <c r="BW628" s="55">
        <v>21</v>
      </c>
      <c r="BX628" s="68" t="s">
        <v>811</v>
      </c>
    </row>
    <row r="629" spans="1:76">
      <c r="A629" s="60"/>
      <c r="D629" s="61" t="s">
        <v>118</v>
      </c>
      <c r="E629" s="61" t="s">
        <v>4</v>
      </c>
      <c r="G629" s="62">
        <v>1</v>
      </c>
      <c r="M629" s="63"/>
    </row>
    <row r="630" spans="1:76">
      <c r="A630" s="66" t="s">
        <v>828</v>
      </c>
      <c r="B630" s="67" t="s">
        <v>4</v>
      </c>
      <c r="C630" s="67" t="s">
        <v>803</v>
      </c>
      <c r="D630" s="622" t="s">
        <v>804</v>
      </c>
      <c r="E630" s="623"/>
      <c r="F630" s="67" t="s">
        <v>805</v>
      </c>
      <c r="G630" s="69">
        <v>1</v>
      </c>
      <c r="H630" s="70">
        <v>0</v>
      </c>
      <c r="I630" s="69">
        <f>G630*H630</f>
        <v>0</v>
      </c>
      <c r="J630" s="69">
        <v>0</v>
      </c>
      <c r="K630" s="69">
        <v>1.4999999999999999E-2</v>
      </c>
      <c r="L630" s="69">
        <f>G630*K630</f>
        <v>1.4999999999999999E-2</v>
      </c>
      <c r="M630" s="71" t="s">
        <v>4</v>
      </c>
      <c r="Z630" s="55">
        <f>IF(AQ630="5",BJ630,0)</f>
        <v>0</v>
      </c>
      <c r="AB630" s="55">
        <f>IF(AQ630="1",BH630,0)</f>
        <v>0</v>
      </c>
      <c r="AC630" s="55">
        <f>IF(AQ630="1",BI630,0)</f>
        <v>0</v>
      </c>
      <c r="AD630" s="55">
        <f>IF(AQ630="7",BH630,0)</f>
        <v>0</v>
      </c>
      <c r="AE630" s="55">
        <f>IF(AQ630="7",BI630,0)</f>
        <v>0</v>
      </c>
      <c r="AF630" s="55">
        <f>IF(AQ630="2",BH630,0)</f>
        <v>0</v>
      </c>
      <c r="AG630" s="55">
        <f>IF(AQ630="2",BI630,0)</f>
        <v>0</v>
      </c>
      <c r="AH630" s="55">
        <f>IF(AQ630="0",BJ630,0)</f>
        <v>0</v>
      </c>
      <c r="AI630" s="33" t="s">
        <v>4</v>
      </c>
      <c r="AJ630" s="69">
        <f>IF(AN630=0,I630,0)</f>
        <v>0</v>
      </c>
      <c r="AK630" s="69">
        <f>IF(AN630=12,I630,0)</f>
        <v>0</v>
      </c>
      <c r="AL630" s="69">
        <f>IF(AN630=21,I630,0)</f>
        <v>0</v>
      </c>
      <c r="AN630" s="55">
        <v>21</v>
      </c>
      <c r="AO630" s="55">
        <f>H630*1</f>
        <v>0</v>
      </c>
      <c r="AP630" s="55">
        <f>H630*(1-1)</f>
        <v>0</v>
      </c>
      <c r="AQ630" s="72" t="s">
        <v>162</v>
      </c>
      <c r="AV630" s="55">
        <f>AW630+AX630</f>
        <v>0</v>
      </c>
      <c r="AW630" s="55">
        <f>G630*AO630</f>
        <v>0</v>
      </c>
      <c r="AX630" s="55">
        <f>G630*AP630</f>
        <v>0</v>
      </c>
      <c r="AY630" s="58" t="s">
        <v>767</v>
      </c>
      <c r="AZ630" s="58" t="s">
        <v>745</v>
      </c>
      <c r="BA630" s="33" t="s">
        <v>125</v>
      </c>
      <c r="BC630" s="55">
        <f>AW630+AX630</f>
        <v>0</v>
      </c>
      <c r="BD630" s="55">
        <f>H630/(100-BE630)*100</f>
        <v>0</v>
      </c>
      <c r="BE630" s="55">
        <v>0</v>
      </c>
      <c r="BF630" s="55">
        <f>L630</f>
        <v>1.4999999999999999E-2</v>
      </c>
      <c r="BH630" s="69">
        <f>G630*AO630</f>
        <v>0</v>
      </c>
      <c r="BI630" s="69">
        <f>G630*AP630</f>
        <v>0</v>
      </c>
      <c r="BJ630" s="69">
        <f>G630*H630</f>
        <v>0</v>
      </c>
      <c r="BK630" s="69"/>
      <c r="BL630" s="55">
        <v>766</v>
      </c>
      <c r="BW630" s="55">
        <v>21</v>
      </c>
      <c r="BX630" s="68" t="s">
        <v>804</v>
      </c>
    </row>
    <row r="631" spans="1:76">
      <c r="A631" s="60"/>
      <c r="D631" s="61" t="s">
        <v>118</v>
      </c>
      <c r="E631" s="61" t="s">
        <v>4</v>
      </c>
      <c r="G631" s="62">
        <v>1</v>
      </c>
      <c r="M631" s="63"/>
    </row>
    <row r="632" spans="1:76">
      <c r="A632" s="1" t="s">
        <v>829</v>
      </c>
      <c r="B632" s="2" t="s">
        <v>4</v>
      </c>
      <c r="C632" s="2" t="s">
        <v>830</v>
      </c>
      <c r="D632" s="549" t="s">
        <v>831</v>
      </c>
      <c r="E632" s="546"/>
      <c r="F632" s="2" t="s">
        <v>145</v>
      </c>
      <c r="G632" s="55">
        <v>1</v>
      </c>
      <c r="H632" s="56">
        <v>0</v>
      </c>
      <c r="I632" s="55">
        <f>G632*H632</f>
        <v>0</v>
      </c>
      <c r="J632" s="55">
        <v>0</v>
      </c>
      <c r="K632" s="55">
        <v>1.519E-2</v>
      </c>
      <c r="L632" s="55">
        <f>G632*K632</f>
        <v>1.519E-2</v>
      </c>
      <c r="M632" s="57" t="s">
        <v>122</v>
      </c>
      <c r="Z632" s="55">
        <f>IF(AQ632="5",BJ632,0)</f>
        <v>0</v>
      </c>
      <c r="AB632" s="55">
        <f>IF(AQ632="1",BH632,0)</f>
        <v>0</v>
      </c>
      <c r="AC632" s="55">
        <f>IF(AQ632="1",BI632,0)</f>
        <v>0</v>
      </c>
      <c r="AD632" s="55">
        <f>IF(AQ632="7",BH632,0)</f>
        <v>0</v>
      </c>
      <c r="AE632" s="55">
        <f>IF(AQ632="7",BI632,0)</f>
        <v>0</v>
      </c>
      <c r="AF632" s="55">
        <f>IF(AQ632="2",BH632,0)</f>
        <v>0</v>
      </c>
      <c r="AG632" s="55">
        <f>IF(AQ632="2",BI632,0)</f>
        <v>0</v>
      </c>
      <c r="AH632" s="55">
        <f>IF(AQ632="0",BJ632,0)</f>
        <v>0</v>
      </c>
      <c r="AI632" s="33" t="s">
        <v>4</v>
      </c>
      <c r="AJ632" s="55">
        <f>IF(AN632=0,I632,0)</f>
        <v>0</v>
      </c>
      <c r="AK632" s="55">
        <f>IF(AN632=12,I632,0)</f>
        <v>0</v>
      </c>
      <c r="AL632" s="55">
        <f>IF(AN632=21,I632,0)</f>
        <v>0</v>
      </c>
      <c r="AN632" s="55">
        <v>21</v>
      </c>
      <c r="AO632" s="55">
        <f>H632*0.7543</f>
        <v>0</v>
      </c>
      <c r="AP632" s="55">
        <f>H632*(1-0.7543)</f>
        <v>0</v>
      </c>
      <c r="AQ632" s="58" t="s">
        <v>162</v>
      </c>
      <c r="AV632" s="55">
        <f>AW632+AX632</f>
        <v>0</v>
      </c>
      <c r="AW632" s="55">
        <f>G632*AO632</f>
        <v>0</v>
      </c>
      <c r="AX632" s="55">
        <f>G632*AP632</f>
        <v>0</v>
      </c>
      <c r="AY632" s="58" t="s">
        <v>767</v>
      </c>
      <c r="AZ632" s="58" t="s">
        <v>745</v>
      </c>
      <c r="BA632" s="33" t="s">
        <v>125</v>
      </c>
      <c r="BB632" s="59">
        <v>100032</v>
      </c>
      <c r="BC632" s="55">
        <f>AW632+AX632</f>
        <v>0</v>
      </c>
      <c r="BD632" s="55">
        <f>H632/(100-BE632)*100</f>
        <v>0</v>
      </c>
      <c r="BE632" s="55">
        <v>0</v>
      </c>
      <c r="BF632" s="55">
        <f>L632</f>
        <v>1.519E-2</v>
      </c>
      <c r="BH632" s="55">
        <f>G632*AO632</f>
        <v>0</v>
      </c>
      <c r="BI632" s="55">
        <f>G632*AP632</f>
        <v>0</v>
      </c>
      <c r="BJ632" s="55">
        <f>G632*H632</f>
        <v>0</v>
      </c>
      <c r="BK632" s="55"/>
      <c r="BL632" s="55">
        <v>766</v>
      </c>
      <c r="BW632" s="55">
        <v>21</v>
      </c>
      <c r="BX632" s="3" t="s">
        <v>831</v>
      </c>
    </row>
    <row r="633" spans="1:76">
      <c r="A633" s="60"/>
      <c r="D633" s="61" t="s">
        <v>118</v>
      </c>
      <c r="E633" s="61" t="s">
        <v>4</v>
      </c>
      <c r="G633" s="62">
        <v>1</v>
      </c>
      <c r="M633" s="63"/>
    </row>
    <row r="634" spans="1:76">
      <c r="A634" s="1" t="s">
        <v>832</v>
      </c>
      <c r="B634" s="2" t="s">
        <v>4</v>
      </c>
      <c r="C634" s="2" t="s">
        <v>833</v>
      </c>
      <c r="D634" s="549" t="s">
        <v>834</v>
      </c>
      <c r="E634" s="546"/>
      <c r="F634" s="2" t="s">
        <v>835</v>
      </c>
      <c r="G634" s="55">
        <v>24</v>
      </c>
      <c r="H634" s="56">
        <v>0</v>
      </c>
      <c r="I634" s="55">
        <f>G634*H634</f>
        <v>0</v>
      </c>
      <c r="J634" s="55">
        <v>0</v>
      </c>
      <c r="K634" s="55">
        <v>1.15E-3</v>
      </c>
      <c r="L634" s="55">
        <f>G634*K634</f>
        <v>2.76E-2</v>
      </c>
      <c r="M634" s="57" t="s">
        <v>122</v>
      </c>
      <c r="Z634" s="55">
        <f>IF(AQ634="5",BJ634,0)</f>
        <v>0</v>
      </c>
      <c r="AB634" s="55">
        <f>IF(AQ634="1",BH634,0)</f>
        <v>0</v>
      </c>
      <c r="AC634" s="55">
        <f>IF(AQ634="1",BI634,0)</f>
        <v>0</v>
      </c>
      <c r="AD634" s="55">
        <f>IF(AQ634="7",BH634,0)</f>
        <v>0</v>
      </c>
      <c r="AE634" s="55">
        <f>IF(AQ634="7",BI634,0)</f>
        <v>0</v>
      </c>
      <c r="AF634" s="55">
        <f>IF(AQ634="2",BH634,0)</f>
        <v>0</v>
      </c>
      <c r="AG634" s="55">
        <f>IF(AQ634="2",BI634,0)</f>
        <v>0</v>
      </c>
      <c r="AH634" s="55">
        <f>IF(AQ634="0",BJ634,0)</f>
        <v>0</v>
      </c>
      <c r="AI634" s="33" t="s">
        <v>4</v>
      </c>
      <c r="AJ634" s="55">
        <f>IF(AN634=0,I634,0)</f>
        <v>0</v>
      </c>
      <c r="AK634" s="55">
        <f>IF(AN634=12,I634,0)</f>
        <v>0</v>
      </c>
      <c r="AL634" s="55">
        <f>IF(AN634=21,I634,0)</f>
        <v>0</v>
      </c>
      <c r="AN634" s="55">
        <v>21</v>
      </c>
      <c r="AO634" s="55">
        <f>H634*0.648391266</f>
        <v>0</v>
      </c>
      <c r="AP634" s="55">
        <f>H634*(1-0.648391266)</f>
        <v>0</v>
      </c>
      <c r="AQ634" s="58" t="s">
        <v>162</v>
      </c>
      <c r="AV634" s="55">
        <f>AW634+AX634</f>
        <v>0</v>
      </c>
      <c r="AW634" s="55">
        <f>G634*AO634</f>
        <v>0</v>
      </c>
      <c r="AX634" s="55">
        <f>G634*AP634</f>
        <v>0</v>
      </c>
      <c r="AY634" s="58" t="s">
        <v>767</v>
      </c>
      <c r="AZ634" s="58" t="s">
        <v>745</v>
      </c>
      <c r="BA634" s="33" t="s">
        <v>125</v>
      </c>
      <c r="BB634" s="59">
        <v>100032</v>
      </c>
      <c r="BC634" s="55">
        <f>AW634+AX634</f>
        <v>0</v>
      </c>
      <c r="BD634" s="55">
        <f>H634/(100-BE634)*100</f>
        <v>0</v>
      </c>
      <c r="BE634" s="55">
        <v>0</v>
      </c>
      <c r="BF634" s="55">
        <f>L634</f>
        <v>2.76E-2</v>
      </c>
      <c r="BH634" s="55">
        <f>G634*AO634</f>
        <v>0</v>
      </c>
      <c r="BI634" s="55">
        <f>G634*AP634</f>
        <v>0</v>
      </c>
      <c r="BJ634" s="55">
        <f>G634*H634</f>
        <v>0</v>
      </c>
      <c r="BK634" s="55"/>
      <c r="BL634" s="55">
        <v>766</v>
      </c>
      <c r="BW634" s="55">
        <v>21</v>
      </c>
      <c r="BX634" s="3" t="s">
        <v>834</v>
      </c>
    </row>
    <row r="635" spans="1:76">
      <c r="A635" s="60"/>
      <c r="D635" s="61" t="s">
        <v>389</v>
      </c>
      <c r="E635" s="61" t="s">
        <v>4</v>
      </c>
      <c r="G635" s="62">
        <v>24</v>
      </c>
      <c r="M635" s="63"/>
    </row>
    <row r="636" spans="1:76">
      <c r="A636" s="66" t="s">
        <v>836</v>
      </c>
      <c r="B636" s="67" t="s">
        <v>4</v>
      </c>
      <c r="C636" s="67" t="s">
        <v>837</v>
      </c>
      <c r="D636" s="622" t="s">
        <v>838</v>
      </c>
      <c r="E636" s="623"/>
      <c r="F636" s="67" t="s">
        <v>839</v>
      </c>
      <c r="G636" s="69">
        <v>1</v>
      </c>
      <c r="H636" s="70">
        <v>0</v>
      </c>
      <c r="I636" s="69">
        <f>G636*H636</f>
        <v>0</v>
      </c>
      <c r="J636" s="69">
        <v>0</v>
      </c>
      <c r="K636" s="69">
        <v>0</v>
      </c>
      <c r="L636" s="69">
        <f>G636*K636</f>
        <v>0</v>
      </c>
      <c r="M636" s="71" t="s">
        <v>122</v>
      </c>
      <c r="Z636" s="55">
        <f>IF(AQ636="5",BJ636,0)</f>
        <v>0</v>
      </c>
      <c r="AB636" s="55">
        <f>IF(AQ636="1",BH636,0)</f>
        <v>0</v>
      </c>
      <c r="AC636" s="55">
        <f>IF(AQ636="1",BI636,0)</f>
        <v>0</v>
      </c>
      <c r="AD636" s="55">
        <f>IF(AQ636="7",BH636,0)</f>
        <v>0</v>
      </c>
      <c r="AE636" s="55">
        <f>IF(AQ636="7",BI636,0)</f>
        <v>0</v>
      </c>
      <c r="AF636" s="55">
        <f>IF(AQ636="2",BH636,0)</f>
        <v>0</v>
      </c>
      <c r="AG636" s="55">
        <f>IF(AQ636="2",BI636,0)</f>
        <v>0</v>
      </c>
      <c r="AH636" s="55">
        <f>IF(AQ636="0",BJ636,0)</f>
        <v>0</v>
      </c>
      <c r="AI636" s="33" t="s">
        <v>4</v>
      </c>
      <c r="AJ636" s="69">
        <f>IF(AN636=0,I636,0)</f>
        <v>0</v>
      </c>
      <c r="AK636" s="69">
        <f>IF(AN636=12,I636,0)</f>
        <v>0</v>
      </c>
      <c r="AL636" s="69">
        <f>IF(AN636=21,I636,0)</f>
        <v>0</v>
      </c>
      <c r="AN636" s="55">
        <v>21</v>
      </c>
      <c r="AO636" s="55">
        <f>H636*1</f>
        <v>0</v>
      </c>
      <c r="AP636" s="55">
        <f>H636*(1-1)</f>
        <v>0</v>
      </c>
      <c r="AQ636" s="72" t="s">
        <v>162</v>
      </c>
      <c r="AV636" s="55">
        <f>AW636+AX636</f>
        <v>0</v>
      </c>
      <c r="AW636" s="55">
        <f>G636*AO636</f>
        <v>0</v>
      </c>
      <c r="AX636" s="55">
        <f>G636*AP636</f>
        <v>0</v>
      </c>
      <c r="AY636" s="58" t="s">
        <v>767</v>
      </c>
      <c r="AZ636" s="58" t="s">
        <v>745</v>
      </c>
      <c r="BA636" s="33" t="s">
        <v>125</v>
      </c>
      <c r="BC636" s="55">
        <f>AW636+AX636</f>
        <v>0</v>
      </c>
      <c r="BD636" s="55">
        <f>H636/(100-BE636)*100</f>
        <v>0</v>
      </c>
      <c r="BE636" s="55">
        <v>0</v>
      </c>
      <c r="BF636" s="55">
        <f>L636</f>
        <v>0</v>
      </c>
      <c r="BH636" s="69">
        <f>G636*AO636</f>
        <v>0</v>
      </c>
      <c r="BI636" s="69">
        <f>G636*AP636</f>
        <v>0</v>
      </c>
      <c r="BJ636" s="69">
        <f>G636*H636</f>
        <v>0</v>
      </c>
      <c r="BK636" s="69"/>
      <c r="BL636" s="55">
        <v>766</v>
      </c>
      <c r="BW636" s="55">
        <v>21</v>
      </c>
      <c r="BX636" s="68" t="s">
        <v>838</v>
      </c>
    </row>
    <row r="637" spans="1:76">
      <c r="A637" s="60"/>
      <c r="D637" s="61" t="s">
        <v>118</v>
      </c>
      <c r="E637" s="61" t="s">
        <v>4</v>
      </c>
      <c r="G637" s="62">
        <v>1</v>
      </c>
      <c r="M637" s="63"/>
    </row>
    <row r="638" spans="1:76">
      <c r="A638" s="1" t="s">
        <v>840</v>
      </c>
      <c r="B638" s="2" t="s">
        <v>4</v>
      </c>
      <c r="C638" s="2" t="s">
        <v>841</v>
      </c>
      <c r="D638" s="549" t="s">
        <v>842</v>
      </c>
      <c r="E638" s="546"/>
      <c r="F638" s="2" t="s">
        <v>132</v>
      </c>
      <c r="G638" s="55">
        <v>1.34985</v>
      </c>
      <c r="H638" s="56">
        <v>0</v>
      </c>
      <c r="I638" s="55">
        <f>G638*H638</f>
        <v>0</v>
      </c>
      <c r="J638" s="55">
        <v>0</v>
      </c>
      <c r="K638" s="55">
        <v>0</v>
      </c>
      <c r="L638" s="55">
        <f>G638*K638</f>
        <v>0</v>
      </c>
      <c r="M638" s="57" t="s">
        <v>122</v>
      </c>
      <c r="Z638" s="55">
        <f>IF(AQ638="5",BJ638,0)</f>
        <v>0</v>
      </c>
      <c r="AB638" s="55">
        <f>IF(AQ638="1",BH638,0)</f>
        <v>0</v>
      </c>
      <c r="AC638" s="55">
        <f>IF(AQ638="1",BI638,0)</f>
        <v>0</v>
      </c>
      <c r="AD638" s="55">
        <f>IF(AQ638="7",BH638,0)</f>
        <v>0</v>
      </c>
      <c r="AE638" s="55">
        <f>IF(AQ638="7",BI638,0)</f>
        <v>0</v>
      </c>
      <c r="AF638" s="55">
        <f>IF(AQ638="2",BH638,0)</f>
        <v>0</v>
      </c>
      <c r="AG638" s="55">
        <f>IF(AQ638="2",BI638,0)</f>
        <v>0</v>
      </c>
      <c r="AH638" s="55">
        <f>IF(AQ638="0",BJ638,0)</f>
        <v>0</v>
      </c>
      <c r="AI638" s="33" t="s">
        <v>4</v>
      </c>
      <c r="AJ638" s="55">
        <f>IF(AN638=0,I638,0)</f>
        <v>0</v>
      </c>
      <c r="AK638" s="55">
        <f>IF(AN638=12,I638,0)</f>
        <v>0</v>
      </c>
      <c r="AL638" s="55">
        <f>IF(AN638=21,I638,0)</f>
        <v>0</v>
      </c>
      <c r="AN638" s="55">
        <v>21</v>
      </c>
      <c r="AO638" s="55">
        <f>H638*0</f>
        <v>0</v>
      </c>
      <c r="AP638" s="55">
        <f>H638*(1-0)</f>
        <v>0</v>
      </c>
      <c r="AQ638" s="58" t="s">
        <v>139</v>
      </c>
      <c r="AV638" s="55">
        <f>AW638+AX638</f>
        <v>0</v>
      </c>
      <c r="AW638" s="55">
        <f>G638*AO638</f>
        <v>0</v>
      </c>
      <c r="AX638" s="55">
        <f>G638*AP638</f>
        <v>0</v>
      </c>
      <c r="AY638" s="58" t="s">
        <v>767</v>
      </c>
      <c r="AZ638" s="58" t="s">
        <v>745</v>
      </c>
      <c r="BA638" s="33" t="s">
        <v>125</v>
      </c>
      <c r="BB638" s="59">
        <v>100049</v>
      </c>
      <c r="BC638" s="55">
        <f>AW638+AX638</f>
        <v>0</v>
      </c>
      <c r="BD638" s="55">
        <f>H638/(100-BE638)*100</f>
        <v>0</v>
      </c>
      <c r="BE638" s="55">
        <v>0</v>
      </c>
      <c r="BF638" s="55">
        <f>L638</f>
        <v>0</v>
      </c>
      <c r="BH638" s="55">
        <f>G638*AO638</f>
        <v>0</v>
      </c>
      <c r="BI638" s="55">
        <f>G638*AP638</f>
        <v>0</v>
      </c>
      <c r="BJ638" s="55">
        <f>G638*H638</f>
        <v>0</v>
      </c>
      <c r="BK638" s="55"/>
      <c r="BL638" s="55">
        <v>766</v>
      </c>
      <c r="BW638" s="55">
        <v>21</v>
      </c>
      <c r="BX638" s="3" t="s">
        <v>842</v>
      </c>
    </row>
    <row r="639" spans="1:76">
      <c r="A639" s="50" t="s">
        <v>4</v>
      </c>
      <c r="B639" s="51" t="s">
        <v>4</v>
      </c>
      <c r="C639" s="51" t="s">
        <v>843</v>
      </c>
      <c r="D639" s="625" t="s">
        <v>844</v>
      </c>
      <c r="E639" s="626"/>
      <c r="F639" s="52" t="s">
        <v>79</v>
      </c>
      <c r="G639" s="52" t="s">
        <v>79</v>
      </c>
      <c r="H639" s="53" t="s">
        <v>79</v>
      </c>
      <c r="I639" s="26">
        <f>SUM(I640:I676)</f>
        <v>0</v>
      </c>
      <c r="J639" s="33" t="s">
        <v>4</v>
      </c>
      <c r="K639" s="33" t="s">
        <v>4</v>
      </c>
      <c r="L639" s="26">
        <f>SUM(L640:L676)</f>
        <v>4.5431500000000007</v>
      </c>
      <c r="M639" s="54" t="s">
        <v>4</v>
      </c>
      <c r="AI639" s="33" t="s">
        <v>4</v>
      </c>
      <c r="AS639" s="26">
        <f>SUM(AJ640:AJ676)</f>
        <v>0</v>
      </c>
      <c r="AT639" s="26">
        <f>SUM(AK640:AK676)</f>
        <v>0</v>
      </c>
      <c r="AU639" s="26">
        <f>SUM(AL640:AL676)</f>
        <v>0</v>
      </c>
    </row>
    <row r="640" spans="1:76">
      <c r="A640" s="1" t="s">
        <v>845</v>
      </c>
      <c r="B640" s="2" t="s">
        <v>4</v>
      </c>
      <c r="C640" s="2" t="s">
        <v>846</v>
      </c>
      <c r="D640" s="549" t="s">
        <v>847</v>
      </c>
      <c r="E640" s="546"/>
      <c r="F640" s="2" t="s">
        <v>157</v>
      </c>
      <c r="G640" s="55">
        <v>517.41999999999996</v>
      </c>
      <c r="H640" s="56">
        <v>0</v>
      </c>
      <c r="I640" s="55">
        <f>G640*H640</f>
        <v>0</v>
      </c>
      <c r="J640" s="55">
        <v>0</v>
      </c>
      <c r="K640" s="55">
        <v>7.0000000000000001E-3</v>
      </c>
      <c r="L640" s="55">
        <f>G640*K640</f>
        <v>3.6219399999999999</v>
      </c>
      <c r="M640" s="57" t="s">
        <v>122</v>
      </c>
      <c r="Z640" s="55">
        <f>IF(AQ640="5",BJ640,0)</f>
        <v>0</v>
      </c>
      <c r="AB640" s="55">
        <f>IF(AQ640="1",BH640,0)</f>
        <v>0</v>
      </c>
      <c r="AC640" s="55">
        <f>IF(AQ640="1",BI640,0)</f>
        <v>0</v>
      </c>
      <c r="AD640" s="55">
        <f>IF(AQ640="7",BH640,0)</f>
        <v>0</v>
      </c>
      <c r="AE640" s="55">
        <f>IF(AQ640="7",BI640,0)</f>
        <v>0</v>
      </c>
      <c r="AF640" s="55">
        <f>IF(AQ640="2",BH640,0)</f>
        <v>0</v>
      </c>
      <c r="AG640" s="55">
        <f>IF(AQ640="2",BI640,0)</f>
        <v>0</v>
      </c>
      <c r="AH640" s="55">
        <f>IF(AQ640="0",BJ640,0)</f>
        <v>0</v>
      </c>
      <c r="AI640" s="33" t="s">
        <v>4</v>
      </c>
      <c r="AJ640" s="55">
        <f>IF(AN640=0,I640,0)</f>
        <v>0</v>
      </c>
      <c r="AK640" s="55">
        <f>IF(AN640=12,I640,0)</f>
        <v>0</v>
      </c>
      <c r="AL640" s="55">
        <f>IF(AN640=21,I640,0)</f>
        <v>0</v>
      </c>
      <c r="AN640" s="55">
        <v>21</v>
      </c>
      <c r="AO640" s="55">
        <f>H640*0.622219015</f>
        <v>0</v>
      </c>
      <c r="AP640" s="55">
        <f>H640*(1-0.622219015)</f>
        <v>0</v>
      </c>
      <c r="AQ640" s="58" t="s">
        <v>162</v>
      </c>
      <c r="AV640" s="55">
        <f>AW640+AX640</f>
        <v>0</v>
      </c>
      <c r="AW640" s="55">
        <f>G640*AO640</f>
        <v>0</v>
      </c>
      <c r="AX640" s="55">
        <f>G640*AP640</f>
        <v>0</v>
      </c>
      <c r="AY640" s="58" t="s">
        <v>848</v>
      </c>
      <c r="AZ640" s="58" t="s">
        <v>745</v>
      </c>
      <c r="BA640" s="33" t="s">
        <v>125</v>
      </c>
      <c r="BB640" s="59">
        <v>100001</v>
      </c>
      <c r="BC640" s="55">
        <f>AW640+AX640</f>
        <v>0</v>
      </c>
      <c r="BD640" s="55">
        <f>H640/(100-BE640)*100</f>
        <v>0</v>
      </c>
      <c r="BE640" s="55">
        <v>0</v>
      </c>
      <c r="BF640" s="55">
        <f>L640</f>
        <v>3.6219399999999999</v>
      </c>
      <c r="BH640" s="55">
        <f>G640*AO640</f>
        <v>0</v>
      </c>
      <c r="BI640" s="55">
        <f>G640*AP640</f>
        <v>0</v>
      </c>
      <c r="BJ640" s="55">
        <f>G640*H640</f>
        <v>0</v>
      </c>
      <c r="BK640" s="55"/>
      <c r="BL640" s="55">
        <v>767</v>
      </c>
      <c r="BW640" s="55">
        <v>21</v>
      </c>
      <c r="BX640" s="3" t="s">
        <v>847</v>
      </c>
    </row>
    <row r="641" spans="1:13">
      <c r="A641" s="60"/>
      <c r="D641" s="61" t="s">
        <v>500</v>
      </c>
      <c r="E641" s="61" t="s">
        <v>501</v>
      </c>
      <c r="G641" s="62">
        <v>15.79</v>
      </c>
      <c r="M641" s="63"/>
    </row>
    <row r="642" spans="1:13">
      <c r="A642" s="60"/>
      <c r="D642" s="61" t="s">
        <v>502</v>
      </c>
      <c r="E642" s="61" t="s">
        <v>503</v>
      </c>
      <c r="G642" s="62">
        <v>2.61</v>
      </c>
      <c r="M642" s="63"/>
    </row>
    <row r="643" spans="1:13">
      <c r="A643" s="60"/>
      <c r="D643" s="61" t="s">
        <v>504</v>
      </c>
      <c r="E643" s="61" t="s">
        <v>505</v>
      </c>
      <c r="G643" s="62">
        <v>1.89</v>
      </c>
      <c r="M643" s="63"/>
    </row>
    <row r="644" spans="1:13">
      <c r="A644" s="60"/>
      <c r="D644" s="61" t="s">
        <v>506</v>
      </c>
      <c r="E644" s="61" t="s">
        <v>507</v>
      </c>
      <c r="G644" s="62">
        <v>5.2</v>
      </c>
      <c r="M644" s="63"/>
    </row>
    <row r="645" spans="1:13">
      <c r="A645" s="60"/>
      <c r="D645" s="61" t="s">
        <v>532</v>
      </c>
      <c r="E645" s="61" t="s">
        <v>533</v>
      </c>
      <c r="G645" s="62">
        <v>22.2</v>
      </c>
      <c r="M645" s="63"/>
    </row>
    <row r="646" spans="1:13">
      <c r="A646" s="60"/>
      <c r="D646" s="61" t="s">
        <v>534</v>
      </c>
      <c r="E646" s="61" t="s">
        <v>535</v>
      </c>
      <c r="G646" s="62">
        <v>21.64</v>
      </c>
      <c r="M646" s="63"/>
    </row>
    <row r="647" spans="1:13">
      <c r="A647" s="60"/>
      <c r="D647" s="61" t="s">
        <v>508</v>
      </c>
      <c r="E647" s="61" t="s">
        <v>509</v>
      </c>
      <c r="G647" s="62">
        <v>4.7300000000000004</v>
      </c>
      <c r="M647" s="63"/>
    </row>
    <row r="648" spans="1:13">
      <c r="A648" s="60"/>
      <c r="D648" s="61" t="s">
        <v>510</v>
      </c>
      <c r="E648" s="61" t="s">
        <v>511</v>
      </c>
      <c r="G648" s="62">
        <v>4.42</v>
      </c>
      <c r="M648" s="63"/>
    </row>
    <row r="649" spans="1:13">
      <c r="A649" s="60"/>
      <c r="D649" s="61" t="s">
        <v>536</v>
      </c>
      <c r="E649" s="61" t="s">
        <v>537</v>
      </c>
      <c r="G649" s="62">
        <v>20.81</v>
      </c>
      <c r="M649" s="63"/>
    </row>
    <row r="650" spans="1:13">
      <c r="A650" s="60"/>
      <c r="D650" s="61" t="s">
        <v>538</v>
      </c>
      <c r="E650" s="61" t="s">
        <v>539</v>
      </c>
      <c r="G650" s="62">
        <v>21.75</v>
      </c>
      <c r="M650" s="63"/>
    </row>
    <row r="651" spans="1:13">
      <c r="A651" s="60"/>
      <c r="D651" s="61" t="s">
        <v>512</v>
      </c>
      <c r="E651" s="61" t="s">
        <v>513</v>
      </c>
      <c r="G651" s="62">
        <v>5.34</v>
      </c>
      <c r="M651" s="63"/>
    </row>
    <row r="652" spans="1:13">
      <c r="A652" s="60"/>
      <c r="D652" s="61" t="s">
        <v>514</v>
      </c>
      <c r="E652" s="61" t="s">
        <v>515</v>
      </c>
      <c r="G652" s="62">
        <v>5.21</v>
      </c>
      <c r="M652" s="63"/>
    </row>
    <row r="653" spans="1:13">
      <c r="A653" s="60"/>
      <c r="D653" s="61" t="s">
        <v>540</v>
      </c>
      <c r="E653" s="61" t="s">
        <v>541</v>
      </c>
      <c r="G653" s="62">
        <v>19.22</v>
      </c>
      <c r="M653" s="63"/>
    </row>
    <row r="654" spans="1:13">
      <c r="A654" s="60"/>
      <c r="D654" s="61" t="s">
        <v>542</v>
      </c>
      <c r="E654" s="61" t="s">
        <v>543</v>
      </c>
      <c r="G654" s="62">
        <v>20.36</v>
      </c>
      <c r="M654" s="63"/>
    </row>
    <row r="655" spans="1:13">
      <c r="A655" s="60"/>
      <c r="D655" s="61" t="s">
        <v>516</v>
      </c>
      <c r="E655" s="61" t="s">
        <v>517</v>
      </c>
      <c r="G655" s="62">
        <v>5.63</v>
      </c>
      <c r="M655" s="63"/>
    </row>
    <row r="656" spans="1:13">
      <c r="A656" s="60"/>
      <c r="D656" s="61" t="s">
        <v>544</v>
      </c>
      <c r="E656" s="61" t="s">
        <v>545</v>
      </c>
      <c r="G656" s="62">
        <v>7.3</v>
      </c>
      <c r="M656" s="63"/>
    </row>
    <row r="657" spans="1:76">
      <c r="A657" s="60"/>
      <c r="D657" s="61" t="s">
        <v>518</v>
      </c>
      <c r="E657" s="61" t="s">
        <v>519</v>
      </c>
      <c r="G657" s="62">
        <v>16.84</v>
      </c>
      <c r="M657" s="63"/>
    </row>
    <row r="658" spans="1:76">
      <c r="A658" s="60"/>
      <c r="D658" s="61" t="s">
        <v>546</v>
      </c>
      <c r="E658" s="61" t="s">
        <v>547</v>
      </c>
      <c r="G658" s="62">
        <v>29.33</v>
      </c>
      <c r="M658" s="63"/>
    </row>
    <row r="659" spans="1:76">
      <c r="A659" s="60"/>
      <c r="D659" s="61" t="s">
        <v>849</v>
      </c>
      <c r="E659" s="61" t="s">
        <v>308</v>
      </c>
      <c r="G659" s="62">
        <v>5.51</v>
      </c>
      <c r="M659" s="63"/>
    </row>
    <row r="660" spans="1:76">
      <c r="A660" s="60"/>
      <c r="D660" s="61" t="s">
        <v>548</v>
      </c>
      <c r="E660" s="61" t="s">
        <v>310</v>
      </c>
      <c r="G660" s="62">
        <v>154.38</v>
      </c>
      <c r="M660" s="63"/>
    </row>
    <row r="661" spans="1:76">
      <c r="A661" s="60"/>
      <c r="D661" s="61" t="s">
        <v>520</v>
      </c>
      <c r="E661" s="61" t="s">
        <v>521</v>
      </c>
      <c r="G661" s="62">
        <v>9.5500000000000007</v>
      </c>
      <c r="M661" s="63"/>
    </row>
    <row r="662" spans="1:76">
      <c r="A662" s="60"/>
      <c r="D662" s="61" t="s">
        <v>522</v>
      </c>
      <c r="E662" s="61" t="s">
        <v>314</v>
      </c>
      <c r="G662" s="62">
        <v>8.5</v>
      </c>
      <c r="M662" s="63"/>
    </row>
    <row r="663" spans="1:76">
      <c r="A663" s="60"/>
      <c r="D663" s="61" t="s">
        <v>850</v>
      </c>
      <c r="E663" s="61" t="s">
        <v>851</v>
      </c>
      <c r="G663" s="62">
        <v>10.4</v>
      </c>
      <c r="M663" s="63"/>
    </row>
    <row r="664" spans="1:76">
      <c r="A664" s="60"/>
      <c r="D664" s="61" t="s">
        <v>523</v>
      </c>
      <c r="E664" s="61" t="s">
        <v>318</v>
      </c>
      <c r="G664" s="62">
        <v>1.86</v>
      </c>
      <c r="M664" s="63"/>
    </row>
    <row r="665" spans="1:76">
      <c r="A665" s="60"/>
      <c r="D665" s="61" t="s">
        <v>524</v>
      </c>
      <c r="E665" s="61" t="s">
        <v>525</v>
      </c>
      <c r="G665" s="62">
        <v>6.51</v>
      </c>
      <c r="M665" s="63"/>
    </row>
    <row r="666" spans="1:76">
      <c r="A666" s="60"/>
      <c r="D666" s="61" t="s">
        <v>549</v>
      </c>
      <c r="E666" s="61" t="s">
        <v>550</v>
      </c>
      <c r="G666" s="62">
        <v>36.67</v>
      </c>
      <c r="M666" s="63"/>
    </row>
    <row r="667" spans="1:76">
      <c r="A667" s="60"/>
      <c r="D667" s="61" t="s">
        <v>526</v>
      </c>
      <c r="E667" s="61" t="s">
        <v>324</v>
      </c>
      <c r="G667" s="62">
        <v>4.93</v>
      </c>
      <c r="M667" s="63"/>
    </row>
    <row r="668" spans="1:76">
      <c r="A668" s="60"/>
      <c r="D668" s="61" t="s">
        <v>527</v>
      </c>
      <c r="E668" s="61" t="s">
        <v>528</v>
      </c>
      <c r="G668" s="62">
        <v>4.87</v>
      </c>
      <c r="M668" s="63"/>
    </row>
    <row r="669" spans="1:76">
      <c r="A669" s="60"/>
      <c r="D669" s="61" t="s">
        <v>551</v>
      </c>
      <c r="E669" s="61" t="s">
        <v>552</v>
      </c>
      <c r="G669" s="62">
        <v>25.08</v>
      </c>
      <c r="M669" s="63"/>
    </row>
    <row r="670" spans="1:76">
      <c r="A670" s="60"/>
      <c r="D670" s="61" t="s">
        <v>553</v>
      </c>
      <c r="E670" s="61" t="s">
        <v>554</v>
      </c>
      <c r="G670" s="62">
        <v>18.89</v>
      </c>
      <c r="M670" s="63"/>
    </row>
    <row r="671" spans="1:76">
      <c r="A671" s="1" t="s">
        <v>852</v>
      </c>
      <c r="B671" s="2" t="s">
        <v>4</v>
      </c>
      <c r="C671" s="2" t="s">
        <v>853</v>
      </c>
      <c r="D671" s="549" t="s">
        <v>854</v>
      </c>
      <c r="E671" s="546"/>
      <c r="F671" s="2" t="s">
        <v>805</v>
      </c>
      <c r="G671" s="55">
        <v>1</v>
      </c>
      <c r="H671" s="56">
        <v>0</v>
      </c>
      <c r="I671" s="55">
        <f>G671*H671</f>
        <v>0</v>
      </c>
      <c r="J671" s="55">
        <v>0.33</v>
      </c>
      <c r="K671" s="55">
        <v>0.79547000000000001</v>
      </c>
      <c r="L671" s="55">
        <f>G671*K671</f>
        <v>0.79547000000000001</v>
      </c>
      <c r="M671" s="57" t="s">
        <v>122</v>
      </c>
      <c r="Z671" s="55">
        <f>IF(AQ671="5",BJ671,0)</f>
        <v>0</v>
      </c>
      <c r="AB671" s="55">
        <f>IF(AQ671="1",BH671,0)</f>
        <v>0</v>
      </c>
      <c r="AC671" s="55">
        <f>IF(AQ671="1",BI671,0)</f>
        <v>0</v>
      </c>
      <c r="AD671" s="55">
        <f>IF(AQ671="7",BH671,0)</f>
        <v>0</v>
      </c>
      <c r="AE671" s="55">
        <f>IF(AQ671="7",BI671,0)</f>
        <v>0</v>
      </c>
      <c r="AF671" s="55">
        <f>IF(AQ671="2",BH671,0)</f>
        <v>0</v>
      </c>
      <c r="AG671" s="55">
        <f>IF(AQ671="2",BI671,0)</f>
        <v>0</v>
      </c>
      <c r="AH671" s="55">
        <f>IF(AQ671="0",BJ671,0)</f>
        <v>0</v>
      </c>
      <c r="AI671" s="33" t="s">
        <v>4</v>
      </c>
      <c r="AJ671" s="55">
        <f>IF(AN671=0,I671,0)</f>
        <v>0</v>
      </c>
      <c r="AK671" s="55">
        <f>IF(AN671=12,I671,0)</f>
        <v>0</v>
      </c>
      <c r="AL671" s="55">
        <f>IF(AN671=21,I671,0)</f>
        <v>0</v>
      </c>
      <c r="AN671" s="55">
        <v>21</v>
      </c>
      <c r="AO671" s="55">
        <f>H671*0.1967</f>
        <v>0</v>
      </c>
      <c r="AP671" s="55">
        <f>H671*(1-0.1967)</f>
        <v>0</v>
      </c>
      <c r="AQ671" s="58" t="s">
        <v>162</v>
      </c>
      <c r="AV671" s="55">
        <f>AW671+AX671</f>
        <v>0</v>
      </c>
      <c r="AW671" s="55">
        <f>G671*AO671</f>
        <v>0</v>
      </c>
      <c r="AX671" s="55">
        <f>G671*AP671</f>
        <v>0</v>
      </c>
      <c r="AY671" s="58" t="s">
        <v>848</v>
      </c>
      <c r="AZ671" s="58" t="s">
        <v>745</v>
      </c>
      <c r="BA671" s="33" t="s">
        <v>125</v>
      </c>
      <c r="BB671" s="59">
        <v>100001</v>
      </c>
      <c r="BC671" s="55">
        <f>AW671+AX671</f>
        <v>0</v>
      </c>
      <c r="BD671" s="55">
        <f>H671/(100-BE671)*100</f>
        <v>0</v>
      </c>
      <c r="BE671" s="55">
        <v>0</v>
      </c>
      <c r="BF671" s="55">
        <f>L671</f>
        <v>0.79547000000000001</v>
      </c>
      <c r="BH671" s="55">
        <f>G671*AO671</f>
        <v>0</v>
      </c>
      <c r="BI671" s="55">
        <f>G671*AP671</f>
        <v>0</v>
      </c>
      <c r="BJ671" s="55">
        <f>G671*H671</f>
        <v>0</v>
      </c>
      <c r="BK671" s="55"/>
      <c r="BL671" s="55">
        <v>767</v>
      </c>
      <c r="BW671" s="55">
        <v>21</v>
      </c>
      <c r="BX671" s="3" t="s">
        <v>854</v>
      </c>
    </row>
    <row r="672" spans="1:76">
      <c r="A672" s="60"/>
      <c r="D672" s="61" t="s">
        <v>118</v>
      </c>
      <c r="E672" s="61" t="s">
        <v>461</v>
      </c>
      <c r="G672" s="62">
        <v>1</v>
      </c>
      <c r="M672" s="63"/>
    </row>
    <row r="673" spans="1:76">
      <c r="A673" s="1" t="s">
        <v>855</v>
      </c>
      <c r="B673" s="2" t="s">
        <v>4</v>
      </c>
      <c r="C673" s="2" t="s">
        <v>856</v>
      </c>
      <c r="D673" s="549" t="s">
        <v>857</v>
      </c>
      <c r="E673" s="546"/>
      <c r="F673" s="2" t="s">
        <v>145</v>
      </c>
      <c r="G673" s="55">
        <v>1</v>
      </c>
      <c r="H673" s="56">
        <v>0</v>
      </c>
      <c r="I673" s="55">
        <f>G673*H673</f>
        <v>0</v>
      </c>
      <c r="J673" s="55">
        <v>0</v>
      </c>
      <c r="K673" s="55">
        <v>0.12573999999999999</v>
      </c>
      <c r="L673" s="55">
        <f>G673*K673</f>
        <v>0.12573999999999999</v>
      </c>
      <c r="M673" s="57" t="s">
        <v>122</v>
      </c>
      <c r="Z673" s="55">
        <f>IF(AQ673="5",BJ673,0)</f>
        <v>0</v>
      </c>
      <c r="AB673" s="55">
        <f>IF(AQ673="1",BH673,0)</f>
        <v>0</v>
      </c>
      <c r="AC673" s="55">
        <f>IF(AQ673="1",BI673,0)</f>
        <v>0</v>
      </c>
      <c r="AD673" s="55">
        <f>IF(AQ673="7",BH673,0)</f>
        <v>0</v>
      </c>
      <c r="AE673" s="55">
        <f>IF(AQ673="7",BI673,0)</f>
        <v>0</v>
      </c>
      <c r="AF673" s="55">
        <f>IF(AQ673="2",BH673,0)</f>
        <v>0</v>
      </c>
      <c r="AG673" s="55">
        <f>IF(AQ673="2",BI673,0)</f>
        <v>0</v>
      </c>
      <c r="AH673" s="55">
        <f>IF(AQ673="0",BJ673,0)</f>
        <v>0</v>
      </c>
      <c r="AI673" s="33" t="s">
        <v>4</v>
      </c>
      <c r="AJ673" s="55">
        <f>IF(AN673=0,I673,0)</f>
        <v>0</v>
      </c>
      <c r="AK673" s="55">
        <f>IF(AN673=12,I673,0)</f>
        <v>0</v>
      </c>
      <c r="AL673" s="55">
        <f>IF(AN673=21,I673,0)</f>
        <v>0</v>
      </c>
      <c r="AN673" s="55">
        <v>21</v>
      </c>
      <c r="AO673" s="55">
        <f>H673*0.958561528</f>
        <v>0</v>
      </c>
      <c r="AP673" s="55">
        <f>H673*(1-0.958561528)</f>
        <v>0</v>
      </c>
      <c r="AQ673" s="58" t="s">
        <v>162</v>
      </c>
      <c r="AV673" s="55">
        <f>AW673+AX673</f>
        <v>0</v>
      </c>
      <c r="AW673" s="55">
        <f>G673*AO673</f>
        <v>0</v>
      </c>
      <c r="AX673" s="55">
        <f>G673*AP673</f>
        <v>0</v>
      </c>
      <c r="AY673" s="58" t="s">
        <v>848</v>
      </c>
      <c r="AZ673" s="58" t="s">
        <v>745</v>
      </c>
      <c r="BA673" s="33" t="s">
        <v>125</v>
      </c>
      <c r="BB673" s="59">
        <v>100001</v>
      </c>
      <c r="BC673" s="55">
        <f>AW673+AX673</f>
        <v>0</v>
      </c>
      <c r="BD673" s="55">
        <f>H673/(100-BE673)*100</f>
        <v>0</v>
      </c>
      <c r="BE673" s="55">
        <v>0</v>
      </c>
      <c r="BF673" s="55">
        <f>L673</f>
        <v>0.12573999999999999</v>
      </c>
      <c r="BH673" s="55">
        <f>G673*AO673</f>
        <v>0</v>
      </c>
      <c r="BI673" s="55">
        <f>G673*AP673</f>
        <v>0</v>
      </c>
      <c r="BJ673" s="55">
        <f>G673*H673</f>
        <v>0</v>
      </c>
      <c r="BK673" s="55"/>
      <c r="BL673" s="55">
        <v>767</v>
      </c>
      <c r="BW673" s="55">
        <v>21</v>
      </c>
      <c r="BX673" s="3" t="s">
        <v>857</v>
      </c>
    </row>
    <row r="674" spans="1:76" ht="13.5" customHeight="1">
      <c r="A674" s="60"/>
      <c r="D674" s="634" t="s">
        <v>858</v>
      </c>
      <c r="E674" s="635"/>
      <c r="F674" s="635"/>
      <c r="G674" s="635"/>
      <c r="H674" s="636"/>
      <c r="I674" s="635"/>
      <c r="J674" s="635"/>
      <c r="K674" s="635"/>
      <c r="L674" s="635"/>
      <c r="M674" s="637"/>
    </row>
    <row r="675" spans="1:76">
      <c r="A675" s="60"/>
      <c r="D675" s="61" t="s">
        <v>118</v>
      </c>
      <c r="E675" s="61" t="s">
        <v>4</v>
      </c>
      <c r="G675" s="62">
        <v>1</v>
      </c>
      <c r="M675" s="63"/>
    </row>
    <row r="676" spans="1:76">
      <c r="A676" s="1" t="s">
        <v>859</v>
      </c>
      <c r="B676" s="2" t="s">
        <v>4</v>
      </c>
      <c r="C676" s="2" t="s">
        <v>860</v>
      </c>
      <c r="D676" s="549" t="s">
        <v>861</v>
      </c>
      <c r="E676" s="546"/>
      <c r="F676" s="2" t="s">
        <v>132</v>
      </c>
      <c r="G676" s="55">
        <v>5.1031500000000003</v>
      </c>
      <c r="H676" s="56">
        <v>0</v>
      </c>
      <c r="I676" s="55">
        <f>G676*H676</f>
        <v>0</v>
      </c>
      <c r="J676" s="55">
        <v>0</v>
      </c>
      <c r="K676" s="55">
        <v>0</v>
      </c>
      <c r="L676" s="55">
        <f>G676*K676</f>
        <v>0</v>
      </c>
      <c r="M676" s="57" t="s">
        <v>122</v>
      </c>
      <c r="Z676" s="55">
        <f>IF(AQ676="5",BJ676,0)</f>
        <v>0</v>
      </c>
      <c r="AB676" s="55">
        <f>IF(AQ676="1",BH676,0)</f>
        <v>0</v>
      </c>
      <c r="AC676" s="55">
        <f>IF(AQ676="1",BI676,0)</f>
        <v>0</v>
      </c>
      <c r="AD676" s="55">
        <f>IF(AQ676="7",BH676,0)</f>
        <v>0</v>
      </c>
      <c r="AE676" s="55">
        <f>IF(AQ676="7",BI676,0)</f>
        <v>0</v>
      </c>
      <c r="AF676" s="55">
        <f>IF(AQ676="2",BH676,0)</f>
        <v>0</v>
      </c>
      <c r="AG676" s="55">
        <f>IF(AQ676="2",BI676,0)</f>
        <v>0</v>
      </c>
      <c r="AH676" s="55">
        <f>IF(AQ676="0",BJ676,0)</f>
        <v>0</v>
      </c>
      <c r="AI676" s="33" t="s">
        <v>4</v>
      </c>
      <c r="AJ676" s="55">
        <f>IF(AN676=0,I676,0)</f>
        <v>0</v>
      </c>
      <c r="AK676" s="55">
        <f>IF(AN676=12,I676,0)</f>
        <v>0</v>
      </c>
      <c r="AL676" s="55">
        <f>IF(AN676=21,I676,0)</f>
        <v>0</v>
      </c>
      <c r="AN676" s="55">
        <v>21</v>
      </c>
      <c r="AO676" s="55">
        <f>H676*0</f>
        <v>0</v>
      </c>
      <c r="AP676" s="55">
        <f>H676*(1-0)</f>
        <v>0</v>
      </c>
      <c r="AQ676" s="58" t="s">
        <v>139</v>
      </c>
      <c r="AV676" s="55">
        <f>AW676+AX676</f>
        <v>0</v>
      </c>
      <c r="AW676" s="55">
        <f>G676*AO676</f>
        <v>0</v>
      </c>
      <c r="AX676" s="55">
        <f>G676*AP676</f>
        <v>0</v>
      </c>
      <c r="AY676" s="58" t="s">
        <v>848</v>
      </c>
      <c r="AZ676" s="58" t="s">
        <v>745</v>
      </c>
      <c r="BA676" s="33" t="s">
        <v>125</v>
      </c>
      <c r="BB676" s="59">
        <v>100050</v>
      </c>
      <c r="BC676" s="55">
        <f>AW676+AX676</f>
        <v>0</v>
      </c>
      <c r="BD676" s="55">
        <f>H676/(100-BE676)*100</f>
        <v>0</v>
      </c>
      <c r="BE676" s="55">
        <v>0</v>
      </c>
      <c r="BF676" s="55">
        <f>L676</f>
        <v>0</v>
      </c>
      <c r="BH676" s="55">
        <f>G676*AO676</f>
        <v>0</v>
      </c>
      <c r="BI676" s="55">
        <f>G676*AP676</f>
        <v>0</v>
      </c>
      <c r="BJ676" s="55">
        <f>G676*H676</f>
        <v>0</v>
      </c>
      <c r="BK676" s="55"/>
      <c r="BL676" s="55">
        <v>767</v>
      </c>
      <c r="BW676" s="55">
        <v>21</v>
      </c>
      <c r="BX676" s="3" t="s">
        <v>861</v>
      </c>
    </row>
    <row r="677" spans="1:76">
      <c r="A677" s="50" t="s">
        <v>4</v>
      </c>
      <c r="B677" s="51" t="s">
        <v>4</v>
      </c>
      <c r="C677" s="51" t="s">
        <v>862</v>
      </c>
      <c r="D677" s="625" t="s">
        <v>863</v>
      </c>
      <c r="E677" s="626"/>
      <c r="F677" s="52" t="s">
        <v>79</v>
      </c>
      <c r="G677" s="52" t="s">
        <v>79</v>
      </c>
      <c r="H677" s="53" t="s">
        <v>79</v>
      </c>
      <c r="I677" s="26">
        <f>SUM(I678:I767)</f>
        <v>0</v>
      </c>
      <c r="J677" s="33" t="s">
        <v>4</v>
      </c>
      <c r="K677" s="33" t="s">
        <v>4</v>
      </c>
      <c r="L677" s="26">
        <f>SUM(L678:L767)</f>
        <v>2.9335476359999997</v>
      </c>
      <c r="M677" s="54" t="s">
        <v>4</v>
      </c>
      <c r="AI677" s="33" t="s">
        <v>4</v>
      </c>
      <c r="AS677" s="26">
        <f>SUM(AJ678:AJ767)</f>
        <v>0</v>
      </c>
      <c r="AT677" s="26">
        <f>SUM(AK678:AK767)</f>
        <v>0</v>
      </c>
      <c r="AU677" s="26">
        <f>SUM(AL678:AL767)</f>
        <v>0</v>
      </c>
    </row>
    <row r="678" spans="1:76">
      <c r="A678" s="1" t="s">
        <v>864</v>
      </c>
      <c r="B678" s="2" t="s">
        <v>4</v>
      </c>
      <c r="C678" s="2" t="s">
        <v>865</v>
      </c>
      <c r="D678" s="549" t="s">
        <v>866</v>
      </c>
      <c r="E678" s="546"/>
      <c r="F678" s="2" t="s">
        <v>157</v>
      </c>
      <c r="G678" s="55">
        <v>109.39</v>
      </c>
      <c r="H678" s="56">
        <v>0</v>
      </c>
      <c r="I678" s="55">
        <f>G678*H678</f>
        <v>0</v>
      </c>
      <c r="J678" s="55">
        <v>0</v>
      </c>
      <c r="K678" s="55">
        <v>2.1000000000000001E-4</v>
      </c>
      <c r="L678" s="55">
        <f>G678*K678</f>
        <v>2.29719E-2</v>
      </c>
      <c r="M678" s="57" t="s">
        <v>122</v>
      </c>
      <c r="Z678" s="55">
        <f>IF(AQ678="5",BJ678,0)</f>
        <v>0</v>
      </c>
      <c r="AB678" s="55">
        <f>IF(AQ678="1",BH678,0)</f>
        <v>0</v>
      </c>
      <c r="AC678" s="55">
        <f>IF(AQ678="1",BI678,0)</f>
        <v>0</v>
      </c>
      <c r="AD678" s="55">
        <f>IF(AQ678="7",BH678,0)</f>
        <v>0</v>
      </c>
      <c r="AE678" s="55">
        <f>IF(AQ678="7",BI678,0)</f>
        <v>0</v>
      </c>
      <c r="AF678" s="55">
        <f>IF(AQ678="2",BH678,0)</f>
        <v>0</v>
      </c>
      <c r="AG678" s="55">
        <f>IF(AQ678="2",BI678,0)</f>
        <v>0</v>
      </c>
      <c r="AH678" s="55">
        <f>IF(AQ678="0",BJ678,0)</f>
        <v>0</v>
      </c>
      <c r="AI678" s="33" t="s">
        <v>4</v>
      </c>
      <c r="AJ678" s="55">
        <f>IF(AN678=0,I678,0)</f>
        <v>0</v>
      </c>
      <c r="AK678" s="55">
        <f>IF(AN678=12,I678,0)</f>
        <v>0</v>
      </c>
      <c r="AL678" s="55">
        <f>IF(AN678=21,I678,0)</f>
        <v>0</v>
      </c>
      <c r="AN678" s="55">
        <v>21</v>
      </c>
      <c r="AO678" s="55">
        <f>H678*0.472426153</f>
        <v>0</v>
      </c>
      <c r="AP678" s="55">
        <f>H678*(1-0.472426153)</f>
        <v>0</v>
      </c>
      <c r="AQ678" s="58" t="s">
        <v>162</v>
      </c>
      <c r="AV678" s="55">
        <f>AW678+AX678</f>
        <v>0</v>
      </c>
      <c r="AW678" s="55">
        <f>G678*AO678</f>
        <v>0</v>
      </c>
      <c r="AX678" s="55">
        <f>G678*AP678</f>
        <v>0</v>
      </c>
      <c r="AY678" s="58" t="s">
        <v>867</v>
      </c>
      <c r="AZ678" s="58" t="s">
        <v>868</v>
      </c>
      <c r="BA678" s="33" t="s">
        <v>125</v>
      </c>
      <c r="BB678" s="59">
        <v>100011</v>
      </c>
      <c r="BC678" s="55">
        <f>AW678+AX678</f>
        <v>0</v>
      </c>
      <c r="BD678" s="55">
        <f>H678/(100-BE678)*100</f>
        <v>0</v>
      </c>
      <c r="BE678" s="55">
        <v>0</v>
      </c>
      <c r="BF678" s="55">
        <f>L678</f>
        <v>2.29719E-2</v>
      </c>
      <c r="BH678" s="55">
        <f>G678*AO678</f>
        <v>0</v>
      </c>
      <c r="BI678" s="55">
        <f>G678*AP678</f>
        <v>0</v>
      </c>
      <c r="BJ678" s="55">
        <f>G678*H678</f>
        <v>0</v>
      </c>
      <c r="BK678" s="55"/>
      <c r="BL678" s="55">
        <v>771</v>
      </c>
      <c r="BW678" s="55">
        <v>21</v>
      </c>
      <c r="BX678" s="3" t="s">
        <v>866</v>
      </c>
    </row>
    <row r="679" spans="1:76">
      <c r="A679" s="60"/>
      <c r="D679" s="61" t="s">
        <v>500</v>
      </c>
      <c r="E679" s="61" t="s">
        <v>501</v>
      </c>
      <c r="G679" s="62">
        <v>15.79</v>
      </c>
      <c r="M679" s="63"/>
    </row>
    <row r="680" spans="1:76">
      <c r="A680" s="60"/>
      <c r="D680" s="61" t="s">
        <v>502</v>
      </c>
      <c r="E680" s="61" t="s">
        <v>503</v>
      </c>
      <c r="G680" s="62">
        <v>2.61</v>
      </c>
      <c r="M680" s="63"/>
    </row>
    <row r="681" spans="1:76">
      <c r="A681" s="60"/>
      <c r="D681" s="61" t="s">
        <v>504</v>
      </c>
      <c r="E681" s="61" t="s">
        <v>505</v>
      </c>
      <c r="G681" s="62">
        <v>1.89</v>
      </c>
      <c r="M681" s="63"/>
    </row>
    <row r="682" spans="1:76">
      <c r="A682" s="60"/>
      <c r="D682" s="61" t="s">
        <v>506</v>
      </c>
      <c r="E682" s="61" t="s">
        <v>507</v>
      </c>
      <c r="G682" s="62">
        <v>5.2</v>
      </c>
      <c r="M682" s="63"/>
    </row>
    <row r="683" spans="1:76">
      <c r="A683" s="60"/>
      <c r="D683" s="61" t="s">
        <v>508</v>
      </c>
      <c r="E683" s="61" t="s">
        <v>509</v>
      </c>
      <c r="G683" s="62">
        <v>4.7300000000000004</v>
      </c>
      <c r="M683" s="63"/>
    </row>
    <row r="684" spans="1:76">
      <c r="A684" s="60"/>
      <c r="D684" s="61" t="s">
        <v>510</v>
      </c>
      <c r="E684" s="61" t="s">
        <v>511</v>
      </c>
      <c r="G684" s="62">
        <v>4.42</v>
      </c>
      <c r="M684" s="63"/>
    </row>
    <row r="685" spans="1:76">
      <c r="A685" s="60"/>
      <c r="D685" s="61" t="s">
        <v>512</v>
      </c>
      <c r="E685" s="61" t="s">
        <v>513</v>
      </c>
      <c r="G685" s="62">
        <v>5.34</v>
      </c>
      <c r="M685" s="63"/>
    </row>
    <row r="686" spans="1:76">
      <c r="A686" s="60"/>
      <c r="D686" s="61" t="s">
        <v>514</v>
      </c>
      <c r="E686" s="61" t="s">
        <v>515</v>
      </c>
      <c r="G686" s="62">
        <v>5.21</v>
      </c>
      <c r="M686" s="63"/>
    </row>
    <row r="687" spans="1:76">
      <c r="A687" s="60"/>
      <c r="D687" s="61" t="s">
        <v>516</v>
      </c>
      <c r="E687" s="61" t="s">
        <v>517</v>
      </c>
      <c r="G687" s="62">
        <v>5.63</v>
      </c>
      <c r="M687" s="63"/>
    </row>
    <row r="688" spans="1:76">
      <c r="A688" s="60"/>
      <c r="D688" s="61" t="s">
        <v>518</v>
      </c>
      <c r="E688" s="61" t="s">
        <v>519</v>
      </c>
      <c r="G688" s="62">
        <v>16.84</v>
      </c>
      <c r="M688" s="63"/>
    </row>
    <row r="689" spans="1:76">
      <c r="A689" s="60"/>
      <c r="D689" s="61" t="s">
        <v>849</v>
      </c>
      <c r="E689" s="61" t="s">
        <v>308</v>
      </c>
      <c r="G689" s="62">
        <v>5.51</v>
      </c>
      <c r="M689" s="63"/>
    </row>
    <row r="690" spans="1:76">
      <c r="A690" s="60"/>
      <c r="D690" s="61" t="s">
        <v>520</v>
      </c>
      <c r="E690" s="61" t="s">
        <v>521</v>
      </c>
      <c r="G690" s="62">
        <v>9.5500000000000007</v>
      </c>
      <c r="M690" s="63"/>
    </row>
    <row r="691" spans="1:76">
      <c r="A691" s="60"/>
      <c r="D691" s="61" t="s">
        <v>522</v>
      </c>
      <c r="E691" s="61" t="s">
        <v>314</v>
      </c>
      <c r="G691" s="62">
        <v>8.5</v>
      </c>
      <c r="M691" s="63"/>
    </row>
    <row r="692" spans="1:76">
      <c r="A692" s="60"/>
      <c r="D692" s="61" t="s">
        <v>523</v>
      </c>
      <c r="E692" s="61" t="s">
        <v>318</v>
      </c>
      <c r="G692" s="62">
        <v>1.86</v>
      </c>
      <c r="M692" s="63"/>
    </row>
    <row r="693" spans="1:76">
      <c r="A693" s="60"/>
      <c r="D693" s="61" t="s">
        <v>524</v>
      </c>
      <c r="E693" s="61" t="s">
        <v>525</v>
      </c>
      <c r="G693" s="62">
        <v>6.51</v>
      </c>
      <c r="M693" s="63"/>
    </row>
    <row r="694" spans="1:76">
      <c r="A694" s="60"/>
      <c r="D694" s="61" t="s">
        <v>526</v>
      </c>
      <c r="E694" s="61" t="s">
        <v>324</v>
      </c>
      <c r="G694" s="62">
        <v>4.93</v>
      </c>
      <c r="M694" s="63"/>
    </row>
    <row r="695" spans="1:76">
      <c r="A695" s="60"/>
      <c r="D695" s="61" t="s">
        <v>527</v>
      </c>
      <c r="E695" s="61" t="s">
        <v>528</v>
      </c>
      <c r="G695" s="62">
        <v>4.87</v>
      </c>
      <c r="M695" s="63"/>
    </row>
    <row r="696" spans="1:76" ht="25.5">
      <c r="A696" s="60"/>
      <c r="C696" s="64" t="s">
        <v>127</v>
      </c>
      <c r="D696" s="618" t="s">
        <v>869</v>
      </c>
      <c r="E696" s="619"/>
      <c r="F696" s="619"/>
      <c r="G696" s="619"/>
      <c r="H696" s="620"/>
      <c r="I696" s="619"/>
      <c r="J696" s="619"/>
      <c r="K696" s="619"/>
      <c r="L696" s="619"/>
      <c r="M696" s="621"/>
      <c r="BX696" s="65" t="s">
        <v>869</v>
      </c>
    </row>
    <row r="697" spans="1:76">
      <c r="A697" s="1" t="s">
        <v>870</v>
      </c>
      <c r="B697" s="2" t="s">
        <v>4</v>
      </c>
      <c r="C697" s="2" t="s">
        <v>871</v>
      </c>
      <c r="D697" s="549" t="s">
        <v>872</v>
      </c>
      <c r="E697" s="546"/>
      <c r="F697" s="2" t="s">
        <v>157</v>
      </c>
      <c r="G697" s="55">
        <v>109.39</v>
      </c>
      <c r="H697" s="56">
        <v>0</v>
      </c>
      <c r="I697" s="55">
        <f>G697*H697</f>
        <v>0</v>
      </c>
      <c r="J697" s="55">
        <v>0</v>
      </c>
      <c r="K697" s="55">
        <v>5.3600000000000002E-3</v>
      </c>
      <c r="L697" s="55">
        <f>G697*K697</f>
        <v>0.58633040000000003</v>
      </c>
      <c r="M697" s="57" t="s">
        <v>122</v>
      </c>
      <c r="Z697" s="55">
        <f>IF(AQ697="5",BJ697,0)</f>
        <v>0</v>
      </c>
      <c r="AB697" s="55">
        <f>IF(AQ697="1",BH697,0)</f>
        <v>0</v>
      </c>
      <c r="AC697" s="55">
        <f>IF(AQ697="1",BI697,0)</f>
        <v>0</v>
      </c>
      <c r="AD697" s="55">
        <f>IF(AQ697="7",BH697,0)</f>
        <v>0</v>
      </c>
      <c r="AE697" s="55">
        <f>IF(AQ697="7",BI697,0)</f>
        <v>0</v>
      </c>
      <c r="AF697" s="55">
        <f>IF(AQ697="2",BH697,0)</f>
        <v>0</v>
      </c>
      <c r="AG697" s="55">
        <f>IF(AQ697="2",BI697,0)</f>
        <v>0</v>
      </c>
      <c r="AH697" s="55">
        <f>IF(AQ697="0",BJ697,0)</f>
        <v>0</v>
      </c>
      <c r="AI697" s="33" t="s">
        <v>4</v>
      </c>
      <c r="AJ697" s="55">
        <f>IF(AN697=0,I697,0)</f>
        <v>0</v>
      </c>
      <c r="AK697" s="55">
        <f>IF(AN697=12,I697,0)</f>
        <v>0</v>
      </c>
      <c r="AL697" s="55">
        <f>IF(AN697=21,I697,0)</f>
        <v>0</v>
      </c>
      <c r="AN697" s="55">
        <v>21</v>
      </c>
      <c r="AO697" s="55">
        <f>H697*0.21774675</f>
        <v>0</v>
      </c>
      <c r="AP697" s="55">
        <f>H697*(1-0.21774675)</f>
        <v>0</v>
      </c>
      <c r="AQ697" s="58" t="s">
        <v>162</v>
      </c>
      <c r="AV697" s="55">
        <f>AW697+AX697</f>
        <v>0</v>
      </c>
      <c r="AW697" s="55">
        <f>G697*AO697</f>
        <v>0</v>
      </c>
      <c r="AX697" s="55">
        <f>G697*AP697</f>
        <v>0</v>
      </c>
      <c r="AY697" s="58" t="s">
        <v>867</v>
      </c>
      <c r="AZ697" s="58" t="s">
        <v>868</v>
      </c>
      <c r="BA697" s="33" t="s">
        <v>125</v>
      </c>
      <c r="BB697" s="59">
        <v>100011</v>
      </c>
      <c r="BC697" s="55">
        <f>AW697+AX697</f>
        <v>0</v>
      </c>
      <c r="BD697" s="55">
        <f>H697/(100-BE697)*100</f>
        <v>0</v>
      </c>
      <c r="BE697" s="55">
        <v>0</v>
      </c>
      <c r="BF697" s="55">
        <f>L697</f>
        <v>0.58633040000000003</v>
      </c>
      <c r="BH697" s="55">
        <f>G697*AO697</f>
        <v>0</v>
      </c>
      <c r="BI697" s="55">
        <f>G697*AP697</f>
        <v>0</v>
      </c>
      <c r="BJ697" s="55">
        <f>G697*H697</f>
        <v>0</v>
      </c>
      <c r="BK697" s="55"/>
      <c r="BL697" s="55">
        <v>771</v>
      </c>
      <c r="BW697" s="55">
        <v>21</v>
      </c>
      <c r="BX697" s="3" t="s">
        <v>872</v>
      </c>
    </row>
    <row r="698" spans="1:76" ht="13.5" customHeight="1">
      <c r="A698" s="60"/>
      <c r="D698" s="634" t="s">
        <v>873</v>
      </c>
      <c r="E698" s="635"/>
      <c r="F698" s="635"/>
      <c r="G698" s="635"/>
      <c r="H698" s="636"/>
      <c r="I698" s="635"/>
      <c r="J698" s="635"/>
      <c r="K698" s="635"/>
      <c r="L698" s="635"/>
      <c r="M698" s="637"/>
    </row>
    <row r="699" spans="1:76">
      <c r="A699" s="60"/>
      <c r="D699" s="61" t="s">
        <v>500</v>
      </c>
      <c r="E699" s="61" t="s">
        <v>501</v>
      </c>
      <c r="G699" s="62">
        <v>15.79</v>
      </c>
      <c r="M699" s="63"/>
    </row>
    <row r="700" spans="1:76">
      <c r="A700" s="60"/>
      <c r="D700" s="61" t="s">
        <v>502</v>
      </c>
      <c r="E700" s="61" t="s">
        <v>503</v>
      </c>
      <c r="G700" s="62">
        <v>2.61</v>
      </c>
      <c r="M700" s="63"/>
    </row>
    <row r="701" spans="1:76">
      <c r="A701" s="60"/>
      <c r="D701" s="61" t="s">
        <v>504</v>
      </c>
      <c r="E701" s="61" t="s">
        <v>505</v>
      </c>
      <c r="G701" s="62">
        <v>1.89</v>
      </c>
      <c r="M701" s="63"/>
    </row>
    <row r="702" spans="1:76">
      <c r="A702" s="60"/>
      <c r="D702" s="61" t="s">
        <v>506</v>
      </c>
      <c r="E702" s="61" t="s">
        <v>507</v>
      </c>
      <c r="G702" s="62">
        <v>5.2</v>
      </c>
      <c r="M702" s="63"/>
    </row>
    <row r="703" spans="1:76">
      <c r="A703" s="60"/>
      <c r="D703" s="61" t="s">
        <v>508</v>
      </c>
      <c r="E703" s="61" t="s">
        <v>509</v>
      </c>
      <c r="G703" s="62">
        <v>4.7300000000000004</v>
      </c>
      <c r="M703" s="63"/>
    </row>
    <row r="704" spans="1:76">
      <c r="A704" s="60"/>
      <c r="D704" s="61" t="s">
        <v>510</v>
      </c>
      <c r="E704" s="61" t="s">
        <v>511</v>
      </c>
      <c r="G704" s="62">
        <v>4.42</v>
      </c>
      <c r="M704" s="63"/>
    </row>
    <row r="705" spans="1:76">
      <c r="A705" s="60"/>
      <c r="D705" s="61" t="s">
        <v>512</v>
      </c>
      <c r="E705" s="61" t="s">
        <v>513</v>
      </c>
      <c r="G705" s="62">
        <v>5.34</v>
      </c>
      <c r="M705" s="63"/>
    </row>
    <row r="706" spans="1:76">
      <c r="A706" s="60"/>
      <c r="D706" s="61" t="s">
        <v>514</v>
      </c>
      <c r="E706" s="61" t="s">
        <v>515</v>
      </c>
      <c r="G706" s="62">
        <v>5.21</v>
      </c>
      <c r="M706" s="63"/>
    </row>
    <row r="707" spans="1:76">
      <c r="A707" s="60"/>
      <c r="D707" s="61" t="s">
        <v>516</v>
      </c>
      <c r="E707" s="61" t="s">
        <v>517</v>
      </c>
      <c r="G707" s="62">
        <v>5.63</v>
      </c>
      <c r="M707" s="63"/>
    </row>
    <row r="708" spans="1:76">
      <c r="A708" s="60"/>
      <c r="D708" s="61" t="s">
        <v>518</v>
      </c>
      <c r="E708" s="61" t="s">
        <v>519</v>
      </c>
      <c r="G708" s="62">
        <v>16.84</v>
      </c>
      <c r="M708" s="63"/>
    </row>
    <row r="709" spans="1:76">
      <c r="A709" s="60"/>
      <c r="D709" s="61" t="s">
        <v>849</v>
      </c>
      <c r="E709" s="61" t="s">
        <v>308</v>
      </c>
      <c r="G709" s="62">
        <v>5.51</v>
      </c>
      <c r="M709" s="63"/>
    </row>
    <row r="710" spans="1:76">
      <c r="A710" s="60"/>
      <c r="D710" s="61" t="s">
        <v>520</v>
      </c>
      <c r="E710" s="61" t="s">
        <v>521</v>
      </c>
      <c r="G710" s="62">
        <v>9.5500000000000007</v>
      </c>
      <c r="M710" s="63"/>
    </row>
    <row r="711" spans="1:76">
      <c r="A711" s="60"/>
      <c r="D711" s="61" t="s">
        <v>522</v>
      </c>
      <c r="E711" s="61" t="s">
        <v>314</v>
      </c>
      <c r="G711" s="62">
        <v>8.5</v>
      </c>
      <c r="M711" s="63"/>
    </row>
    <row r="712" spans="1:76">
      <c r="A712" s="60"/>
      <c r="D712" s="61" t="s">
        <v>523</v>
      </c>
      <c r="E712" s="61" t="s">
        <v>318</v>
      </c>
      <c r="G712" s="62">
        <v>1.86</v>
      </c>
      <c r="M712" s="63"/>
    </row>
    <row r="713" spans="1:76">
      <c r="A713" s="60"/>
      <c r="D713" s="61" t="s">
        <v>524</v>
      </c>
      <c r="E713" s="61" t="s">
        <v>525</v>
      </c>
      <c r="G713" s="62">
        <v>6.51</v>
      </c>
      <c r="M713" s="63"/>
    </row>
    <row r="714" spans="1:76">
      <c r="A714" s="60"/>
      <c r="D714" s="61" t="s">
        <v>526</v>
      </c>
      <c r="E714" s="61" t="s">
        <v>324</v>
      </c>
      <c r="G714" s="62">
        <v>4.93</v>
      </c>
      <c r="M714" s="63"/>
    </row>
    <row r="715" spans="1:76">
      <c r="A715" s="60"/>
      <c r="D715" s="61" t="s">
        <v>527</v>
      </c>
      <c r="E715" s="61" t="s">
        <v>528</v>
      </c>
      <c r="G715" s="62">
        <v>4.87</v>
      </c>
      <c r="M715" s="63"/>
    </row>
    <row r="716" spans="1:76">
      <c r="A716" s="66" t="s">
        <v>874</v>
      </c>
      <c r="B716" s="67" t="s">
        <v>4</v>
      </c>
      <c r="C716" s="67" t="s">
        <v>875</v>
      </c>
      <c r="D716" s="622" t="s">
        <v>876</v>
      </c>
      <c r="E716" s="623"/>
      <c r="F716" s="67" t="s">
        <v>157</v>
      </c>
      <c r="G716" s="69">
        <v>120.32983</v>
      </c>
      <c r="H716" s="70">
        <v>0</v>
      </c>
      <c r="I716" s="69">
        <f>G716*H716</f>
        <v>0</v>
      </c>
      <c r="J716" s="69">
        <v>0</v>
      </c>
      <c r="K716" s="69">
        <v>1.9199999999999998E-2</v>
      </c>
      <c r="L716" s="69">
        <f>G716*K716</f>
        <v>2.3103327359999999</v>
      </c>
      <c r="M716" s="71" t="s">
        <v>122</v>
      </c>
      <c r="Z716" s="55">
        <f>IF(AQ716="5",BJ716,0)</f>
        <v>0</v>
      </c>
      <c r="AB716" s="55">
        <f>IF(AQ716="1",BH716,0)</f>
        <v>0</v>
      </c>
      <c r="AC716" s="55">
        <f>IF(AQ716="1",BI716,0)</f>
        <v>0</v>
      </c>
      <c r="AD716" s="55">
        <f>IF(AQ716="7",BH716,0)</f>
        <v>0</v>
      </c>
      <c r="AE716" s="55">
        <f>IF(AQ716="7",BI716,0)</f>
        <v>0</v>
      </c>
      <c r="AF716" s="55">
        <f>IF(AQ716="2",BH716,0)</f>
        <v>0</v>
      </c>
      <c r="AG716" s="55">
        <f>IF(AQ716="2",BI716,0)</f>
        <v>0</v>
      </c>
      <c r="AH716" s="55">
        <f>IF(AQ716="0",BJ716,0)</f>
        <v>0</v>
      </c>
      <c r="AI716" s="33" t="s">
        <v>4</v>
      </c>
      <c r="AJ716" s="69">
        <f>IF(AN716=0,I716,0)</f>
        <v>0</v>
      </c>
      <c r="AK716" s="69">
        <f>IF(AN716=12,I716,0)</f>
        <v>0</v>
      </c>
      <c r="AL716" s="69">
        <f>IF(AN716=21,I716,0)</f>
        <v>0</v>
      </c>
      <c r="AN716" s="55">
        <v>21</v>
      </c>
      <c r="AO716" s="55">
        <f>H716*1</f>
        <v>0</v>
      </c>
      <c r="AP716" s="55">
        <f>H716*(1-1)</f>
        <v>0</v>
      </c>
      <c r="AQ716" s="72" t="s">
        <v>162</v>
      </c>
      <c r="AV716" s="55">
        <f>AW716+AX716</f>
        <v>0</v>
      </c>
      <c r="AW716" s="55">
        <f>G716*AO716</f>
        <v>0</v>
      </c>
      <c r="AX716" s="55">
        <f>G716*AP716</f>
        <v>0</v>
      </c>
      <c r="AY716" s="58" t="s">
        <v>867</v>
      </c>
      <c r="AZ716" s="58" t="s">
        <v>868</v>
      </c>
      <c r="BA716" s="33" t="s">
        <v>125</v>
      </c>
      <c r="BC716" s="55">
        <f>AW716+AX716</f>
        <v>0</v>
      </c>
      <c r="BD716" s="55">
        <f>H716/(100-BE716)*100</f>
        <v>0</v>
      </c>
      <c r="BE716" s="55">
        <v>0</v>
      </c>
      <c r="BF716" s="55">
        <f>L716</f>
        <v>2.3103327359999999</v>
      </c>
      <c r="BH716" s="69">
        <f>G716*AO716</f>
        <v>0</v>
      </c>
      <c r="BI716" s="69">
        <f>G716*AP716</f>
        <v>0</v>
      </c>
      <c r="BJ716" s="69">
        <f>G716*H716</f>
        <v>0</v>
      </c>
      <c r="BK716" s="69"/>
      <c r="BL716" s="55">
        <v>771</v>
      </c>
      <c r="BW716" s="55">
        <v>21</v>
      </c>
      <c r="BX716" s="68" t="s">
        <v>876</v>
      </c>
    </row>
    <row r="717" spans="1:76">
      <c r="A717" s="60"/>
      <c r="D717" s="61" t="s">
        <v>500</v>
      </c>
      <c r="E717" s="61" t="s">
        <v>4</v>
      </c>
      <c r="G717" s="62">
        <v>15.79</v>
      </c>
      <c r="M717" s="63"/>
    </row>
    <row r="718" spans="1:76">
      <c r="A718" s="60"/>
      <c r="D718" s="61" t="s">
        <v>877</v>
      </c>
      <c r="E718" s="61" t="s">
        <v>4</v>
      </c>
      <c r="G718" s="62">
        <v>1.579</v>
      </c>
      <c r="M718" s="63"/>
    </row>
    <row r="719" spans="1:76">
      <c r="A719" s="60"/>
      <c r="C719" s="64" t="s">
        <v>127</v>
      </c>
      <c r="D719" s="618" t="s">
        <v>878</v>
      </c>
      <c r="E719" s="619"/>
      <c r="F719" s="619"/>
      <c r="G719" s="619"/>
      <c r="H719" s="620"/>
      <c r="I719" s="619"/>
      <c r="J719" s="619"/>
      <c r="K719" s="619"/>
      <c r="L719" s="619"/>
      <c r="M719" s="621"/>
      <c r="BX719" s="73" t="s">
        <v>878</v>
      </c>
    </row>
    <row r="720" spans="1:76">
      <c r="A720" s="1" t="s">
        <v>879</v>
      </c>
      <c r="B720" s="2" t="s">
        <v>4</v>
      </c>
      <c r="C720" s="2" t="s">
        <v>880</v>
      </c>
      <c r="D720" s="549" t="s">
        <v>881</v>
      </c>
      <c r="E720" s="546"/>
      <c r="F720" s="2" t="s">
        <v>219</v>
      </c>
      <c r="G720" s="55">
        <v>139.07</v>
      </c>
      <c r="H720" s="56">
        <v>0</v>
      </c>
      <c r="I720" s="55">
        <f>G720*H720</f>
        <v>0</v>
      </c>
      <c r="J720" s="55">
        <v>0</v>
      </c>
      <c r="K720" s="55">
        <v>2.0000000000000002E-5</v>
      </c>
      <c r="L720" s="55">
        <f>G720*K720</f>
        <v>2.7814000000000003E-3</v>
      </c>
      <c r="M720" s="57" t="s">
        <v>122</v>
      </c>
      <c r="Z720" s="55">
        <f>IF(AQ720="5",BJ720,0)</f>
        <v>0</v>
      </c>
      <c r="AB720" s="55">
        <f>IF(AQ720="1",BH720,0)</f>
        <v>0</v>
      </c>
      <c r="AC720" s="55">
        <f>IF(AQ720="1",BI720,0)</f>
        <v>0</v>
      </c>
      <c r="AD720" s="55">
        <f>IF(AQ720="7",BH720,0)</f>
        <v>0</v>
      </c>
      <c r="AE720" s="55">
        <f>IF(AQ720="7",BI720,0)</f>
        <v>0</v>
      </c>
      <c r="AF720" s="55">
        <f>IF(AQ720="2",BH720,0)</f>
        <v>0</v>
      </c>
      <c r="AG720" s="55">
        <f>IF(AQ720="2",BI720,0)</f>
        <v>0</v>
      </c>
      <c r="AH720" s="55">
        <f>IF(AQ720="0",BJ720,0)</f>
        <v>0</v>
      </c>
      <c r="AI720" s="33" t="s">
        <v>4</v>
      </c>
      <c r="AJ720" s="55">
        <f>IF(AN720=0,I720,0)</f>
        <v>0</v>
      </c>
      <c r="AK720" s="55">
        <f>IF(AN720=12,I720,0)</f>
        <v>0</v>
      </c>
      <c r="AL720" s="55">
        <f>IF(AN720=21,I720,0)</f>
        <v>0</v>
      </c>
      <c r="AN720" s="55">
        <v>21</v>
      </c>
      <c r="AO720" s="55">
        <f>H720*0.215147993</f>
        <v>0</v>
      </c>
      <c r="AP720" s="55">
        <f>H720*(1-0.215147993)</f>
        <v>0</v>
      </c>
      <c r="AQ720" s="58" t="s">
        <v>162</v>
      </c>
      <c r="AV720" s="55">
        <f>AW720+AX720</f>
        <v>0</v>
      </c>
      <c r="AW720" s="55">
        <f>G720*AO720</f>
        <v>0</v>
      </c>
      <c r="AX720" s="55">
        <f>G720*AP720</f>
        <v>0</v>
      </c>
      <c r="AY720" s="58" t="s">
        <v>867</v>
      </c>
      <c r="AZ720" s="58" t="s">
        <v>868</v>
      </c>
      <c r="BA720" s="33" t="s">
        <v>125</v>
      </c>
      <c r="BB720" s="59">
        <v>100011</v>
      </c>
      <c r="BC720" s="55">
        <f>AW720+AX720</f>
        <v>0</v>
      </c>
      <c r="BD720" s="55">
        <f>H720/(100-BE720)*100</f>
        <v>0</v>
      </c>
      <c r="BE720" s="55">
        <v>0</v>
      </c>
      <c r="BF720" s="55">
        <f>L720</f>
        <v>2.7814000000000003E-3</v>
      </c>
      <c r="BH720" s="55">
        <f>G720*AO720</f>
        <v>0</v>
      </c>
      <c r="BI720" s="55">
        <f>G720*AP720</f>
        <v>0</v>
      </c>
      <c r="BJ720" s="55">
        <f>G720*H720</f>
        <v>0</v>
      </c>
      <c r="BK720" s="55"/>
      <c r="BL720" s="55">
        <v>771</v>
      </c>
      <c r="BW720" s="55">
        <v>21</v>
      </c>
      <c r="BX720" s="3" t="s">
        <v>881</v>
      </c>
    </row>
    <row r="721" spans="1:13" ht="13.5" customHeight="1">
      <c r="A721" s="60"/>
      <c r="D721" s="634" t="s">
        <v>882</v>
      </c>
      <c r="E721" s="635"/>
      <c r="F721" s="635"/>
      <c r="G721" s="635"/>
      <c r="H721" s="636"/>
      <c r="I721" s="635"/>
      <c r="J721" s="635"/>
      <c r="K721" s="635"/>
      <c r="L721" s="635"/>
      <c r="M721" s="637"/>
    </row>
    <row r="722" spans="1:13">
      <c r="A722" s="60"/>
      <c r="D722" s="61" t="s">
        <v>883</v>
      </c>
      <c r="E722" s="61" t="s">
        <v>884</v>
      </c>
      <c r="G722" s="62">
        <v>3.5</v>
      </c>
      <c r="M722" s="63"/>
    </row>
    <row r="723" spans="1:13">
      <c r="A723" s="60"/>
      <c r="D723" s="61" t="s">
        <v>885</v>
      </c>
      <c r="E723" s="61" t="s">
        <v>886</v>
      </c>
      <c r="G723" s="62">
        <v>5.39</v>
      </c>
      <c r="M723" s="63"/>
    </row>
    <row r="724" spans="1:13">
      <c r="A724" s="60"/>
      <c r="D724" s="61" t="s">
        <v>887</v>
      </c>
      <c r="E724" s="61" t="s">
        <v>507</v>
      </c>
      <c r="G724" s="62">
        <v>8.43</v>
      </c>
      <c r="M724" s="63"/>
    </row>
    <row r="725" spans="1:13">
      <c r="A725" s="60"/>
      <c r="D725" s="61" t="s">
        <v>888</v>
      </c>
      <c r="E725" s="61" t="s">
        <v>509</v>
      </c>
      <c r="G725" s="62">
        <v>7.84</v>
      </c>
      <c r="M725" s="63"/>
    </row>
    <row r="726" spans="1:13">
      <c r="A726" s="60"/>
      <c r="D726" s="61" t="s">
        <v>889</v>
      </c>
      <c r="E726" s="61" t="s">
        <v>511</v>
      </c>
      <c r="G726" s="62">
        <v>8.01</v>
      </c>
      <c r="M726" s="63"/>
    </row>
    <row r="727" spans="1:13">
      <c r="A727" s="60"/>
      <c r="D727" s="61" t="s">
        <v>890</v>
      </c>
      <c r="E727" s="61" t="s">
        <v>513</v>
      </c>
      <c r="G727" s="62">
        <v>8.2899999999999991</v>
      </c>
      <c r="M727" s="63"/>
    </row>
    <row r="728" spans="1:13">
      <c r="A728" s="60"/>
      <c r="D728" s="61" t="s">
        <v>891</v>
      </c>
      <c r="E728" s="61" t="s">
        <v>515</v>
      </c>
      <c r="G728" s="62">
        <v>8.18</v>
      </c>
      <c r="M728" s="63"/>
    </row>
    <row r="729" spans="1:13">
      <c r="A729" s="60"/>
      <c r="D729" s="61" t="s">
        <v>892</v>
      </c>
      <c r="E729" s="61" t="s">
        <v>517</v>
      </c>
      <c r="G729" s="62">
        <v>8.6999999999999993</v>
      </c>
      <c r="M729" s="63"/>
    </row>
    <row r="730" spans="1:13">
      <c r="A730" s="60"/>
      <c r="D730" s="61" t="s">
        <v>893</v>
      </c>
      <c r="E730" s="61" t="s">
        <v>519</v>
      </c>
      <c r="G730" s="62">
        <v>17.12</v>
      </c>
      <c r="M730" s="63"/>
    </row>
    <row r="731" spans="1:13">
      <c r="A731" s="60"/>
      <c r="D731" s="61" t="s">
        <v>894</v>
      </c>
      <c r="E731" s="61" t="s">
        <v>308</v>
      </c>
      <c r="G731" s="62">
        <v>8.42</v>
      </c>
      <c r="M731" s="63"/>
    </row>
    <row r="732" spans="1:13">
      <c r="A732" s="60"/>
      <c r="D732" s="61" t="s">
        <v>895</v>
      </c>
      <c r="E732" s="61" t="s">
        <v>521</v>
      </c>
      <c r="G732" s="62">
        <v>11.65</v>
      </c>
      <c r="M732" s="63"/>
    </row>
    <row r="733" spans="1:13">
      <c r="A733" s="60"/>
      <c r="D733" s="61" t="s">
        <v>896</v>
      </c>
      <c r="E733" s="61" t="s">
        <v>314</v>
      </c>
      <c r="G733" s="62">
        <v>11.05</v>
      </c>
      <c r="M733" s="63"/>
    </row>
    <row r="734" spans="1:13">
      <c r="A734" s="60"/>
      <c r="D734" s="61" t="s">
        <v>897</v>
      </c>
      <c r="E734" s="61" t="s">
        <v>318</v>
      </c>
      <c r="G734" s="62">
        <v>4.99</v>
      </c>
      <c r="M734" s="63"/>
    </row>
    <row r="735" spans="1:13">
      <c r="A735" s="60"/>
      <c r="D735" s="61" t="s">
        <v>898</v>
      </c>
      <c r="E735" s="61" t="s">
        <v>525</v>
      </c>
      <c r="G735" s="62">
        <v>11.35</v>
      </c>
      <c r="M735" s="63"/>
    </row>
    <row r="736" spans="1:13">
      <c r="A736" s="60"/>
      <c r="D736" s="61" t="s">
        <v>899</v>
      </c>
      <c r="E736" s="61" t="s">
        <v>324</v>
      </c>
      <c r="G736" s="62">
        <v>8.1</v>
      </c>
      <c r="M736" s="63"/>
    </row>
    <row r="737" spans="1:76">
      <c r="A737" s="60"/>
      <c r="D737" s="61" t="s">
        <v>900</v>
      </c>
      <c r="E737" s="61" t="s">
        <v>528</v>
      </c>
      <c r="G737" s="62">
        <v>8.0500000000000007</v>
      </c>
      <c r="M737" s="63"/>
    </row>
    <row r="738" spans="1:76">
      <c r="A738" s="1" t="s">
        <v>901</v>
      </c>
      <c r="B738" s="2" t="s">
        <v>4</v>
      </c>
      <c r="C738" s="2" t="s">
        <v>902</v>
      </c>
      <c r="D738" s="549" t="s">
        <v>903</v>
      </c>
      <c r="E738" s="546"/>
      <c r="F738" s="2" t="s">
        <v>157</v>
      </c>
      <c r="G738" s="55">
        <v>109.39</v>
      </c>
      <c r="H738" s="56">
        <v>0</v>
      </c>
      <c r="I738" s="55">
        <f>G738*H738</f>
        <v>0</v>
      </c>
      <c r="J738" s="55">
        <v>0</v>
      </c>
      <c r="K738" s="55">
        <v>8.0000000000000007E-5</v>
      </c>
      <c r="L738" s="55">
        <f>G738*K738</f>
        <v>8.7512000000000006E-3</v>
      </c>
      <c r="M738" s="57" t="s">
        <v>122</v>
      </c>
      <c r="Z738" s="55">
        <f>IF(AQ738="5",BJ738,0)</f>
        <v>0</v>
      </c>
      <c r="AB738" s="55">
        <f>IF(AQ738="1",BH738,0)</f>
        <v>0</v>
      </c>
      <c r="AC738" s="55">
        <f>IF(AQ738="1",BI738,0)</f>
        <v>0</v>
      </c>
      <c r="AD738" s="55">
        <f>IF(AQ738="7",BH738,0)</f>
        <v>0</v>
      </c>
      <c r="AE738" s="55">
        <f>IF(AQ738="7",BI738,0)</f>
        <v>0</v>
      </c>
      <c r="AF738" s="55">
        <f>IF(AQ738="2",BH738,0)</f>
        <v>0</v>
      </c>
      <c r="AG738" s="55">
        <f>IF(AQ738="2",BI738,0)</f>
        <v>0</v>
      </c>
      <c r="AH738" s="55">
        <f>IF(AQ738="0",BJ738,0)</f>
        <v>0</v>
      </c>
      <c r="AI738" s="33" t="s">
        <v>4</v>
      </c>
      <c r="AJ738" s="55">
        <f>IF(AN738=0,I738,0)</f>
        <v>0</v>
      </c>
      <c r="AK738" s="55">
        <f>IF(AN738=12,I738,0)</f>
        <v>0</v>
      </c>
      <c r="AL738" s="55">
        <f>IF(AN738=21,I738,0)</f>
        <v>0</v>
      </c>
      <c r="AN738" s="55">
        <v>21</v>
      </c>
      <c r="AO738" s="55">
        <f>H738*0.568421183</f>
        <v>0</v>
      </c>
      <c r="AP738" s="55">
        <f>H738*(1-0.568421183)</f>
        <v>0</v>
      </c>
      <c r="AQ738" s="58" t="s">
        <v>162</v>
      </c>
      <c r="AV738" s="55">
        <f>AW738+AX738</f>
        <v>0</v>
      </c>
      <c r="AW738" s="55">
        <f>G738*AO738</f>
        <v>0</v>
      </c>
      <c r="AX738" s="55">
        <f>G738*AP738</f>
        <v>0</v>
      </c>
      <c r="AY738" s="58" t="s">
        <v>867</v>
      </c>
      <c r="AZ738" s="58" t="s">
        <v>868</v>
      </c>
      <c r="BA738" s="33" t="s">
        <v>125</v>
      </c>
      <c r="BB738" s="59">
        <v>100011</v>
      </c>
      <c r="BC738" s="55">
        <f>AW738+AX738</f>
        <v>0</v>
      </c>
      <c r="BD738" s="55">
        <f>H738/(100-BE738)*100</f>
        <v>0</v>
      </c>
      <c r="BE738" s="55">
        <v>0</v>
      </c>
      <c r="BF738" s="55">
        <f>L738</f>
        <v>8.7512000000000006E-3</v>
      </c>
      <c r="BH738" s="55">
        <f>G738*AO738</f>
        <v>0</v>
      </c>
      <c r="BI738" s="55">
        <f>G738*AP738</f>
        <v>0</v>
      </c>
      <c r="BJ738" s="55">
        <f>G738*H738</f>
        <v>0</v>
      </c>
      <c r="BK738" s="55"/>
      <c r="BL738" s="55">
        <v>771</v>
      </c>
      <c r="BW738" s="55">
        <v>21</v>
      </c>
      <c r="BX738" s="3" t="s">
        <v>903</v>
      </c>
    </row>
    <row r="739" spans="1:76">
      <c r="A739" s="60"/>
      <c r="D739" s="61" t="s">
        <v>500</v>
      </c>
      <c r="E739" s="61" t="s">
        <v>501</v>
      </c>
      <c r="G739" s="62">
        <v>15.79</v>
      </c>
      <c r="M739" s="63"/>
    </row>
    <row r="740" spans="1:76">
      <c r="A740" s="60"/>
      <c r="D740" s="61" t="s">
        <v>502</v>
      </c>
      <c r="E740" s="61" t="s">
        <v>503</v>
      </c>
      <c r="G740" s="62">
        <v>2.61</v>
      </c>
      <c r="M740" s="63"/>
    </row>
    <row r="741" spans="1:76">
      <c r="A741" s="60"/>
      <c r="D741" s="61" t="s">
        <v>504</v>
      </c>
      <c r="E741" s="61" t="s">
        <v>505</v>
      </c>
      <c r="G741" s="62">
        <v>1.89</v>
      </c>
      <c r="M741" s="63"/>
    </row>
    <row r="742" spans="1:76">
      <c r="A742" s="60"/>
      <c r="D742" s="61" t="s">
        <v>506</v>
      </c>
      <c r="E742" s="61" t="s">
        <v>507</v>
      </c>
      <c r="G742" s="62">
        <v>5.2</v>
      </c>
      <c r="M742" s="63"/>
    </row>
    <row r="743" spans="1:76">
      <c r="A743" s="60"/>
      <c r="D743" s="61" t="s">
        <v>508</v>
      </c>
      <c r="E743" s="61" t="s">
        <v>509</v>
      </c>
      <c r="G743" s="62">
        <v>4.7300000000000004</v>
      </c>
      <c r="M743" s="63"/>
    </row>
    <row r="744" spans="1:76">
      <c r="A744" s="60"/>
      <c r="D744" s="61" t="s">
        <v>510</v>
      </c>
      <c r="E744" s="61" t="s">
        <v>511</v>
      </c>
      <c r="G744" s="62">
        <v>4.42</v>
      </c>
      <c r="M744" s="63"/>
    </row>
    <row r="745" spans="1:76">
      <c r="A745" s="60"/>
      <c r="D745" s="61" t="s">
        <v>512</v>
      </c>
      <c r="E745" s="61" t="s">
        <v>513</v>
      </c>
      <c r="G745" s="62">
        <v>5.34</v>
      </c>
      <c r="M745" s="63"/>
    </row>
    <row r="746" spans="1:76">
      <c r="A746" s="60"/>
      <c r="D746" s="61" t="s">
        <v>514</v>
      </c>
      <c r="E746" s="61" t="s">
        <v>515</v>
      </c>
      <c r="G746" s="62">
        <v>5.21</v>
      </c>
      <c r="M746" s="63"/>
    </row>
    <row r="747" spans="1:76">
      <c r="A747" s="60"/>
      <c r="D747" s="61" t="s">
        <v>516</v>
      </c>
      <c r="E747" s="61" t="s">
        <v>517</v>
      </c>
      <c r="G747" s="62">
        <v>5.63</v>
      </c>
      <c r="M747" s="63"/>
    </row>
    <row r="748" spans="1:76">
      <c r="A748" s="60"/>
      <c r="D748" s="61" t="s">
        <v>518</v>
      </c>
      <c r="E748" s="61" t="s">
        <v>519</v>
      </c>
      <c r="G748" s="62">
        <v>16.84</v>
      </c>
      <c r="M748" s="63"/>
    </row>
    <row r="749" spans="1:76">
      <c r="A749" s="60"/>
      <c r="D749" s="61" t="s">
        <v>849</v>
      </c>
      <c r="E749" s="61" t="s">
        <v>308</v>
      </c>
      <c r="G749" s="62">
        <v>5.51</v>
      </c>
      <c r="M749" s="63"/>
    </row>
    <row r="750" spans="1:76">
      <c r="A750" s="60"/>
      <c r="D750" s="61" t="s">
        <v>520</v>
      </c>
      <c r="E750" s="61" t="s">
        <v>521</v>
      </c>
      <c r="G750" s="62">
        <v>9.5500000000000007</v>
      </c>
      <c r="M750" s="63"/>
    </row>
    <row r="751" spans="1:76">
      <c r="A751" s="60"/>
      <c r="D751" s="61" t="s">
        <v>522</v>
      </c>
      <c r="E751" s="61" t="s">
        <v>314</v>
      </c>
      <c r="G751" s="62">
        <v>8.5</v>
      </c>
      <c r="M751" s="63"/>
    </row>
    <row r="752" spans="1:76">
      <c r="A752" s="60"/>
      <c r="D752" s="61" t="s">
        <v>523</v>
      </c>
      <c r="E752" s="61" t="s">
        <v>318</v>
      </c>
      <c r="G752" s="62">
        <v>1.86</v>
      </c>
      <c r="M752" s="63"/>
    </row>
    <row r="753" spans="1:76">
      <c r="A753" s="60"/>
      <c r="D753" s="61" t="s">
        <v>524</v>
      </c>
      <c r="E753" s="61" t="s">
        <v>525</v>
      </c>
      <c r="G753" s="62">
        <v>6.51</v>
      </c>
      <c r="M753" s="63"/>
    </row>
    <row r="754" spans="1:76">
      <c r="A754" s="60"/>
      <c r="D754" s="61" t="s">
        <v>526</v>
      </c>
      <c r="E754" s="61" t="s">
        <v>324</v>
      </c>
      <c r="G754" s="62">
        <v>4.93</v>
      </c>
      <c r="M754" s="63"/>
    </row>
    <row r="755" spans="1:76">
      <c r="A755" s="60"/>
      <c r="D755" s="61" t="s">
        <v>527</v>
      </c>
      <c r="E755" s="61" t="s">
        <v>528</v>
      </c>
      <c r="G755" s="62">
        <v>4.87</v>
      </c>
      <c r="M755" s="63"/>
    </row>
    <row r="756" spans="1:76" ht="38.25">
      <c r="A756" s="60"/>
      <c r="C756" s="64" t="s">
        <v>127</v>
      </c>
      <c r="D756" s="618" t="s">
        <v>904</v>
      </c>
      <c r="E756" s="619"/>
      <c r="F756" s="619"/>
      <c r="G756" s="619"/>
      <c r="H756" s="620"/>
      <c r="I756" s="619"/>
      <c r="J756" s="619"/>
      <c r="K756" s="619"/>
      <c r="L756" s="619"/>
      <c r="M756" s="621"/>
      <c r="BX756" s="65" t="s">
        <v>904</v>
      </c>
    </row>
    <row r="757" spans="1:76">
      <c r="A757" s="1" t="s">
        <v>905</v>
      </c>
      <c r="B757" s="2" t="s">
        <v>4</v>
      </c>
      <c r="C757" s="2" t="s">
        <v>906</v>
      </c>
      <c r="D757" s="549" t="s">
        <v>907</v>
      </c>
      <c r="E757" s="546"/>
      <c r="F757" s="2" t="s">
        <v>219</v>
      </c>
      <c r="G757" s="55">
        <v>14</v>
      </c>
      <c r="H757" s="56">
        <v>0</v>
      </c>
      <c r="I757" s="55">
        <f>G757*H757</f>
        <v>0</v>
      </c>
      <c r="J757" s="55">
        <v>0</v>
      </c>
      <c r="K757" s="55">
        <v>1.7000000000000001E-4</v>
      </c>
      <c r="L757" s="55">
        <f>G757*K757</f>
        <v>2.3800000000000002E-3</v>
      </c>
      <c r="M757" s="57" t="s">
        <v>122</v>
      </c>
      <c r="Z757" s="55">
        <f>IF(AQ757="5",BJ757,0)</f>
        <v>0</v>
      </c>
      <c r="AB757" s="55">
        <f>IF(AQ757="1",BH757,0)</f>
        <v>0</v>
      </c>
      <c r="AC757" s="55">
        <f>IF(AQ757="1",BI757,0)</f>
        <v>0</v>
      </c>
      <c r="AD757" s="55">
        <f>IF(AQ757="7",BH757,0)</f>
        <v>0</v>
      </c>
      <c r="AE757" s="55">
        <f>IF(AQ757="7",BI757,0)</f>
        <v>0</v>
      </c>
      <c r="AF757" s="55">
        <f>IF(AQ757="2",BH757,0)</f>
        <v>0</v>
      </c>
      <c r="AG757" s="55">
        <f>IF(AQ757="2",BI757,0)</f>
        <v>0</v>
      </c>
      <c r="AH757" s="55">
        <f>IF(AQ757="0",BJ757,0)</f>
        <v>0</v>
      </c>
      <c r="AI757" s="33" t="s">
        <v>4</v>
      </c>
      <c r="AJ757" s="55">
        <f>IF(AN757=0,I757,0)</f>
        <v>0</v>
      </c>
      <c r="AK757" s="55">
        <f>IF(AN757=12,I757,0)</f>
        <v>0</v>
      </c>
      <c r="AL757" s="55">
        <f>IF(AN757=21,I757,0)</f>
        <v>0</v>
      </c>
      <c r="AN757" s="55">
        <v>21</v>
      </c>
      <c r="AO757" s="55">
        <f>H757*0.683455882</f>
        <v>0</v>
      </c>
      <c r="AP757" s="55">
        <f>H757*(1-0.683455882)</f>
        <v>0</v>
      </c>
      <c r="AQ757" s="58" t="s">
        <v>162</v>
      </c>
      <c r="AV757" s="55">
        <f>AW757+AX757</f>
        <v>0</v>
      </c>
      <c r="AW757" s="55">
        <f>G757*AO757</f>
        <v>0</v>
      </c>
      <c r="AX757" s="55">
        <f>G757*AP757</f>
        <v>0</v>
      </c>
      <c r="AY757" s="58" t="s">
        <v>867</v>
      </c>
      <c r="AZ757" s="58" t="s">
        <v>868</v>
      </c>
      <c r="BA757" s="33" t="s">
        <v>125</v>
      </c>
      <c r="BB757" s="59">
        <v>100011</v>
      </c>
      <c r="BC757" s="55">
        <f>AW757+AX757</f>
        <v>0</v>
      </c>
      <c r="BD757" s="55">
        <f>H757/(100-BE757)*100</f>
        <v>0</v>
      </c>
      <c r="BE757" s="55">
        <v>0</v>
      </c>
      <c r="BF757" s="55">
        <f>L757</f>
        <v>2.3800000000000002E-3</v>
      </c>
      <c r="BH757" s="55">
        <f>G757*AO757</f>
        <v>0</v>
      </c>
      <c r="BI757" s="55">
        <f>G757*AP757</f>
        <v>0</v>
      </c>
      <c r="BJ757" s="55">
        <f>G757*H757</f>
        <v>0</v>
      </c>
      <c r="BK757" s="55"/>
      <c r="BL757" s="55">
        <v>771</v>
      </c>
      <c r="BW757" s="55">
        <v>21</v>
      </c>
      <c r="BX757" s="3" t="s">
        <v>907</v>
      </c>
    </row>
    <row r="758" spans="1:76">
      <c r="A758" s="60"/>
      <c r="D758" s="61" t="s">
        <v>162</v>
      </c>
      <c r="E758" s="61" t="s">
        <v>908</v>
      </c>
      <c r="G758" s="62">
        <v>7</v>
      </c>
      <c r="M758" s="63"/>
    </row>
    <row r="759" spans="1:76">
      <c r="A759" s="60"/>
      <c r="D759" s="61" t="s">
        <v>909</v>
      </c>
      <c r="E759" s="61" t="s">
        <v>910</v>
      </c>
      <c r="G759" s="62">
        <v>0.8</v>
      </c>
      <c r="M759" s="63"/>
    </row>
    <row r="760" spans="1:76">
      <c r="A760" s="60"/>
      <c r="D760" s="61" t="s">
        <v>118</v>
      </c>
      <c r="E760" s="61" t="s">
        <v>911</v>
      </c>
      <c r="G760" s="62">
        <v>1</v>
      </c>
      <c r="M760" s="63"/>
    </row>
    <row r="761" spans="1:76">
      <c r="A761" s="60"/>
      <c r="D761" s="61" t="s">
        <v>118</v>
      </c>
      <c r="E761" s="61" t="s">
        <v>647</v>
      </c>
      <c r="G761" s="62">
        <v>1</v>
      </c>
      <c r="M761" s="63"/>
    </row>
    <row r="762" spans="1:76">
      <c r="A762" s="60"/>
      <c r="D762" s="61" t="s">
        <v>118</v>
      </c>
      <c r="E762" s="61" t="s">
        <v>648</v>
      </c>
      <c r="G762" s="62">
        <v>1</v>
      </c>
      <c r="M762" s="63"/>
    </row>
    <row r="763" spans="1:76">
      <c r="A763" s="60"/>
      <c r="D763" s="61" t="s">
        <v>909</v>
      </c>
      <c r="E763" s="61" t="s">
        <v>649</v>
      </c>
      <c r="G763" s="62">
        <v>0.8</v>
      </c>
      <c r="M763" s="63"/>
    </row>
    <row r="764" spans="1:76">
      <c r="A764" s="60"/>
      <c r="D764" s="61" t="s">
        <v>909</v>
      </c>
      <c r="E764" s="61" t="s">
        <v>650</v>
      </c>
      <c r="G764" s="62">
        <v>0.8</v>
      </c>
      <c r="M764" s="63"/>
    </row>
    <row r="765" spans="1:76">
      <c r="A765" s="60"/>
      <c r="D765" s="61" t="s">
        <v>912</v>
      </c>
      <c r="E765" s="61" t="s">
        <v>651</v>
      </c>
      <c r="G765" s="62">
        <v>1.6</v>
      </c>
      <c r="M765" s="63"/>
    </row>
    <row r="766" spans="1:76" ht="25.5">
      <c r="A766" s="60"/>
      <c r="C766" s="64" t="s">
        <v>127</v>
      </c>
      <c r="D766" s="618" t="s">
        <v>913</v>
      </c>
      <c r="E766" s="619"/>
      <c r="F766" s="619"/>
      <c r="G766" s="619"/>
      <c r="H766" s="620"/>
      <c r="I766" s="619"/>
      <c r="J766" s="619"/>
      <c r="K766" s="619"/>
      <c r="L766" s="619"/>
      <c r="M766" s="621"/>
      <c r="BX766" s="65" t="s">
        <v>913</v>
      </c>
    </row>
    <row r="767" spans="1:76">
      <c r="A767" s="1" t="s">
        <v>914</v>
      </c>
      <c r="B767" s="2" t="s">
        <v>4</v>
      </c>
      <c r="C767" s="2" t="s">
        <v>915</v>
      </c>
      <c r="D767" s="549" t="s">
        <v>916</v>
      </c>
      <c r="E767" s="546"/>
      <c r="F767" s="2" t="s">
        <v>132</v>
      </c>
      <c r="G767" s="55">
        <v>2.9335499999999999</v>
      </c>
      <c r="H767" s="56">
        <v>0</v>
      </c>
      <c r="I767" s="55">
        <f>G767*H767</f>
        <v>0</v>
      </c>
      <c r="J767" s="55">
        <v>0</v>
      </c>
      <c r="K767" s="55">
        <v>0</v>
      </c>
      <c r="L767" s="55">
        <f>G767*K767</f>
        <v>0</v>
      </c>
      <c r="M767" s="57" t="s">
        <v>122</v>
      </c>
      <c r="Z767" s="55">
        <f>IF(AQ767="5",BJ767,0)</f>
        <v>0</v>
      </c>
      <c r="AB767" s="55">
        <f>IF(AQ767="1",BH767,0)</f>
        <v>0</v>
      </c>
      <c r="AC767" s="55">
        <f>IF(AQ767="1",BI767,0)</f>
        <v>0</v>
      </c>
      <c r="AD767" s="55">
        <f>IF(AQ767="7",BH767,0)</f>
        <v>0</v>
      </c>
      <c r="AE767" s="55">
        <f>IF(AQ767="7",BI767,0)</f>
        <v>0</v>
      </c>
      <c r="AF767" s="55">
        <f>IF(AQ767="2",BH767,0)</f>
        <v>0</v>
      </c>
      <c r="AG767" s="55">
        <f>IF(AQ767="2",BI767,0)</f>
        <v>0</v>
      </c>
      <c r="AH767" s="55">
        <f>IF(AQ767="0",BJ767,0)</f>
        <v>0</v>
      </c>
      <c r="AI767" s="33" t="s">
        <v>4</v>
      </c>
      <c r="AJ767" s="55">
        <f>IF(AN767=0,I767,0)</f>
        <v>0</v>
      </c>
      <c r="AK767" s="55">
        <f>IF(AN767=12,I767,0)</f>
        <v>0</v>
      </c>
      <c r="AL767" s="55">
        <f>IF(AN767=21,I767,0)</f>
        <v>0</v>
      </c>
      <c r="AN767" s="55">
        <v>21</v>
      </c>
      <c r="AO767" s="55">
        <f>H767*0</f>
        <v>0</v>
      </c>
      <c r="AP767" s="55">
        <f>H767*(1-0)</f>
        <v>0</v>
      </c>
      <c r="AQ767" s="58" t="s">
        <v>139</v>
      </c>
      <c r="AV767" s="55">
        <f>AW767+AX767</f>
        <v>0</v>
      </c>
      <c r="AW767" s="55">
        <f>G767*AO767</f>
        <v>0</v>
      </c>
      <c r="AX767" s="55">
        <f>G767*AP767</f>
        <v>0</v>
      </c>
      <c r="AY767" s="58" t="s">
        <v>867</v>
      </c>
      <c r="AZ767" s="58" t="s">
        <v>868</v>
      </c>
      <c r="BA767" s="33" t="s">
        <v>125</v>
      </c>
      <c r="BB767" s="59">
        <v>100051</v>
      </c>
      <c r="BC767" s="55">
        <f>AW767+AX767</f>
        <v>0</v>
      </c>
      <c r="BD767" s="55">
        <f>H767/(100-BE767)*100</f>
        <v>0</v>
      </c>
      <c r="BE767" s="55">
        <v>0</v>
      </c>
      <c r="BF767" s="55">
        <f>L767</f>
        <v>0</v>
      </c>
      <c r="BH767" s="55">
        <f>G767*AO767</f>
        <v>0</v>
      </c>
      <c r="BI767" s="55">
        <f>G767*AP767</f>
        <v>0</v>
      </c>
      <c r="BJ767" s="55">
        <f>G767*H767</f>
        <v>0</v>
      </c>
      <c r="BK767" s="55"/>
      <c r="BL767" s="55">
        <v>771</v>
      </c>
      <c r="BW767" s="55">
        <v>21</v>
      </c>
      <c r="BX767" s="3" t="s">
        <v>916</v>
      </c>
    </row>
    <row r="768" spans="1:76">
      <c r="A768" s="50" t="s">
        <v>4</v>
      </c>
      <c r="B768" s="51" t="s">
        <v>4</v>
      </c>
      <c r="C768" s="51" t="s">
        <v>917</v>
      </c>
      <c r="D768" s="625" t="s">
        <v>918</v>
      </c>
      <c r="E768" s="626"/>
      <c r="F768" s="52" t="s">
        <v>79</v>
      </c>
      <c r="G768" s="52" t="s">
        <v>79</v>
      </c>
      <c r="H768" s="53" t="s">
        <v>79</v>
      </c>
      <c r="I768" s="26">
        <f>SUM(I769:I801)</f>
        <v>0</v>
      </c>
      <c r="J768" s="33" t="s">
        <v>4</v>
      </c>
      <c r="K768" s="33" t="s">
        <v>4</v>
      </c>
      <c r="L768" s="26">
        <f>SUM(L769:L801)</f>
        <v>1.6290929544000001</v>
      </c>
      <c r="M768" s="54" t="s">
        <v>4</v>
      </c>
      <c r="AI768" s="33" t="s">
        <v>4</v>
      </c>
      <c r="AS768" s="26">
        <f>SUM(AJ769:AJ801)</f>
        <v>0</v>
      </c>
      <c r="AT768" s="26">
        <f>SUM(AK769:AK801)</f>
        <v>0</v>
      </c>
      <c r="AU768" s="26">
        <f>SUM(AL769:AL801)</f>
        <v>0</v>
      </c>
    </row>
    <row r="769" spans="1:76">
      <c r="A769" s="1" t="s">
        <v>919</v>
      </c>
      <c r="B769" s="2" t="s">
        <v>4</v>
      </c>
      <c r="C769" s="2" t="s">
        <v>920</v>
      </c>
      <c r="D769" s="549" t="s">
        <v>921</v>
      </c>
      <c r="E769" s="546"/>
      <c r="F769" s="2" t="s">
        <v>157</v>
      </c>
      <c r="G769" s="55">
        <v>397.63</v>
      </c>
      <c r="H769" s="56">
        <v>0</v>
      </c>
      <c r="I769" s="55">
        <f>G769*H769</f>
        <v>0</v>
      </c>
      <c r="J769" s="55">
        <v>0</v>
      </c>
      <c r="K769" s="55">
        <v>2.5999999999999998E-4</v>
      </c>
      <c r="L769" s="55">
        <f>G769*K769</f>
        <v>0.10338379999999998</v>
      </c>
      <c r="M769" s="57" t="s">
        <v>122</v>
      </c>
      <c r="Z769" s="55">
        <f>IF(AQ769="5",BJ769,0)</f>
        <v>0</v>
      </c>
      <c r="AB769" s="55">
        <f>IF(AQ769="1",BH769,0)</f>
        <v>0</v>
      </c>
      <c r="AC769" s="55">
        <f>IF(AQ769="1",BI769,0)</f>
        <v>0</v>
      </c>
      <c r="AD769" s="55">
        <f>IF(AQ769="7",BH769,0)</f>
        <v>0</v>
      </c>
      <c r="AE769" s="55">
        <f>IF(AQ769="7",BI769,0)</f>
        <v>0</v>
      </c>
      <c r="AF769" s="55">
        <f>IF(AQ769="2",BH769,0)</f>
        <v>0</v>
      </c>
      <c r="AG769" s="55">
        <f>IF(AQ769="2",BI769,0)</f>
        <v>0</v>
      </c>
      <c r="AH769" s="55">
        <f>IF(AQ769="0",BJ769,0)</f>
        <v>0</v>
      </c>
      <c r="AI769" s="33" t="s">
        <v>4</v>
      </c>
      <c r="AJ769" s="55">
        <f>IF(AN769=0,I769,0)</f>
        <v>0</v>
      </c>
      <c r="AK769" s="55">
        <f>IF(AN769=12,I769,0)</f>
        <v>0</v>
      </c>
      <c r="AL769" s="55">
        <f>IF(AN769=21,I769,0)</f>
        <v>0</v>
      </c>
      <c r="AN769" s="55">
        <v>21</v>
      </c>
      <c r="AO769" s="55">
        <f>H769*0.321555197</f>
        <v>0</v>
      </c>
      <c r="AP769" s="55">
        <f>H769*(1-0.321555197)</f>
        <v>0</v>
      </c>
      <c r="AQ769" s="58" t="s">
        <v>162</v>
      </c>
      <c r="AV769" s="55">
        <f>AW769+AX769</f>
        <v>0</v>
      </c>
      <c r="AW769" s="55">
        <f>G769*AO769</f>
        <v>0</v>
      </c>
      <c r="AX769" s="55">
        <f>G769*AP769</f>
        <v>0</v>
      </c>
      <c r="AY769" s="58" t="s">
        <v>922</v>
      </c>
      <c r="AZ769" s="58" t="s">
        <v>868</v>
      </c>
      <c r="BA769" s="33" t="s">
        <v>125</v>
      </c>
      <c r="BB769" s="59">
        <v>100002</v>
      </c>
      <c r="BC769" s="55">
        <f>AW769+AX769</f>
        <v>0</v>
      </c>
      <c r="BD769" s="55">
        <f>H769/(100-BE769)*100</f>
        <v>0</v>
      </c>
      <c r="BE769" s="55">
        <v>0</v>
      </c>
      <c r="BF769" s="55">
        <f>L769</f>
        <v>0.10338379999999998</v>
      </c>
      <c r="BH769" s="55">
        <f>G769*AO769</f>
        <v>0</v>
      </c>
      <c r="BI769" s="55">
        <f>G769*AP769</f>
        <v>0</v>
      </c>
      <c r="BJ769" s="55">
        <f>G769*H769</f>
        <v>0</v>
      </c>
      <c r="BK769" s="55"/>
      <c r="BL769" s="55">
        <v>776</v>
      </c>
      <c r="BW769" s="55">
        <v>21</v>
      </c>
      <c r="BX769" s="3" t="s">
        <v>921</v>
      </c>
    </row>
    <row r="770" spans="1:76" ht="13.5" customHeight="1">
      <c r="A770" s="60"/>
      <c r="D770" s="634" t="s">
        <v>923</v>
      </c>
      <c r="E770" s="635"/>
      <c r="F770" s="635"/>
      <c r="G770" s="635"/>
      <c r="H770" s="636"/>
      <c r="I770" s="635"/>
      <c r="J770" s="635"/>
      <c r="K770" s="635"/>
      <c r="L770" s="635"/>
      <c r="M770" s="637"/>
    </row>
    <row r="771" spans="1:76">
      <c r="A771" s="60"/>
      <c r="D771" s="61" t="s">
        <v>532</v>
      </c>
      <c r="E771" s="61" t="s">
        <v>533</v>
      </c>
      <c r="G771" s="62">
        <v>22.2</v>
      </c>
      <c r="M771" s="63"/>
    </row>
    <row r="772" spans="1:76">
      <c r="A772" s="60"/>
      <c r="D772" s="61" t="s">
        <v>534</v>
      </c>
      <c r="E772" s="61" t="s">
        <v>535</v>
      </c>
      <c r="G772" s="62">
        <v>21.64</v>
      </c>
      <c r="M772" s="63"/>
    </row>
    <row r="773" spans="1:76">
      <c r="A773" s="60"/>
      <c r="D773" s="61" t="s">
        <v>536</v>
      </c>
      <c r="E773" s="61" t="s">
        <v>537</v>
      </c>
      <c r="G773" s="62">
        <v>20.81</v>
      </c>
      <c r="M773" s="63"/>
    </row>
    <row r="774" spans="1:76">
      <c r="A774" s="60"/>
      <c r="D774" s="61" t="s">
        <v>538</v>
      </c>
      <c r="E774" s="61" t="s">
        <v>539</v>
      </c>
      <c r="G774" s="62">
        <v>21.75</v>
      </c>
      <c r="M774" s="63"/>
    </row>
    <row r="775" spans="1:76">
      <c r="A775" s="60"/>
      <c r="D775" s="61" t="s">
        <v>540</v>
      </c>
      <c r="E775" s="61" t="s">
        <v>541</v>
      </c>
      <c r="G775" s="62">
        <v>19.22</v>
      </c>
      <c r="M775" s="63"/>
    </row>
    <row r="776" spans="1:76">
      <c r="A776" s="60"/>
      <c r="D776" s="61" t="s">
        <v>542</v>
      </c>
      <c r="E776" s="61" t="s">
        <v>543</v>
      </c>
      <c r="G776" s="62">
        <v>20.36</v>
      </c>
      <c r="M776" s="63"/>
    </row>
    <row r="777" spans="1:76">
      <c r="A777" s="60"/>
      <c r="D777" s="61" t="s">
        <v>544</v>
      </c>
      <c r="E777" s="61" t="s">
        <v>545</v>
      </c>
      <c r="G777" s="62">
        <v>7.3</v>
      </c>
      <c r="M777" s="63"/>
    </row>
    <row r="778" spans="1:76">
      <c r="A778" s="60"/>
      <c r="D778" s="61" t="s">
        <v>546</v>
      </c>
      <c r="E778" s="61" t="s">
        <v>547</v>
      </c>
      <c r="G778" s="62">
        <v>29.33</v>
      </c>
      <c r="M778" s="63"/>
    </row>
    <row r="779" spans="1:76">
      <c r="A779" s="60"/>
      <c r="D779" s="61" t="s">
        <v>548</v>
      </c>
      <c r="E779" s="61" t="s">
        <v>310</v>
      </c>
      <c r="G779" s="62">
        <v>154.38</v>
      </c>
      <c r="M779" s="63"/>
    </row>
    <row r="780" spans="1:76">
      <c r="A780" s="60"/>
      <c r="D780" s="61" t="s">
        <v>549</v>
      </c>
      <c r="E780" s="61" t="s">
        <v>550</v>
      </c>
      <c r="G780" s="62">
        <v>36.67</v>
      </c>
      <c r="M780" s="63"/>
    </row>
    <row r="781" spans="1:76">
      <c r="A781" s="60"/>
      <c r="D781" s="61" t="s">
        <v>551</v>
      </c>
      <c r="E781" s="61" t="s">
        <v>552</v>
      </c>
      <c r="G781" s="62">
        <v>25.08</v>
      </c>
      <c r="M781" s="63"/>
    </row>
    <row r="782" spans="1:76">
      <c r="A782" s="60"/>
      <c r="D782" s="61" t="s">
        <v>553</v>
      </c>
      <c r="E782" s="61" t="s">
        <v>554</v>
      </c>
      <c r="G782" s="62">
        <v>18.89</v>
      </c>
      <c r="M782" s="63"/>
    </row>
    <row r="783" spans="1:76">
      <c r="A783" s="66" t="s">
        <v>924</v>
      </c>
      <c r="B783" s="67" t="s">
        <v>4</v>
      </c>
      <c r="C783" s="67" t="s">
        <v>925</v>
      </c>
      <c r="D783" s="622" t="s">
        <v>926</v>
      </c>
      <c r="E783" s="623"/>
      <c r="F783" s="67" t="s">
        <v>157</v>
      </c>
      <c r="G783" s="69">
        <v>457.27523000000002</v>
      </c>
      <c r="H783" s="70">
        <v>0</v>
      </c>
      <c r="I783" s="69">
        <f>G783*H783</f>
        <v>0</v>
      </c>
      <c r="J783" s="69">
        <v>0</v>
      </c>
      <c r="K783" s="69">
        <v>3.2799999999999999E-3</v>
      </c>
      <c r="L783" s="69">
        <f>G783*K783</f>
        <v>1.4998627544000001</v>
      </c>
      <c r="M783" s="71" t="s">
        <v>122</v>
      </c>
      <c r="Z783" s="55">
        <f>IF(AQ783="5",BJ783,0)</f>
        <v>0</v>
      </c>
      <c r="AB783" s="55">
        <f>IF(AQ783="1",BH783,0)</f>
        <v>0</v>
      </c>
      <c r="AC783" s="55">
        <f>IF(AQ783="1",BI783,0)</f>
        <v>0</v>
      </c>
      <c r="AD783" s="55">
        <f>IF(AQ783="7",BH783,0)</f>
        <v>0</v>
      </c>
      <c r="AE783" s="55">
        <f>IF(AQ783="7",BI783,0)</f>
        <v>0</v>
      </c>
      <c r="AF783" s="55">
        <f>IF(AQ783="2",BH783,0)</f>
        <v>0</v>
      </c>
      <c r="AG783" s="55">
        <f>IF(AQ783="2",BI783,0)</f>
        <v>0</v>
      </c>
      <c r="AH783" s="55">
        <f>IF(AQ783="0",BJ783,0)</f>
        <v>0</v>
      </c>
      <c r="AI783" s="33" t="s">
        <v>4</v>
      </c>
      <c r="AJ783" s="69">
        <f>IF(AN783=0,I783,0)</f>
        <v>0</v>
      </c>
      <c r="AK783" s="69">
        <f>IF(AN783=12,I783,0)</f>
        <v>0</v>
      </c>
      <c r="AL783" s="69">
        <f>IF(AN783=21,I783,0)</f>
        <v>0</v>
      </c>
      <c r="AN783" s="55">
        <v>21</v>
      </c>
      <c r="AO783" s="55">
        <f>H783*1</f>
        <v>0</v>
      </c>
      <c r="AP783" s="55">
        <f>H783*(1-1)</f>
        <v>0</v>
      </c>
      <c r="AQ783" s="72" t="s">
        <v>162</v>
      </c>
      <c r="AV783" s="55">
        <f>AW783+AX783</f>
        <v>0</v>
      </c>
      <c r="AW783" s="55">
        <f>G783*AO783</f>
        <v>0</v>
      </c>
      <c r="AX783" s="55">
        <f>G783*AP783</f>
        <v>0</v>
      </c>
      <c r="AY783" s="58" t="s">
        <v>922</v>
      </c>
      <c r="AZ783" s="58" t="s">
        <v>868</v>
      </c>
      <c r="BA783" s="33" t="s">
        <v>125</v>
      </c>
      <c r="BC783" s="55">
        <f>AW783+AX783</f>
        <v>0</v>
      </c>
      <c r="BD783" s="55">
        <f>H783/(100-BE783)*100</f>
        <v>0</v>
      </c>
      <c r="BE783" s="55">
        <v>0</v>
      </c>
      <c r="BF783" s="55">
        <f>L783</f>
        <v>1.4998627544000001</v>
      </c>
      <c r="BH783" s="69">
        <f>G783*AO783</f>
        <v>0</v>
      </c>
      <c r="BI783" s="69">
        <f>G783*AP783</f>
        <v>0</v>
      </c>
      <c r="BJ783" s="69">
        <f>G783*H783</f>
        <v>0</v>
      </c>
      <c r="BK783" s="69"/>
      <c r="BL783" s="55">
        <v>776</v>
      </c>
      <c r="BW783" s="55">
        <v>21</v>
      </c>
      <c r="BX783" s="68" t="s">
        <v>926</v>
      </c>
    </row>
    <row r="784" spans="1:76">
      <c r="A784" s="60"/>
      <c r="D784" s="61" t="s">
        <v>532</v>
      </c>
      <c r="E784" s="61" t="s">
        <v>533</v>
      </c>
      <c r="G784" s="62">
        <v>22.2</v>
      </c>
      <c r="M784" s="63"/>
    </row>
    <row r="785" spans="1:76">
      <c r="A785" s="60"/>
      <c r="D785" s="61" t="s">
        <v>927</v>
      </c>
      <c r="E785" s="61" t="s">
        <v>4</v>
      </c>
      <c r="G785" s="62">
        <v>3.33</v>
      </c>
      <c r="M785" s="63"/>
    </row>
    <row r="786" spans="1:76">
      <c r="A786" s="60"/>
      <c r="C786" s="64" t="s">
        <v>127</v>
      </c>
      <c r="D786" s="618" t="s">
        <v>928</v>
      </c>
      <c r="E786" s="619"/>
      <c r="F786" s="619"/>
      <c r="G786" s="619"/>
      <c r="H786" s="620"/>
      <c r="I786" s="619"/>
      <c r="J786" s="619"/>
      <c r="K786" s="619"/>
      <c r="L786" s="619"/>
      <c r="M786" s="621"/>
      <c r="BX786" s="73" t="s">
        <v>928</v>
      </c>
    </row>
    <row r="787" spans="1:76">
      <c r="A787" s="1" t="s">
        <v>929</v>
      </c>
      <c r="B787" s="2" t="s">
        <v>4</v>
      </c>
      <c r="C787" s="2" t="s">
        <v>930</v>
      </c>
      <c r="D787" s="549" t="s">
        <v>931</v>
      </c>
      <c r="E787" s="546"/>
      <c r="F787" s="2" t="s">
        <v>219</v>
      </c>
      <c r="G787" s="55">
        <v>323.08</v>
      </c>
      <c r="H787" s="56">
        <v>0</v>
      </c>
      <c r="I787" s="55">
        <f>G787*H787</f>
        <v>0</v>
      </c>
      <c r="J787" s="55">
        <v>0</v>
      </c>
      <c r="K787" s="55">
        <v>8.0000000000000007E-5</v>
      </c>
      <c r="L787" s="55">
        <f>G787*K787</f>
        <v>2.5846400000000002E-2</v>
      </c>
      <c r="M787" s="57" t="s">
        <v>122</v>
      </c>
      <c r="Z787" s="55">
        <f>IF(AQ787="5",BJ787,0)</f>
        <v>0</v>
      </c>
      <c r="AB787" s="55">
        <f>IF(AQ787="1",BH787,0)</f>
        <v>0</v>
      </c>
      <c r="AC787" s="55">
        <f>IF(AQ787="1",BI787,0)</f>
        <v>0</v>
      </c>
      <c r="AD787" s="55">
        <f>IF(AQ787="7",BH787,0)</f>
        <v>0</v>
      </c>
      <c r="AE787" s="55">
        <f>IF(AQ787="7",BI787,0)</f>
        <v>0</v>
      </c>
      <c r="AF787" s="55">
        <f>IF(AQ787="2",BH787,0)</f>
        <v>0</v>
      </c>
      <c r="AG787" s="55">
        <f>IF(AQ787="2",BI787,0)</f>
        <v>0</v>
      </c>
      <c r="AH787" s="55">
        <f>IF(AQ787="0",BJ787,0)</f>
        <v>0</v>
      </c>
      <c r="AI787" s="33" t="s">
        <v>4</v>
      </c>
      <c r="AJ787" s="55">
        <f>IF(AN787=0,I787,0)</f>
        <v>0</v>
      </c>
      <c r="AK787" s="55">
        <f>IF(AN787=12,I787,0)</f>
        <v>0</v>
      </c>
      <c r="AL787" s="55">
        <f>IF(AN787=21,I787,0)</f>
        <v>0</v>
      </c>
      <c r="AN787" s="55">
        <v>21</v>
      </c>
      <c r="AO787" s="55">
        <f>H787*0.357142857</f>
        <v>0</v>
      </c>
      <c r="AP787" s="55">
        <f>H787*(1-0.357142857)</f>
        <v>0</v>
      </c>
      <c r="AQ787" s="58" t="s">
        <v>162</v>
      </c>
      <c r="AV787" s="55">
        <f>AW787+AX787</f>
        <v>0</v>
      </c>
      <c r="AW787" s="55">
        <f>G787*AO787</f>
        <v>0</v>
      </c>
      <c r="AX787" s="55">
        <f>G787*AP787</f>
        <v>0</v>
      </c>
      <c r="AY787" s="58" t="s">
        <v>922</v>
      </c>
      <c r="AZ787" s="58" t="s">
        <v>868</v>
      </c>
      <c r="BA787" s="33" t="s">
        <v>125</v>
      </c>
      <c r="BB787" s="59">
        <v>100002</v>
      </c>
      <c r="BC787" s="55">
        <f>AW787+AX787</f>
        <v>0</v>
      </c>
      <c r="BD787" s="55">
        <f>H787/(100-BE787)*100</f>
        <v>0</v>
      </c>
      <c r="BE787" s="55">
        <v>0</v>
      </c>
      <c r="BF787" s="55">
        <f>L787</f>
        <v>2.5846400000000002E-2</v>
      </c>
      <c r="BH787" s="55">
        <f>G787*AO787</f>
        <v>0</v>
      </c>
      <c r="BI787" s="55">
        <f>G787*AP787</f>
        <v>0</v>
      </c>
      <c r="BJ787" s="55">
        <f>G787*H787</f>
        <v>0</v>
      </c>
      <c r="BK787" s="55"/>
      <c r="BL787" s="55">
        <v>776</v>
      </c>
      <c r="BW787" s="55">
        <v>21</v>
      </c>
      <c r="BX787" s="3" t="s">
        <v>931</v>
      </c>
    </row>
    <row r="788" spans="1:76" ht="13.5" customHeight="1">
      <c r="A788" s="60"/>
      <c r="D788" s="634" t="s">
        <v>932</v>
      </c>
      <c r="E788" s="635"/>
      <c r="F788" s="635"/>
      <c r="G788" s="635"/>
      <c r="H788" s="636"/>
      <c r="I788" s="635"/>
      <c r="J788" s="635"/>
      <c r="K788" s="635"/>
      <c r="L788" s="635"/>
      <c r="M788" s="637"/>
    </row>
    <row r="789" spans="1:76">
      <c r="A789" s="60"/>
      <c r="D789" s="61" t="s">
        <v>933</v>
      </c>
      <c r="E789" s="61" t="s">
        <v>533</v>
      </c>
      <c r="G789" s="62">
        <v>17.86</v>
      </c>
      <c r="M789" s="63"/>
    </row>
    <row r="790" spans="1:76">
      <c r="A790" s="60"/>
      <c r="D790" s="61" t="s">
        <v>934</v>
      </c>
      <c r="E790" s="61" t="s">
        <v>535</v>
      </c>
      <c r="G790" s="62">
        <v>17.38</v>
      </c>
      <c r="M790" s="63"/>
    </row>
    <row r="791" spans="1:76">
      <c r="A791" s="60"/>
      <c r="D791" s="61" t="s">
        <v>935</v>
      </c>
      <c r="E791" s="61" t="s">
        <v>537</v>
      </c>
      <c r="G791" s="62">
        <v>17.510000000000002</v>
      </c>
      <c r="M791" s="63"/>
    </row>
    <row r="792" spans="1:76">
      <c r="A792" s="60"/>
      <c r="D792" s="61" t="s">
        <v>936</v>
      </c>
      <c r="E792" s="61" t="s">
        <v>539</v>
      </c>
      <c r="G792" s="62">
        <v>17.54</v>
      </c>
      <c r="M792" s="63"/>
    </row>
    <row r="793" spans="1:76">
      <c r="A793" s="60"/>
      <c r="D793" s="61" t="s">
        <v>937</v>
      </c>
      <c r="E793" s="61" t="s">
        <v>541</v>
      </c>
      <c r="G793" s="62">
        <v>16.37</v>
      </c>
      <c r="M793" s="63"/>
    </row>
    <row r="794" spans="1:76">
      <c r="A794" s="60"/>
      <c r="D794" s="61" t="s">
        <v>938</v>
      </c>
      <c r="E794" s="61" t="s">
        <v>543</v>
      </c>
      <c r="G794" s="62">
        <v>16.510000000000002</v>
      </c>
      <c r="M794" s="63"/>
    </row>
    <row r="795" spans="1:76">
      <c r="A795" s="60"/>
      <c r="D795" s="61" t="s">
        <v>939</v>
      </c>
      <c r="E795" s="61" t="s">
        <v>545</v>
      </c>
      <c r="G795" s="62">
        <v>10.36</v>
      </c>
      <c r="M795" s="63"/>
    </row>
    <row r="796" spans="1:76">
      <c r="A796" s="60"/>
      <c r="D796" s="61" t="s">
        <v>940</v>
      </c>
      <c r="E796" s="61" t="s">
        <v>547</v>
      </c>
      <c r="G796" s="62">
        <v>26.55</v>
      </c>
      <c r="M796" s="63"/>
    </row>
    <row r="797" spans="1:76">
      <c r="A797" s="60"/>
      <c r="D797" s="61" t="s">
        <v>941</v>
      </c>
      <c r="E797" s="61" t="s">
        <v>310</v>
      </c>
      <c r="G797" s="62">
        <v>116.11</v>
      </c>
      <c r="M797" s="63"/>
    </row>
    <row r="798" spans="1:76">
      <c r="A798" s="60"/>
      <c r="D798" s="61" t="s">
        <v>942</v>
      </c>
      <c r="E798" s="61" t="s">
        <v>550</v>
      </c>
      <c r="G798" s="62">
        <v>28.14</v>
      </c>
      <c r="M798" s="63"/>
    </row>
    <row r="799" spans="1:76">
      <c r="A799" s="60"/>
      <c r="D799" s="61" t="s">
        <v>943</v>
      </c>
      <c r="E799" s="61" t="s">
        <v>552</v>
      </c>
      <c r="G799" s="62">
        <v>20.41</v>
      </c>
      <c r="M799" s="63"/>
    </row>
    <row r="800" spans="1:76">
      <c r="A800" s="60"/>
      <c r="D800" s="61" t="s">
        <v>944</v>
      </c>
      <c r="E800" s="61" t="s">
        <v>554</v>
      </c>
      <c r="G800" s="62">
        <v>18.34</v>
      </c>
      <c r="M800" s="63"/>
    </row>
    <row r="801" spans="1:76">
      <c r="A801" s="1" t="s">
        <v>945</v>
      </c>
      <c r="B801" s="2" t="s">
        <v>4</v>
      </c>
      <c r="C801" s="2" t="s">
        <v>946</v>
      </c>
      <c r="D801" s="549" t="s">
        <v>947</v>
      </c>
      <c r="E801" s="546"/>
      <c r="F801" s="2" t="s">
        <v>132</v>
      </c>
      <c r="G801" s="55">
        <v>1.6290899999999999</v>
      </c>
      <c r="H801" s="56">
        <v>0</v>
      </c>
      <c r="I801" s="55">
        <f>G801*H801</f>
        <v>0</v>
      </c>
      <c r="J801" s="55">
        <v>0</v>
      </c>
      <c r="K801" s="55">
        <v>0</v>
      </c>
      <c r="L801" s="55">
        <f>G801*K801</f>
        <v>0</v>
      </c>
      <c r="M801" s="57" t="s">
        <v>122</v>
      </c>
      <c r="Z801" s="55">
        <f>IF(AQ801="5",BJ801,0)</f>
        <v>0</v>
      </c>
      <c r="AB801" s="55">
        <f>IF(AQ801="1",BH801,0)</f>
        <v>0</v>
      </c>
      <c r="AC801" s="55">
        <f>IF(AQ801="1",BI801,0)</f>
        <v>0</v>
      </c>
      <c r="AD801" s="55">
        <f>IF(AQ801="7",BH801,0)</f>
        <v>0</v>
      </c>
      <c r="AE801" s="55">
        <f>IF(AQ801="7",BI801,0)</f>
        <v>0</v>
      </c>
      <c r="AF801" s="55">
        <f>IF(AQ801="2",BH801,0)</f>
        <v>0</v>
      </c>
      <c r="AG801" s="55">
        <f>IF(AQ801="2",BI801,0)</f>
        <v>0</v>
      </c>
      <c r="AH801" s="55">
        <f>IF(AQ801="0",BJ801,0)</f>
        <v>0</v>
      </c>
      <c r="AI801" s="33" t="s">
        <v>4</v>
      </c>
      <c r="AJ801" s="55">
        <f>IF(AN801=0,I801,0)</f>
        <v>0</v>
      </c>
      <c r="AK801" s="55">
        <f>IF(AN801=12,I801,0)</f>
        <v>0</v>
      </c>
      <c r="AL801" s="55">
        <f>IF(AN801=21,I801,0)</f>
        <v>0</v>
      </c>
      <c r="AN801" s="55">
        <v>21</v>
      </c>
      <c r="AO801" s="55">
        <f>H801*0</f>
        <v>0</v>
      </c>
      <c r="AP801" s="55">
        <f>H801*(1-0)</f>
        <v>0</v>
      </c>
      <c r="AQ801" s="58" t="s">
        <v>139</v>
      </c>
      <c r="AV801" s="55">
        <f>AW801+AX801</f>
        <v>0</v>
      </c>
      <c r="AW801" s="55">
        <f>G801*AO801</f>
        <v>0</v>
      </c>
      <c r="AX801" s="55">
        <f>G801*AP801</f>
        <v>0</v>
      </c>
      <c r="AY801" s="58" t="s">
        <v>922</v>
      </c>
      <c r="AZ801" s="58" t="s">
        <v>868</v>
      </c>
      <c r="BA801" s="33" t="s">
        <v>125</v>
      </c>
      <c r="BB801" s="59">
        <v>100052</v>
      </c>
      <c r="BC801" s="55">
        <f>AW801+AX801</f>
        <v>0</v>
      </c>
      <c r="BD801" s="55">
        <f>H801/(100-BE801)*100</f>
        <v>0</v>
      </c>
      <c r="BE801" s="55">
        <v>0</v>
      </c>
      <c r="BF801" s="55">
        <f>L801</f>
        <v>0</v>
      </c>
      <c r="BH801" s="55">
        <f>G801*AO801</f>
        <v>0</v>
      </c>
      <c r="BI801" s="55">
        <f>G801*AP801</f>
        <v>0</v>
      </c>
      <c r="BJ801" s="55">
        <f>G801*H801</f>
        <v>0</v>
      </c>
      <c r="BK801" s="55"/>
      <c r="BL801" s="55">
        <v>776</v>
      </c>
      <c r="BW801" s="55">
        <v>21</v>
      </c>
      <c r="BX801" s="3" t="s">
        <v>947</v>
      </c>
    </row>
    <row r="802" spans="1:76">
      <c r="A802" s="50" t="s">
        <v>4</v>
      </c>
      <c r="B802" s="51" t="s">
        <v>4</v>
      </c>
      <c r="C802" s="51" t="s">
        <v>948</v>
      </c>
      <c r="D802" s="625" t="s">
        <v>949</v>
      </c>
      <c r="E802" s="626"/>
      <c r="F802" s="52" t="s">
        <v>79</v>
      </c>
      <c r="G802" s="52" t="s">
        <v>79</v>
      </c>
      <c r="H802" s="53" t="s">
        <v>79</v>
      </c>
      <c r="I802" s="26">
        <f>SUM(I803:I931)</f>
        <v>0</v>
      </c>
      <c r="J802" s="33" t="s">
        <v>4</v>
      </c>
      <c r="K802" s="33" t="s">
        <v>4</v>
      </c>
      <c r="L802" s="26">
        <f>SUM(L803:L931)</f>
        <v>5.4458679700000001</v>
      </c>
      <c r="M802" s="54" t="s">
        <v>4</v>
      </c>
      <c r="AI802" s="33" t="s">
        <v>4</v>
      </c>
      <c r="AS802" s="26">
        <f>SUM(AJ803:AJ931)</f>
        <v>0</v>
      </c>
      <c r="AT802" s="26">
        <f>SUM(AK803:AK931)</f>
        <v>0</v>
      </c>
      <c r="AU802" s="26">
        <f>SUM(AL803:AL931)</f>
        <v>0</v>
      </c>
    </row>
    <row r="803" spans="1:76">
      <c r="A803" s="1" t="s">
        <v>950</v>
      </c>
      <c r="B803" s="2" t="s">
        <v>4</v>
      </c>
      <c r="C803" s="2" t="s">
        <v>951</v>
      </c>
      <c r="D803" s="549" t="s">
        <v>952</v>
      </c>
      <c r="E803" s="546"/>
      <c r="F803" s="2" t="s">
        <v>157</v>
      </c>
      <c r="G803" s="55">
        <v>327.65100000000001</v>
      </c>
      <c r="H803" s="56">
        <v>0</v>
      </c>
      <c r="I803" s="55">
        <f>G803*H803</f>
        <v>0</v>
      </c>
      <c r="J803" s="55">
        <v>0</v>
      </c>
      <c r="K803" s="55">
        <v>2.1000000000000001E-4</v>
      </c>
      <c r="L803" s="55">
        <f>G803*K803</f>
        <v>6.8806710000000007E-2</v>
      </c>
      <c r="M803" s="57" t="s">
        <v>122</v>
      </c>
      <c r="Z803" s="55">
        <f>IF(AQ803="5",BJ803,0)</f>
        <v>0</v>
      </c>
      <c r="AB803" s="55">
        <f>IF(AQ803="1",BH803,0)</f>
        <v>0</v>
      </c>
      <c r="AC803" s="55">
        <f>IF(AQ803="1",BI803,0)</f>
        <v>0</v>
      </c>
      <c r="AD803" s="55">
        <f>IF(AQ803="7",BH803,0)</f>
        <v>0</v>
      </c>
      <c r="AE803" s="55">
        <f>IF(AQ803="7",BI803,0)</f>
        <v>0</v>
      </c>
      <c r="AF803" s="55">
        <f>IF(AQ803="2",BH803,0)</f>
        <v>0</v>
      </c>
      <c r="AG803" s="55">
        <f>IF(AQ803="2",BI803,0)</f>
        <v>0</v>
      </c>
      <c r="AH803" s="55">
        <f>IF(AQ803="0",BJ803,0)</f>
        <v>0</v>
      </c>
      <c r="AI803" s="33" t="s">
        <v>4</v>
      </c>
      <c r="AJ803" s="55">
        <f>IF(AN803=0,I803,0)</f>
        <v>0</v>
      </c>
      <c r="AK803" s="55">
        <f>IF(AN803=12,I803,0)</f>
        <v>0</v>
      </c>
      <c r="AL803" s="55">
        <f>IF(AN803=21,I803,0)</f>
        <v>0</v>
      </c>
      <c r="AN803" s="55">
        <v>21</v>
      </c>
      <c r="AO803" s="55">
        <f>H803*0.472426587</f>
        <v>0</v>
      </c>
      <c r="AP803" s="55">
        <f>H803*(1-0.472426587)</f>
        <v>0</v>
      </c>
      <c r="AQ803" s="58" t="s">
        <v>162</v>
      </c>
      <c r="AV803" s="55">
        <f>AW803+AX803</f>
        <v>0</v>
      </c>
      <c r="AW803" s="55">
        <f>G803*AO803</f>
        <v>0</v>
      </c>
      <c r="AX803" s="55">
        <f>G803*AP803</f>
        <v>0</v>
      </c>
      <c r="AY803" s="58" t="s">
        <v>953</v>
      </c>
      <c r="AZ803" s="58" t="s">
        <v>954</v>
      </c>
      <c r="BA803" s="33" t="s">
        <v>125</v>
      </c>
      <c r="BB803" s="59">
        <v>100012</v>
      </c>
      <c r="BC803" s="55">
        <f>AW803+AX803</f>
        <v>0</v>
      </c>
      <c r="BD803" s="55">
        <f>H803/(100-BE803)*100</f>
        <v>0</v>
      </c>
      <c r="BE803" s="55">
        <v>0</v>
      </c>
      <c r="BF803" s="55">
        <f>L803</f>
        <v>6.8806710000000007E-2</v>
      </c>
      <c r="BH803" s="55">
        <f>G803*AO803</f>
        <v>0</v>
      </c>
      <c r="BI803" s="55">
        <f>G803*AP803</f>
        <v>0</v>
      </c>
      <c r="BJ803" s="55">
        <f>G803*H803</f>
        <v>0</v>
      </c>
      <c r="BK803" s="55"/>
      <c r="BL803" s="55">
        <v>781</v>
      </c>
      <c r="BW803" s="55">
        <v>21</v>
      </c>
      <c r="BX803" s="3" t="s">
        <v>952</v>
      </c>
    </row>
    <row r="804" spans="1:76">
      <c r="A804" s="60"/>
      <c r="D804" s="61" t="s">
        <v>955</v>
      </c>
      <c r="E804" s="61" t="s">
        <v>956</v>
      </c>
      <c r="G804" s="62">
        <v>1.44</v>
      </c>
      <c r="M804" s="63"/>
    </row>
    <row r="805" spans="1:76">
      <c r="A805" s="60"/>
      <c r="D805" s="61" t="s">
        <v>957</v>
      </c>
      <c r="E805" s="61" t="s">
        <v>339</v>
      </c>
      <c r="G805" s="62">
        <v>8.9250000000000007</v>
      </c>
      <c r="M805" s="63"/>
    </row>
    <row r="806" spans="1:76">
      <c r="A806" s="60"/>
      <c r="D806" s="61" t="s">
        <v>340</v>
      </c>
      <c r="E806" s="61" t="s">
        <v>341</v>
      </c>
      <c r="G806" s="62">
        <v>14.125</v>
      </c>
      <c r="M806" s="63"/>
    </row>
    <row r="807" spans="1:76">
      <c r="A807" s="60"/>
      <c r="D807" s="61" t="s">
        <v>342</v>
      </c>
      <c r="E807" s="61" t="s">
        <v>343</v>
      </c>
      <c r="G807" s="62">
        <v>22.076499999999999</v>
      </c>
      <c r="M807" s="63"/>
    </row>
    <row r="808" spans="1:76">
      <c r="A808" s="60"/>
      <c r="D808" s="61" t="s">
        <v>289</v>
      </c>
      <c r="E808" s="61" t="s">
        <v>290</v>
      </c>
      <c r="G808" s="62">
        <v>36.3245</v>
      </c>
      <c r="M808" s="63"/>
    </row>
    <row r="809" spans="1:76">
      <c r="A809" s="60"/>
      <c r="D809" s="61" t="s">
        <v>660</v>
      </c>
      <c r="E809" s="61" t="s">
        <v>513</v>
      </c>
      <c r="G809" s="62">
        <v>21.7195</v>
      </c>
      <c r="M809" s="63"/>
    </row>
    <row r="810" spans="1:76">
      <c r="A810" s="60"/>
      <c r="D810" s="61" t="s">
        <v>661</v>
      </c>
      <c r="E810" s="61" t="s">
        <v>515</v>
      </c>
      <c r="G810" s="62">
        <v>21.439</v>
      </c>
      <c r="M810" s="63"/>
    </row>
    <row r="811" spans="1:76">
      <c r="A811" s="60"/>
      <c r="D811" s="61" t="s">
        <v>662</v>
      </c>
      <c r="E811" s="61" t="s">
        <v>517</v>
      </c>
      <c r="G811" s="62">
        <v>22.765000000000001</v>
      </c>
      <c r="M811" s="63"/>
    </row>
    <row r="812" spans="1:76">
      <c r="A812" s="60"/>
      <c r="D812" s="61" t="s">
        <v>663</v>
      </c>
      <c r="E812" s="61" t="s">
        <v>519</v>
      </c>
      <c r="G812" s="62">
        <v>45.887999999999998</v>
      </c>
      <c r="M812" s="63"/>
    </row>
    <row r="813" spans="1:76">
      <c r="A813" s="60"/>
      <c r="D813" s="61" t="s">
        <v>307</v>
      </c>
      <c r="E813" s="61" t="s">
        <v>308</v>
      </c>
      <c r="G813" s="62">
        <v>23.050999999999998</v>
      </c>
      <c r="M813" s="63"/>
    </row>
    <row r="814" spans="1:76">
      <c r="A814" s="60"/>
      <c r="D814" s="61" t="s">
        <v>664</v>
      </c>
      <c r="E814" s="61" t="s">
        <v>312</v>
      </c>
      <c r="G814" s="62">
        <v>18.861999999999998</v>
      </c>
      <c r="M814" s="63"/>
    </row>
    <row r="815" spans="1:76">
      <c r="A815" s="60"/>
      <c r="D815" s="61" t="s">
        <v>958</v>
      </c>
      <c r="E815" s="61" t="s">
        <v>959</v>
      </c>
      <c r="G815" s="62">
        <v>3.282</v>
      </c>
      <c r="M815" s="63"/>
    </row>
    <row r="816" spans="1:76">
      <c r="A816" s="60"/>
      <c r="D816" s="61" t="s">
        <v>317</v>
      </c>
      <c r="E816" s="61" t="s">
        <v>318</v>
      </c>
      <c r="G816" s="62">
        <v>13.188499999999999</v>
      </c>
      <c r="M816" s="63"/>
    </row>
    <row r="817" spans="1:76">
      <c r="A817" s="60"/>
      <c r="D817" s="61" t="s">
        <v>665</v>
      </c>
      <c r="E817" s="61" t="s">
        <v>525</v>
      </c>
      <c r="G817" s="62">
        <v>29.406500000000001</v>
      </c>
      <c r="M817" s="63"/>
    </row>
    <row r="818" spans="1:76">
      <c r="A818" s="60"/>
      <c r="D818" s="61" t="s">
        <v>323</v>
      </c>
      <c r="E818" s="61" t="s">
        <v>324</v>
      </c>
      <c r="G818" s="62">
        <v>21.119</v>
      </c>
      <c r="M818" s="63"/>
    </row>
    <row r="819" spans="1:76">
      <c r="A819" s="60"/>
      <c r="D819" s="61" t="s">
        <v>325</v>
      </c>
      <c r="E819" s="61" t="s">
        <v>326</v>
      </c>
      <c r="G819" s="62">
        <v>20.991499999999998</v>
      </c>
      <c r="M819" s="63"/>
    </row>
    <row r="820" spans="1:76">
      <c r="A820" s="60"/>
      <c r="D820" s="61" t="s">
        <v>960</v>
      </c>
      <c r="E820" s="61" t="s">
        <v>387</v>
      </c>
      <c r="G820" s="62">
        <v>3.048</v>
      </c>
      <c r="M820" s="63"/>
    </row>
    <row r="821" spans="1:76">
      <c r="A821" s="60"/>
      <c r="C821" s="64" t="s">
        <v>127</v>
      </c>
      <c r="D821" s="618" t="s">
        <v>961</v>
      </c>
      <c r="E821" s="619"/>
      <c r="F821" s="619"/>
      <c r="G821" s="619"/>
      <c r="H821" s="620"/>
      <c r="I821" s="619"/>
      <c r="J821" s="619"/>
      <c r="K821" s="619"/>
      <c r="L821" s="619"/>
      <c r="M821" s="621"/>
      <c r="BX821" s="65" t="s">
        <v>961</v>
      </c>
    </row>
    <row r="822" spans="1:76">
      <c r="A822" s="1" t="s">
        <v>962</v>
      </c>
      <c r="B822" s="2" t="s">
        <v>4</v>
      </c>
      <c r="C822" s="2" t="s">
        <v>963</v>
      </c>
      <c r="D822" s="549" t="s">
        <v>964</v>
      </c>
      <c r="E822" s="546"/>
      <c r="F822" s="2" t="s">
        <v>157</v>
      </c>
      <c r="G822" s="55">
        <v>327.65100000000001</v>
      </c>
      <c r="H822" s="56">
        <v>0</v>
      </c>
      <c r="I822" s="55">
        <f>G822*H822</f>
        <v>0</v>
      </c>
      <c r="J822" s="55">
        <v>0</v>
      </c>
      <c r="K822" s="55">
        <v>4.7800000000000004E-3</v>
      </c>
      <c r="L822" s="55">
        <f>G822*K822</f>
        <v>1.5661717800000001</v>
      </c>
      <c r="M822" s="57" t="s">
        <v>122</v>
      </c>
      <c r="Z822" s="55">
        <f>IF(AQ822="5",BJ822,0)</f>
        <v>0</v>
      </c>
      <c r="AB822" s="55">
        <f>IF(AQ822="1",BH822,0)</f>
        <v>0</v>
      </c>
      <c r="AC822" s="55">
        <f>IF(AQ822="1",BI822,0)</f>
        <v>0</v>
      </c>
      <c r="AD822" s="55">
        <f>IF(AQ822="7",BH822,0)</f>
        <v>0</v>
      </c>
      <c r="AE822" s="55">
        <f>IF(AQ822="7",BI822,0)</f>
        <v>0</v>
      </c>
      <c r="AF822" s="55">
        <f>IF(AQ822="2",BH822,0)</f>
        <v>0</v>
      </c>
      <c r="AG822" s="55">
        <f>IF(AQ822="2",BI822,0)</f>
        <v>0</v>
      </c>
      <c r="AH822" s="55">
        <f>IF(AQ822="0",BJ822,0)</f>
        <v>0</v>
      </c>
      <c r="AI822" s="33" t="s">
        <v>4</v>
      </c>
      <c r="AJ822" s="55">
        <f>IF(AN822=0,I822,0)</f>
        <v>0</v>
      </c>
      <c r="AK822" s="55">
        <f>IF(AN822=12,I822,0)</f>
        <v>0</v>
      </c>
      <c r="AL822" s="55">
        <f>IF(AN822=21,I822,0)</f>
        <v>0</v>
      </c>
      <c r="AN822" s="55">
        <v>21</v>
      </c>
      <c r="AO822" s="55">
        <f>H822*0.143084004</f>
        <v>0</v>
      </c>
      <c r="AP822" s="55">
        <f>H822*(1-0.143084004)</f>
        <v>0</v>
      </c>
      <c r="AQ822" s="58" t="s">
        <v>162</v>
      </c>
      <c r="AV822" s="55">
        <f>AW822+AX822</f>
        <v>0</v>
      </c>
      <c r="AW822" s="55">
        <f>G822*AO822</f>
        <v>0</v>
      </c>
      <c r="AX822" s="55">
        <f>G822*AP822</f>
        <v>0</v>
      </c>
      <c r="AY822" s="58" t="s">
        <v>953</v>
      </c>
      <c r="AZ822" s="58" t="s">
        <v>954</v>
      </c>
      <c r="BA822" s="33" t="s">
        <v>125</v>
      </c>
      <c r="BB822" s="59">
        <v>100012</v>
      </c>
      <c r="BC822" s="55">
        <f>AW822+AX822</f>
        <v>0</v>
      </c>
      <c r="BD822" s="55">
        <f>H822/(100-BE822)*100</f>
        <v>0</v>
      </c>
      <c r="BE822" s="55">
        <v>0</v>
      </c>
      <c r="BF822" s="55">
        <f>L822</f>
        <v>1.5661717800000001</v>
      </c>
      <c r="BH822" s="55">
        <f>G822*AO822</f>
        <v>0</v>
      </c>
      <c r="BI822" s="55">
        <f>G822*AP822</f>
        <v>0</v>
      </c>
      <c r="BJ822" s="55">
        <f>G822*H822</f>
        <v>0</v>
      </c>
      <c r="BK822" s="55"/>
      <c r="BL822" s="55">
        <v>781</v>
      </c>
      <c r="BW822" s="55">
        <v>21</v>
      </c>
      <c r="BX822" s="3" t="s">
        <v>964</v>
      </c>
    </row>
    <row r="823" spans="1:76" ht="13.5" customHeight="1">
      <c r="A823" s="60"/>
      <c r="D823" s="634" t="s">
        <v>965</v>
      </c>
      <c r="E823" s="635"/>
      <c r="F823" s="635"/>
      <c r="G823" s="635"/>
      <c r="H823" s="636"/>
      <c r="I823" s="635"/>
      <c r="J823" s="635"/>
      <c r="K823" s="635"/>
      <c r="L823" s="635"/>
      <c r="M823" s="637"/>
    </row>
    <row r="824" spans="1:76">
      <c r="A824" s="60"/>
      <c r="D824" s="61" t="s">
        <v>955</v>
      </c>
      <c r="E824" s="61" t="s">
        <v>956</v>
      </c>
      <c r="G824" s="62">
        <v>1.44</v>
      </c>
      <c r="M824" s="63"/>
    </row>
    <row r="825" spans="1:76">
      <c r="A825" s="60"/>
      <c r="D825" s="61" t="s">
        <v>957</v>
      </c>
      <c r="E825" s="61" t="s">
        <v>339</v>
      </c>
      <c r="G825" s="62">
        <v>8.9250000000000007</v>
      </c>
      <c r="M825" s="63"/>
    </row>
    <row r="826" spans="1:76">
      <c r="A826" s="60"/>
      <c r="D826" s="61" t="s">
        <v>340</v>
      </c>
      <c r="E826" s="61" t="s">
        <v>341</v>
      </c>
      <c r="G826" s="62">
        <v>14.125</v>
      </c>
      <c r="M826" s="63"/>
    </row>
    <row r="827" spans="1:76">
      <c r="A827" s="60"/>
      <c r="D827" s="61" t="s">
        <v>342</v>
      </c>
      <c r="E827" s="61" t="s">
        <v>343</v>
      </c>
      <c r="G827" s="62">
        <v>22.076499999999999</v>
      </c>
      <c r="M827" s="63"/>
    </row>
    <row r="828" spans="1:76">
      <c r="A828" s="60"/>
      <c r="D828" s="61" t="s">
        <v>289</v>
      </c>
      <c r="E828" s="61" t="s">
        <v>290</v>
      </c>
      <c r="G828" s="62">
        <v>36.3245</v>
      </c>
      <c r="M828" s="63"/>
    </row>
    <row r="829" spans="1:76">
      <c r="A829" s="60"/>
      <c r="D829" s="61" t="s">
        <v>660</v>
      </c>
      <c r="E829" s="61" t="s">
        <v>513</v>
      </c>
      <c r="G829" s="62">
        <v>21.7195</v>
      </c>
      <c r="M829" s="63"/>
    </row>
    <row r="830" spans="1:76">
      <c r="A830" s="60"/>
      <c r="D830" s="61" t="s">
        <v>661</v>
      </c>
      <c r="E830" s="61" t="s">
        <v>515</v>
      </c>
      <c r="G830" s="62">
        <v>21.439</v>
      </c>
      <c r="M830" s="63"/>
    </row>
    <row r="831" spans="1:76">
      <c r="A831" s="60"/>
      <c r="D831" s="61" t="s">
        <v>662</v>
      </c>
      <c r="E831" s="61" t="s">
        <v>517</v>
      </c>
      <c r="G831" s="62">
        <v>22.765000000000001</v>
      </c>
      <c r="M831" s="63"/>
    </row>
    <row r="832" spans="1:76">
      <c r="A832" s="60"/>
      <c r="D832" s="61" t="s">
        <v>663</v>
      </c>
      <c r="E832" s="61" t="s">
        <v>519</v>
      </c>
      <c r="G832" s="62">
        <v>45.887999999999998</v>
      </c>
      <c r="M832" s="63"/>
    </row>
    <row r="833" spans="1:76">
      <c r="A833" s="60"/>
      <c r="D833" s="61" t="s">
        <v>307</v>
      </c>
      <c r="E833" s="61" t="s">
        <v>308</v>
      </c>
      <c r="G833" s="62">
        <v>23.050999999999998</v>
      </c>
      <c r="M833" s="63"/>
    </row>
    <row r="834" spans="1:76">
      <c r="A834" s="60"/>
      <c r="D834" s="61" t="s">
        <v>664</v>
      </c>
      <c r="E834" s="61" t="s">
        <v>312</v>
      </c>
      <c r="G834" s="62">
        <v>18.861999999999998</v>
      </c>
      <c r="M834" s="63"/>
    </row>
    <row r="835" spans="1:76">
      <c r="A835" s="60"/>
      <c r="D835" s="61" t="s">
        <v>958</v>
      </c>
      <c r="E835" s="61" t="s">
        <v>959</v>
      </c>
      <c r="G835" s="62">
        <v>3.282</v>
      </c>
      <c r="M835" s="63"/>
    </row>
    <row r="836" spans="1:76">
      <c r="A836" s="60"/>
      <c r="D836" s="61" t="s">
        <v>317</v>
      </c>
      <c r="E836" s="61" t="s">
        <v>318</v>
      </c>
      <c r="G836" s="62">
        <v>13.188499999999999</v>
      </c>
      <c r="M836" s="63"/>
    </row>
    <row r="837" spans="1:76">
      <c r="A837" s="60"/>
      <c r="D837" s="61" t="s">
        <v>665</v>
      </c>
      <c r="E837" s="61" t="s">
        <v>525</v>
      </c>
      <c r="G837" s="62">
        <v>29.406500000000001</v>
      </c>
      <c r="M837" s="63"/>
    </row>
    <row r="838" spans="1:76">
      <c r="A838" s="60"/>
      <c r="D838" s="61" t="s">
        <v>323</v>
      </c>
      <c r="E838" s="61" t="s">
        <v>324</v>
      </c>
      <c r="G838" s="62">
        <v>21.119</v>
      </c>
      <c r="M838" s="63"/>
    </row>
    <row r="839" spans="1:76">
      <c r="A839" s="60"/>
      <c r="D839" s="61" t="s">
        <v>325</v>
      </c>
      <c r="E839" s="61" t="s">
        <v>326</v>
      </c>
      <c r="G839" s="62">
        <v>20.991499999999998</v>
      </c>
      <c r="M839" s="63"/>
    </row>
    <row r="840" spans="1:76">
      <c r="A840" s="60"/>
      <c r="D840" s="61" t="s">
        <v>960</v>
      </c>
      <c r="E840" s="61" t="s">
        <v>387</v>
      </c>
      <c r="G840" s="62">
        <v>3.048</v>
      </c>
      <c r="M840" s="63"/>
    </row>
    <row r="841" spans="1:76">
      <c r="A841" s="66" t="s">
        <v>966</v>
      </c>
      <c r="B841" s="67" t="s">
        <v>4</v>
      </c>
      <c r="C841" s="67" t="s">
        <v>967</v>
      </c>
      <c r="D841" s="622" t="s">
        <v>968</v>
      </c>
      <c r="E841" s="623"/>
      <c r="F841" s="67" t="s">
        <v>157</v>
      </c>
      <c r="G841" s="69">
        <v>360.41879999999998</v>
      </c>
      <c r="H841" s="70">
        <v>0</v>
      </c>
      <c r="I841" s="69">
        <f>G841*H841</f>
        <v>0</v>
      </c>
      <c r="J841" s="69">
        <v>0</v>
      </c>
      <c r="K841" s="69">
        <v>1.0500000000000001E-2</v>
      </c>
      <c r="L841" s="69">
        <f>G841*K841</f>
        <v>3.7843974</v>
      </c>
      <c r="M841" s="71" t="s">
        <v>122</v>
      </c>
      <c r="Z841" s="55">
        <f>IF(AQ841="5",BJ841,0)</f>
        <v>0</v>
      </c>
      <c r="AB841" s="55">
        <f>IF(AQ841="1",BH841,0)</f>
        <v>0</v>
      </c>
      <c r="AC841" s="55">
        <f>IF(AQ841="1",BI841,0)</f>
        <v>0</v>
      </c>
      <c r="AD841" s="55">
        <f>IF(AQ841="7",BH841,0)</f>
        <v>0</v>
      </c>
      <c r="AE841" s="55">
        <f>IF(AQ841="7",BI841,0)</f>
        <v>0</v>
      </c>
      <c r="AF841" s="55">
        <f>IF(AQ841="2",BH841,0)</f>
        <v>0</v>
      </c>
      <c r="AG841" s="55">
        <f>IF(AQ841="2",BI841,0)</f>
        <v>0</v>
      </c>
      <c r="AH841" s="55">
        <f>IF(AQ841="0",BJ841,0)</f>
        <v>0</v>
      </c>
      <c r="AI841" s="33" t="s">
        <v>4</v>
      </c>
      <c r="AJ841" s="69">
        <f>IF(AN841=0,I841,0)</f>
        <v>0</v>
      </c>
      <c r="AK841" s="69">
        <f>IF(AN841=12,I841,0)</f>
        <v>0</v>
      </c>
      <c r="AL841" s="69">
        <f>IF(AN841=21,I841,0)</f>
        <v>0</v>
      </c>
      <c r="AN841" s="55">
        <v>21</v>
      </c>
      <c r="AO841" s="55">
        <f>H841*1</f>
        <v>0</v>
      </c>
      <c r="AP841" s="55">
        <f>H841*(1-1)</f>
        <v>0</v>
      </c>
      <c r="AQ841" s="72" t="s">
        <v>162</v>
      </c>
      <c r="AV841" s="55">
        <f>AW841+AX841</f>
        <v>0</v>
      </c>
      <c r="AW841" s="55">
        <f>G841*AO841</f>
        <v>0</v>
      </c>
      <c r="AX841" s="55">
        <f>G841*AP841</f>
        <v>0</v>
      </c>
      <c r="AY841" s="58" t="s">
        <v>953</v>
      </c>
      <c r="AZ841" s="58" t="s">
        <v>954</v>
      </c>
      <c r="BA841" s="33" t="s">
        <v>125</v>
      </c>
      <c r="BC841" s="55">
        <f>AW841+AX841</f>
        <v>0</v>
      </c>
      <c r="BD841" s="55">
        <f>H841/(100-BE841)*100</f>
        <v>0</v>
      </c>
      <c r="BE841" s="55">
        <v>0</v>
      </c>
      <c r="BF841" s="55">
        <f>L841</f>
        <v>3.7843974</v>
      </c>
      <c r="BH841" s="69">
        <f>G841*AO841</f>
        <v>0</v>
      </c>
      <c r="BI841" s="69">
        <f>G841*AP841</f>
        <v>0</v>
      </c>
      <c r="BJ841" s="69">
        <f>G841*H841</f>
        <v>0</v>
      </c>
      <c r="BK841" s="69"/>
      <c r="BL841" s="55">
        <v>781</v>
      </c>
      <c r="BW841" s="55">
        <v>21</v>
      </c>
      <c r="BX841" s="68" t="s">
        <v>968</v>
      </c>
    </row>
    <row r="842" spans="1:76">
      <c r="A842" s="60"/>
      <c r="D842" s="61" t="s">
        <v>955</v>
      </c>
      <c r="E842" s="61" t="s">
        <v>956</v>
      </c>
      <c r="G842" s="62">
        <v>1.44</v>
      </c>
      <c r="M842" s="63"/>
    </row>
    <row r="843" spans="1:76">
      <c r="A843" s="60"/>
      <c r="D843" s="61" t="s">
        <v>969</v>
      </c>
      <c r="E843" s="61" t="s">
        <v>4</v>
      </c>
      <c r="G843" s="62">
        <v>0.14399999999999999</v>
      </c>
      <c r="M843" s="63"/>
    </row>
    <row r="844" spans="1:76">
      <c r="A844" s="60"/>
      <c r="C844" s="64" t="s">
        <v>127</v>
      </c>
      <c r="D844" s="618" t="s">
        <v>970</v>
      </c>
      <c r="E844" s="619"/>
      <c r="F844" s="619"/>
      <c r="G844" s="619"/>
      <c r="H844" s="620"/>
      <c r="I844" s="619"/>
      <c r="J844" s="619"/>
      <c r="K844" s="619"/>
      <c r="L844" s="619"/>
      <c r="M844" s="621"/>
      <c r="BX844" s="73" t="s">
        <v>970</v>
      </c>
    </row>
    <row r="845" spans="1:76">
      <c r="A845" s="1" t="s">
        <v>971</v>
      </c>
      <c r="B845" s="2" t="s">
        <v>4</v>
      </c>
      <c r="C845" s="2" t="s">
        <v>972</v>
      </c>
      <c r="D845" s="549" t="s">
        <v>973</v>
      </c>
      <c r="E845" s="546"/>
      <c r="F845" s="2" t="s">
        <v>145</v>
      </c>
      <c r="G845" s="55">
        <v>58</v>
      </c>
      <c r="H845" s="56">
        <v>0</v>
      </c>
      <c r="I845" s="55">
        <f>G845*H845</f>
        <v>0</v>
      </c>
      <c r="J845" s="55">
        <v>0</v>
      </c>
      <c r="K845" s="55">
        <v>0</v>
      </c>
      <c r="L845" s="55">
        <f>G845*K845</f>
        <v>0</v>
      </c>
      <c r="M845" s="57" t="s">
        <v>122</v>
      </c>
      <c r="Z845" s="55">
        <f>IF(AQ845="5",BJ845,0)</f>
        <v>0</v>
      </c>
      <c r="AB845" s="55">
        <f>IF(AQ845="1",BH845,0)</f>
        <v>0</v>
      </c>
      <c r="AC845" s="55">
        <f>IF(AQ845="1",BI845,0)</f>
        <v>0</v>
      </c>
      <c r="AD845" s="55">
        <f>IF(AQ845="7",BH845,0)</f>
        <v>0</v>
      </c>
      <c r="AE845" s="55">
        <f>IF(AQ845="7",BI845,0)</f>
        <v>0</v>
      </c>
      <c r="AF845" s="55">
        <f>IF(AQ845="2",BH845,0)</f>
        <v>0</v>
      </c>
      <c r="AG845" s="55">
        <f>IF(AQ845="2",BI845,0)</f>
        <v>0</v>
      </c>
      <c r="AH845" s="55">
        <f>IF(AQ845="0",BJ845,0)</f>
        <v>0</v>
      </c>
      <c r="AI845" s="33" t="s">
        <v>4</v>
      </c>
      <c r="AJ845" s="55">
        <f>IF(AN845=0,I845,0)</f>
        <v>0</v>
      </c>
      <c r="AK845" s="55">
        <f>IF(AN845=12,I845,0)</f>
        <v>0</v>
      </c>
      <c r="AL845" s="55">
        <f>IF(AN845=21,I845,0)</f>
        <v>0</v>
      </c>
      <c r="AN845" s="55">
        <v>21</v>
      </c>
      <c r="AO845" s="55">
        <f>H845*0.027118644</f>
        <v>0</v>
      </c>
      <c r="AP845" s="55">
        <f>H845*(1-0.027118644)</f>
        <v>0</v>
      </c>
      <c r="AQ845" s="58" t="s">
        <v>162</v>
      </c>
      <c r="AV845" s="55">
        <f>AW845+AX845</f>
        <v>0</v>
      </c>
      <c r="AW845" s="55">
        <f>G845*AO845</f>
        <v>0</v>
      </c>
      <c r="AX845" s="55">
        <f>G845*AP845</f>
        <v>0</v>
      </c>
      <c r="AY845" s="58" t="s">
        <v>953</v>
      </c>
      <c r="AZ845" s="58" t="s">
        <v>954</v>
      </c>
      <c r="BA845" s="33" t="s">
        <v>125</v>
      </c>
      <c r="BB845" s="59">
        <v>100012</v>
      </c>
      <c r="BC845" s="55">
        <f>AW845+AX845</f>
        <v>0</v>
      </c>
      <c r="BD845" s="55">
        <f>H845/(100-BE845)*100</f>
        <v>0</v>
      </c>
      <c r="BE845" s="55">
        <v>0</v>
      </c>
      <c r="BF845" s="55">
        <f>L845</f>
        <v>0</v>
      </c>
      <c r="BH845" s="55">
        <f>G845*AO845</f>
        <v>0</v>
      </c>
      <c r="BI845" s="55">
        <f>G845*AP845</f>
        <v>0</v>
      </c>
      <c r="BJ845" s="55">
        <f>G845*H845</f>
        <v>0</v>
      </c>
      <c r="BK845" s="55"/>
      <c r="BL845" s="55">
        <v>781</v>
      </c>
      <c r="BW845" s="55">
        <v>21</v>
      </c>
      <c r="BX845" s="3" t="s">
        <v>973</v>
      </c>
    </row>
    <row r="846" spans="1:76">
      <c r="A846" s="60"/>
      <c r="D846" s="61" t="s">
        <v>129</v>
      </c>
      <c r="E846" s="61" t="s">
        <v>679</v>
      </c>
      <c r="G846" s="62">
        <v>2</v>
      </c>
      <c r="M846" s="63"/>
    </row>
    <row r="847" spans="1:76">
      <c r="A847" s="60"/>
      <c r="D847" s="61" t="s">
        <v>142</v>
      </c>
      <c r="E847" s="61" t="s">
        <v>659</v>
      </c>
      <c r="G847" s="62">
        <v>4</v>
      </c>
      <c r="M847" s="63"/>
    </row>
    <row r="848" spans="1:76">
      <c r="A848" s="60"/>
      <c r="D848" s="61" t="s">
        <v>169</v>
      </c>
      <c r="E848" s="61" t="s">
        <v>643</v>
      </c>
      <c r="G848" s="62">
        <v>8</v>
      </c>
      <c r="M848" s="63"/>
    </row>
    <row r="849" spans="1:76">
      <c r="A849" s="60"/>
      <c r="D849" s="61" t="s">
        <v>169</v>
      </c>
      <c r="E849" s="61" t="s">
        <v>644</v>
      </c>
      <c r="G849" s="62">
        <v>8</v>
      </c>
      <c r="M849" s="63"/>
    </row>
    <row r="850" spans="1:76">
      <c r="A850" s="60"/>
      <c r="D850" s="61" t="s">
        <v>142</v>
      </c>
      <c r="E850" s="61" t="s">
        <v>645</v>
      </c>
      <c r="G850" s="62">
        <v>4</v>
      </c>
      <c r="M850" s="63"/>
    </row>
    <row r="851" spans="1:76">
      <c r="A851" s="60"/>
      <c r="D851" s="61" t="s">
        <v>142</v>
      </c>
      <c r="E851" s="61" t="s">
        <v>646</v>
      </c>
      <c r="G851" s="62">
        <v>4</v>
      </c>
      <c r="M851" s="63"/>
    </row>
    <row r="852" spans="1:76">
      <c r="A852" s="60"/>
      <c r="D852" s="61" t="s">
        <v>142</v>
      </c>
      <c r="E852" s="61" t="s">
        <v>687</v>
      </c>
      <c r="G852" s="62">
        <v>4</v>
      </c>
      <c r="M852" s="63"/>
    </row>
    <row r="853" spans="1:76">
      <c r="A853" s="60"/>
      <c r="D853" s="61" t="s">
        <v>154</v>
      </c>
      <c r="E853" s="61" t="s">
        <v>647</v>
      </c>
      <c r="G853" s="62">
        <v>6</v>
      </c>
      <c r="M853" s="63"/>
    </row>
    <row r="854" spans="1:76">
      <c r="A854" s="60"/>
      <c r="D854" s="61" t="s">
        <v>129</v>
      </c>
      <c r="E854" s="61" t="s">
        <v>648</v>
      </c>
      <c r="G854" s="62">
        <v>2</v>
      </c>
      <c r="M854" s="63"/>
    </row>
    <row r="855" spans="1:76">
      <c r="A855" s="60"/>
      <c r="D855" s="61" t="s">
        <v>129</v>
      </c>
      <c r="E855" s="61" t="s">
        <v>649</v>
      </c>
      <c r="G855" s="62">
        <v>2</v>
      </c>
      <c r="M855" s="63"/>
    </row>
    <row r="856" spans="1:76">
      <c r="A856" s="60"/>
      <c r="D856" s="61" t="s">
        <v>142</v>
      </c>
      <c r="E856" s="61" t="s">
        <v>650</v>
      </c>
      <c r="G856" s="62">
        <v>4</v>
      </c>
      <c r="M856" s="63"/>
    </row>
    <row r="857" spans="1:76">
      <c r="A857" s="60"/>
      <c r="D857" s="61" t="s">
        <v>169</v>
      </c>
      <c r="E857" s="61" t="s">
        <v>651</v>
      </c>
      <c r="G857" s="62">
        <v>8</v>
      </c>
      <c r="M857" s="63"/>
    </row>
    <row r="858" spans="1:76">
      <c r="A858" s="60"/>
      <c r="D858" s="61" t="s">
        <v>129</v>
      </c>
      <c r="E858" s="61" t="s">
        <v>974</v>
      </c>
      <c r="G858" s="62">
        <v>2</v>
      </c>
      <c r="M858" s="63"/>
    </row>
    <row r="859" spans="1:76">
      <c r="A859" s="1" t="s">
        <v>975</v>
      </c>
      <c r="B859" s="2" t="s">
        <v>4</v>
      </c>
      <c r="C859" s="2" t="s">
        <v>976</v>
      </c>
      <c r="D859" s="549" t="s">
        <v>977</v>
      </c>
      <c r="E859" s="546"/>
      <c r="F859" s="2" t="s">
        <v>145</v>
      </c>
      <c r="G859" s="55">
        <v>28</v>
      </c>
      <c r="H859" s="56">
        <v>0</v>
      </c>
      <c r="I859" s="55">
        <f>G859*H859</f>
        <v>0</v>
      </c>
      <c r="J859" s="55">
        <v>0</v>
      </c>
      <c r="K859" s="55">
        <v>1.0000000000000001E-5</v>
      </c>
      <c r="L859" s="55">
        <f>G859*K859</f>
        <v>2.8000000000000003E-4</v>
      </c>
      <c r="M859" s="57" t="s">
        <v>122</v>
      </c>
      <c r="Z859" s="55">
        <f>IF(AQ859="5",BJ859,0)</f>
        <v>0</v>
      </c>
      <c r="AB859" s="55">
        <f>IF(AQ859="1",BH859,0)</f>
        <v>0</v>
      </c>
      <c r="AC859" s="55">
        <f>IF(AQ859="1",BI859,0)</f>
        <v>0</v>
      </c>
      <c r="AD859" s="55">
        <f>IF(AQ859="7",BH859,0)</f>
        <v>0</v>
      </c>
      <c r="AE859" s="55">
        <f>IF(AQ859="7",BI859,0)</f>
        <v>0</v>
      </c>
      <c r="AF859" s="55">
        <f>IF(AQ859="2",BH859,0)</f>
        <v>0</v>
      </c>
      <c r="AG859" s="55">
        <f>IF(AQ859="2",BI859,0)</f>
        <v>0</v>
      </c>
      <c r="AH859" s="55">
        <f>IF(AQ859="0",BJ859,0)</f>
        <v>0</v>
      </c>
      <c r="AI859" s="33" t="s">
        <v>4</v>
      </c>
      <c r="AJ859" s="55">
        <f>IF(AN859=0,I859,0)</f>
        <v>0</v>
      </c>
      <c r="AK859" s="55">
        <f>IF(AN859=12,I859,0)</f>
        <v>0</v>
      </c>
      <c r="AL859" s="55">
        <f>IF(AN859=21,I859,0)</f>
        <v>0</v>
      </c>
      <c r="AN859" s="55">
        <v>21</v>
      </c>
      <c r="AO859" s="55">
        <f>H859*0.062462908</f>
        <v>0</v>
      </c>
      <c r="AP859" s="55">
        <f>H859*(1-0.062462908)</f>
        <v>0</v>
      </c>
      <c r="AQ859" s="58" t="s">
        <v>162</v>
      </c>
      <c r="AV859" s="55">
        <f>AW859+AX859</f>
        <v>0</v>
      </c>
      <c r="AW859" s="55">
        <f>G859*AO859</f>
        <v>0</v>
      </c>
      <c r="AX859" s="55">
        <f>G859*AP859</f>
        <v>0</v>
      </c>
      <c r="AY859" s="58" t="s">
        <v>953</v>
      </c>
      <c r="AZ859" s="58" t="s">
        <v>954</v>
      </c>
      <c r="BA859" s="33" t="s">
        <v>125</v>
      </c>
      <c r="BB859" s="59">
        <v>100012</v>
      </c>
      <c r="BC859" s="55">
        <f>AW859+AX859</f>
        <v>0</v>
      </c>
      <c r="BD859" s="55">
        <f>H859/(100-BE859)*100</f>
        <v>0</v>
      </c>
      <c r="BE859" s="55">
        <v>0</v>
      </c>
      <c r="BF859" s="55">
        <f>L859</f>
        <v>2.8000000000000003E-4</v>
      </c>
      <c r="BH859" s="55">
        <f>G859*AO859</f>
        <v>0</v>
      </c>
      <c r="BI859" s="55">
        <f>G859*AP859</f>
        <v>0</v>
      </c>
      <c r="BJ859" s="55">
        <f>G859*H859</f>
        <v>0</v>
      </c>
      <c r="BK859" s="55"/>
      <c r="BL859" s="55">
        <v>781</v>
      </c>
      <c r="BW859" s="55">
        <v>21</v>
      </c>
      <c r="BX859" s="3" t="s">
        <v>977</v>
      </c>
    </row>
    <row r="860" spans="1:76">
      <c r="A860" s="60"/>
      <c r="D860" s="61" t="s">
        <v>129</v>
      </c>
      <c r="E860" s="61" t="s">
        <v>978</v>
      </c>
      <c r="G860" s="62">
        <v>2</v>
      </c>
      <c r="M860" s="63"/>
    </row>
    <row r="861" spans="1:76">
      <c r="A861" s="60"/>
      <c r="D861" s="61" t="s">
        <v>979</v>
      </c>
      <c r="E861" s="61" t="s">
        <v>642</v>
      </c>
      <c r="G861" s="62">
        <v>6</v>
      </c>
      <c r="M861" s="63"/>
    </row>
    <row r="862" spans="1:76">
      <c r="A862" s="60"/>
      <c r="D862" s="61" t="s">
        <v>129</v>
      </c>
      <c r="E862" s="61" t="s">
        <v>643</v>
      </c>
      <c r="G862" s="62">
        <v>2</v>
      </c>
      <c r="M862" s="63"/>
    </row>
    <row r="863" spans="1:76">
      <c r="A863" s="60"/>
      <c r="D863" s="61" t="s">
        <v>129</v>
      </c>
      <c r="E863" s="61" t="s">
        <v>644</v>
      </c>
      <c r="G863" s="62">
        <v>2</v>
      </c>
      <c r="M863" s="63"/>
    </row>
    <row r="864" spans="1:76">
      <c r="A864" s="60"/>
      <c r="D864" s="61" t="s">
        <v>118</v>
      </c>
      <c r="E864" s="61" t="s">
        <v>645</v>
      </c>
      <c r="G864" s="62">
        <v>1</v>
      </c>
      <c r="M864" s="63"/>
    </row>
    <row r="865" spans="1:76">
      <c r="A865" s="60"/>
      <c r="D865" s="61" t="s">
        <v>118</v>
      </c>
      <c r="E865" s="61" t="s">
        <v>646</v>
      </c>
      <c r="G865" s="62">
        <v>1</v>
      </c>
      <c r="M865" s="63"/>
    </row>
    <row r="866" spans="1:76">
      <c r="A866" s="60"/>
      <c r="D866" s="61" t="s">
        <v>118</v>
      </c>
      <c r="E866" s="61" t="s">
        <v>687</v>
      </c>
      <c r="G866" s="62">
        <v>1</v>
      </c>
      <c r="M866" s="63"/>
    </row>
    <row r="867" spans="1:76">
      <c r="A867" s="60"/>
      <c r="D867" s="61" t="s">
        <v>135</v>
      </c>
      <c r="E867" s="61" t="s">
        <v>647</v>
      </c>
      <c r="G867" s="62">
        <v>3</v>
      </c>
      <c r="M867" s="63"/>
    </row>
    <row r="868" spans="1:76">
      <c r="A868" s="60"/>
      <c r="D868" s="61" t="s">
        <v>129</v>
      </c>
      <c r="E868" s="61" t="s">
        <v>648</v>
      </c>
      <c r="G868" s="62">
        <v>2</v>
      </c>
      <c r="M868" s="63"/>
    </row>
    <row r="869" spans="1:76">
      <c r="A869" s="60"/>
      <c r="D869" s="61" t="s">
        <v>118</v>
      </c>
      <c r="E869" s="61" t="s">
        <v>649</v>
      </c>
      <c r="G869" s="62">
        <v>1</v>
      </c>
      <c r="M869" s="63"/>
    </row>
    <row r="870" spans="1:76">
      <c r="A870" s="60"/>
      <c r="D870" s="61" t="s">
        <v>129</v>
      </c>
      <c r="E870" s="61" t="s">
        <v>650</v>
      </c>
      <c r="G870" s="62">
        <v>2</v>
      </c>
      <c r="M870" s="63"/>
    </row>
    <row r="871" spans="1:76">
      <c r="A871" s="60"/>
      <c r="D871" s="61" t="s">
        <v>129</v>
      </c>
      <c r="E871" s="61" t="s">
        <v>651</v>
      </c>
      <c r="G871" s="62">
        <v>2</v>
      </c>
      <c r="M871" s="63"/>
    </row>
    <row r="872" spans="1:76">
      <c r="A872" s="60"/>
      <c r="D872" s="61" t="s">
        <v>135</v>
      </c>
      <c r="E872" s="61" t="s">
        <v>974</v>
      </c>
      <c r="G872" s="62">
        <v>3</v>
      </c>
      <c r="M872" s="63"/>
    </row>
    <row r="873" spans="1:76">
      <c r="A873" s="1" t="s">
        <v>980</v>
      </c>
      <c r="B873" s="2" t="s">
        <v>4</v>
      </c>
      <c r="C873" s="2" t="s">
        <v>981</v>
      </c>
      <c r="D873" s="549" t="s">
        <v>982</v>
      </c>
      <c r="E873" s="546"/>
      <c r="F873" s="2" t="s">
        <v>219</v>
      </c>
      <c r="G873" s="55">
        <v>300.39999999999998</v>
      </c>
      <c r="H873" s="56">
        <v>0</v>
      </c>
      <c r="I873" s="55">
        <f>G873*H873</f>
        <v>0</v>
      </c>
      <c r="J873" s="55">
        <v>0</v>
      </c>
      <c r="K873" s="55">
        <v>0</v>
      </c>
      <c r="L873" s="55">
        <f>G873*K873</f>
        <v>0</v>
      </c>
      <c r="M873" s="57" t="s">
        <v>122</v>
      </c>
      <c r="Z873" s="55">
        <f>IF(AQ873="5",BJ873,0)</f>
        <v>0</v>
      </c>
      <c r="AB873" s="55">
        <f>IF(AQ873="1",BH873,0)</f>
        <v>0</v>
      </c>
      <c r="AC873" s="55">
        <f>IF(AQ873="1",BI873,0)</f>
        <v>0</v>
      </c>
      <c r="AD873" s="55">
        <f>IF(AQ873="7",BH873,0)</f>
        <v>0</v>
      </c>
      <c r="AE873" s="55">
        <f>IF(AQ873="7",BI873,0)</f>
        <v>0</v>
      </c>
      <c r="AF873" s="55">
        <f>IF(AQ873="2",BH873,0)</f>
        <v>0</v>
      </c>
      <c r="AG873" s="55">
        <f>IF(AQ873="2",BI873,0)</f>
        <v>0</v>
      </c>
      <c r="AH873" s="55">
        <f>IF(AQ873="0",BJ873,0)</f>
        <v>0</v>
      </c>
      <c r="AI873" s="33" t="s">
        <v>4</v>
      </c>
      <c r="AJ873" s="55">
        <f>IF(AN873=0,I873,0)</f>
        <v>0</v>
      </c>
      <c r="AK873" s="55">
        <f>IF(AN873=12,I873,0)</f>
        <v>0</v>
      </c>
      <c r="AL873" s="55">
        <f>IF(AN873=21,I873,0)</f>
        <v>0</v>
      </c>
      <c r="AN873" s="55">
        <v>21</v>
      </c>
      <c r="AO873" s="55">
        <f>H873*0.175211313</f>
        <v>0</v>
      </c>
      <c r="AP873" s="55">
        <f>H873*(1-0.175211313)</f>
        <v>0</v>
      </c>
      <c r="AQ873" s="58" t="s">
        <v>162</v>
      </c>
      <c r="AV873" s="55">
        <f>AW873+AX873</f>
        <v>0</v>
      </c>
      <c r="AW873" s="55">
        <f>G873*AO873</f>
        <v>0</v>
      </c>
      <c r="AX873" s="55">
        <f>G873*AP873</f>
        <v>0</v>
      </c>
      <c r="AY873" s="58" t="s">
        <v>953</v>
      </c>
      <c r="AZ873" s="58" t="s">
        <v>954</v>
      </c>
      <c r="BA873" s="33" t="s">
        <v>125</v>
      </c>
      <c r="BB873" s="59">
        <v>100012</v>
      </c>
      <c r="BC873" s="55">
        <f>AW873+AX873</f>
        <v>0</v>
      </c>
      <c r="BD873" s="55">
        <f>H873/(100-BE873)*100</f>
        <v>0</v>
      </c>
      <c r="BE873" s="55">
        <v>0</v>
      </c>
      <c r="BF873" s="55">
        <f>L873</f>
        <v>0</v>
      </c>
      <c r="BH873" s="55">
        <f>G873*AO873</f>
        <v>0</v>
      </c>
      <c r="BI873" s="55">
        <f>G873*AP873</f>
        <v>0</v>
      </c>
      <c r="BJ873" s="55">
        <f>G873*H873</f>
        <v>0</v>
      </c>
      <c r="BK873" s="55"/>
      <c r="BL873" s="55">
        <v>781</v>
      </c>
      <c r="BW873" s="55">
        <v>21</v>
      </c>
      <c r="BX873" s="3" t="s">
        <v>982</v>
      </c>
    </row>
    <row r="874" spans="1:76">
      <c r="A874" s="60"/>
      <c r="D874" s="61" t="s">
        <v>688</v>
      </c>
      <c r="E874" s="61" t="s">
        <v>983</v>
      </c>
      <c r="G874" s="62">
        <v>5.0999999999999996</v>
      </c>
      <c r="M874" s="63"/>
    </row>
    <row r="875" spans="1:76">
      <c r="A875" s="60"/>
      <c r="D875" s="61" t="s">
        <v>680</v>
      </c>
      <c r="E875" s="61" t="s">
        <v>984</v>
      </c>
      <c r="G875" s="62">
        <v>10.199999999999999</v>
      </c>
      <c r="M875" s="63"/>
    </row>
    <row r="876" spans="1:76">
      <c r="A876" s="60"/>
      <c r="D876" s="61" t="s">
        <v>682</v>
      </c>
      <c r="E876" s="61" t="s">
        <v>985</v>
      </c>
      <c r="G876" s="62">
        <v>12.75</v>
      </c>
      <c r="M876" s="63"/>
    </row>
    <row r="877" spans="1:76">
      <c r="A877" s="60"/>
      <c r="D877" s="61" t="s">
        <v>883</v>
      </c>
      <c r="E877" s="61" t="s">
        <v>986</v>
      </c>
      <c r="G877" s="62">
        <v>3.5</v>
      </c>
      <c r="M877" s="63"/>
    </row>
    <row r="878" spans="1:76">
      <c r="A878" s="60"/>
      <c r="D878" s="61" t="s">
        <v>987</v>
      </c>
      <c r="E878" s="61" t="s">
        <v>988</v>
      </c>
      <c r="G878" s="62">
        <v>6.09</v>
      </c>
      <c r="M878" s="63"/>
    </row>
    <row r="879" spans="1:76">
      <c r="A879" s="60"/>
      <c r="D879" s="61" t="s">
        <v>625</v>
      </c>
      <c r="E879" s="61" t="s">
        <v>989</v>
      </c>
      <c r="G879" s="62">
        <v>9.43</v>
      </c>
      <c r="M879" s="63"/>
    </row>
    <row r="880" spans="1:76">
      <c r="A880" s="60"/>
      <c r="D880" s="61" t="s">
        <v>990</v>
      </c>
      <c r="E880" s="61" t="s">
        <v>991</v>
      </c>
      <c r="G880" s="62">
        <v>22.95</v>
      </c>
      <c r="M880" s="63"/>
    </row>
    <row r="881" spans="1:13">
      <c r="A881" s="60"/>
      <c r="D881" s="61" t="s">
        <v>689</v>
      </c>
      <c r="E881" s="61" t="s">
        <v>992</v>
      </c>
      <c r="G881" s="62">
        <v>20.399999999999999</v>
      </c>
      <c r="M881" s="63"/>
    </row>
    <row r="882" spans="1:13">
      <c r="A882" s="60"/>
      <c r="D882" s="61" t="s">
        <v>500</v>
      </c>
      <c r="E882" s="61" t="s">
        <v>993</v>
      </c>
      <c r="G882" s="62">
        <v>15.79</v>
      </c>
      <c r="M882" s="63"/>
    </row>
    <row r="883" spans="1:13">
      <c r="A883" s="60"/>
      <c r="D883" s="61" t="s">
        <v>994</v>
      </c>
      <c r="E883" s="61" t="s">
        <v>995</v>
      </c>
      <c r="G883" s="62">
        <v>16.5</v>
      </c>
      <c r="M883" s="63"/>
    </row>
    <row r="884" spans="1:13">
      <c r="A884" s="60"/>
      <c r="D884" s="61" t="s">
        <v>996</v>
      </c>
      <c r="E884" s="61" t="s">
        <v>997</v>
      </c>
      <c r="G884" s="62">
        <v>6.99</v>
      </c>
      <c r="M884" s="63"/>
    </row>
    <row r="885" spans="1:13">
      <c r="A885" s="60"/>
      <c r="D885" s="61" t="s">
        <v>682</v>
      </c>
      <c r="E885" s="61" t="s">
        <v>998</v>
      </c>
      <c r="G885" s="62">
        <v>12.75</v>
      </c>
      <c r="M885" s="63"/>
    </row>
    <row r="886" spans="1:13">
      <c r="A886" s="60"/>
      <c r="D886" s="61" t="s">
        <v>999</v>
      </c>
      <c r="E886" s="61" t="s">
        <v>1000</v>
      </c>
      <c r="G886" s="62">
        <v>21.2</v>
      </c>
      <c r="M886" s="63"/>
    </row>
    <row r="887" spans="1:13">
      <c r="A887" s="60"/>
      <c r="D887" s="61" t="s">
        <v>631</v>
      </c>
      <c r="E887" s="61" t="s">
        <v>1001</v>
      </c>
      <c r="G887" s="62">
        <v>17.920000000000002</v>
      </c>
      <c r="M887" s="63"/>
    </row>
    <row r="888" spans="1:13">
      <c r="A888" s="60"/>
      <c r="D888" s="61" t="s">
        <v>680</v>
      </c>
      <c r="E888" s="61" t="s">
        <v>1002</v>
      </c>
      <c r="G888" s="62">
        <v>10.199999999999999</v>
      </c>
      <c r="M888" s="63"/>
    </row>
    <row r="889" spans="1:13">
      <c r="A889" s="60"/>
      <c r="D889" s="61" t="s">
        <v>1003</v>
      </c>
      <c r="E889" s="61" t="s">
        <v>1004</v>
      </c>
      <c r="G889" s="62">
        <v>9.42</v>
      </c>
      <c r="M889" s="63"/>
    </row>
    <row r="890" spans="1:13">
      <c r="A890" s="60"/>
      <c r="D890" s="61" t="s">
        <v>1005</v>
      </c>
      <c r="E890" s="61" t="s">
        <v>1006</v>
      </c>
      <c r="G890" s="62">
        <v>9.6</v>
      </c>
      <c r="M890" s="63"/>
    </row>
    <row r="891" spans="1:13">
      <c r="A891" s="60"/>
      <c r="D891" s="61" t="s">
        <v>1007</v>
      </c>
      <c r="E891" s="61" t="s">
        <v>959</v>
      </c>
      <c r="G891" s="62">
        <v>5.47</v>
      </c>
      <c r="M891" s="63"/>
    </row>
    <row r="892" spans="1:13">
      <c r="A892" s="60"/>
      <c r="D892" s="61" t="s">
        <v>680</v>
      </c>
      <c r="E892" s="61" t="s">
        <v>1008</v>
      </c>
      <c r="G892" s="62">
        <v>10.199999999999999</v>
      </c>
      <c r="M892" s="63"/>
    </row>
    <row r="893" spans="1:13">
      <c r="A893" s="60"/>
      <c r="D893" s="61" t="s">
        <v>634</v>
      </c>
      <c r="E893" s="61" t="s">
        <v>318</v>
      </c>
      <c r="G893" s="62">
        <v>5.79</v>
      </c>
      <c r="M893" s="63"/>
    </row>
    <row r="894" spans="1:13">
      <c r="A894" s="60"/>
      <c r="D894" s="61" t="s">
        <v>1009</v>
      </c>
      <c r="E894" s="61" t="s">
        <v>1010</v>
      </c>
      <c r="G894" s="62">
        <v>17.850000000000001</v>
      </c>
      <c r="M894" s="63"/>
    </row>
    <row r="895" spans="1:13">
      <c r="A895" s="60"/>
      <c r="D895" s="61" t="s">
        <v>635</v>
      </c>
      <c r="E895" s="61" t="s">
        <v>525</v>
      </c>
      <c r="G895" s="62">
        <v>12.15</v>
      </c>
      <c r="M895" s="63"/>
    </row>
    <row r="896" spans="1:13">
      <c r="A896" s="60"/>
      <c r="D896" s="61" t="s">
        <v>689</v>
      </c>
      <c r="E896" s="61" t="s">
        <v>1011</v>
      </c>
      <c r="G896" s="62">
        <v>20.399999999999999</v>
      </c>
      <c r="M896" s="63"/>
    </row>
    <row r="897" spans="1:76">
      <c r="A897" s="60"/>
      <c r="D897" s="61" t="s">
        <v>636</v>
      </c>
      <c r="E897" s="61" t="s">
        <v>324</v>
      </c>
      <c r="G897" s="62">
        <v>8.9</v>
      </c>
      <c r="M897" s="63"/>
    </row>
    <row r="898" spans="1:76">
      <c r="A898" s="60"/>
      <c r="D898" s="61" t="s">
        <v>637</v>
      </c>
      <c r="E898" s="61" t="s">
        <v>528</v>
      </c>
      <c r="G898" s="62">
        <v>8.85</v>
      </c>
      <c r="M898" s="63"/>
    </row>
    <row r="899" spans="1:76">
      <c r="A899" s="1" t="s">
        <v>1012</v>
      </c>
      <c r="B899" s="2" t="s">
        <v>4</v>
      </c>
      <c r="C899" s="2" t="s">
        <v>1013</v>
      </c>
      <c r="D899" s="549" t="s">
        <v>1014</v>
      </c>
      <c r="E899" s="546"/>
      <c r="F899" s="2" t="s">
        <v>219</v>
      </c>
      <c r="G899" s="55">
        <v>57.83</v>
      </c>
      <c r="H899" s="56">
        <v>0</v>
      </c>
      <c r="I899" s="55">
        <f>G899*H899</f>
        <v>0</v>
      </c>
      <c r="J899" s="55">
        <v>0</v>
      </c>
      <c r="K899" s="55">
        <v>0</v>
      </c>
      <c r="L899" s="55">
        <f>G899*K899</f>
        <v>0</v>
      </c>
      <c r="M899" s="57" t="s">
        <v>122</v>
      </c>
      <c r="Z899" s="55">
        <f>IF(AQ899="5",BJ899,0)</f>
        <v>0</v>
      </c>
      <c r="AB899" s="55">
        <f>IF(AQ899="1",BH899,0)</f>
        <v>0</v>
      </c>
      <c r="AC899" s="55">
        <f>IF(AQ899="1",BI899,0)</f>
        <v>0</v>
      </c>
      <c r="AD899" s="55">
        <f>IF(AQ899="7",BH899,0)</f>
        <v>0</v>
      </c>
      <c r="AE899" s="55">
        <f>IF(AQ899="7",BI899,0)</f>
        <v>0</v>
      </c>
      <c r="AF899" s="55">
        <f>IF(AQ899="2",BH899,0)</f>
        <v>0</v>
      </c>
      <c r="AG899" s="55">
        <f>IF(AQ899="2",BI899,0)</f>
        <v>0</v>
      </c>
      <c r="AH899" s="55">
        <f>IF(AQ899="0",BJ899,0)</f>
        <v>0</v>
      </c>
      <c r="AI899" s="33" t="s">
        <v>4</v>
      </c>
      <c r="AJ899" s="55">
        <f>IF(AN899=0,I899,0)</f>
        <v>0</v>
      </c>
      <c r="AK899" s="55">
        <f>IF(AN899=12,I899,0)</f>
        <v>0</v>
      </c>
      <c r="AL899" s="55">
        <f>IF(AN899=21,I899,0)</f>
        <v>0</v>
      </c>
      <c r="AN899" s="55">
        <v>21</v>
      </c>
      <c r="AO899" s="55">
        <f>H899*0.311688473</f>
        <v>0</v>
      </c>
      <c r="AP899" s="55">
        <f>H899*(1-0.311688473)</f>
        <v>0</v>
      </c>
      <c r="AQ899" s="58" t="s">
        <v>162</v>
      </c>
      <c r="AV899" s="55">
        <f>AW899+AX899</f>
        <v>0</v>
      </c>
      <c r="AW899" s="55">
        <f>G899*AO899</f>
        <v>0</v>
      </c>
      <c r="AX899" s="55">
        <f>G899*AP899</f>
        <v>0</v>
      </c>
      <c r="AY899" s="58" t="s">
        <v>953</v>
      </c>
      <c r="AZ899" s="58" t="s">
        <v>954</v>
      </c>
      <c r="BA899" s="33" t="s">
        <v>125</v>
      </c>
      <c r="BB899" s="59">
        <v>100012</v>
      </c>
      <c r="BC899" s="55">
        <f>AW899+AX899</f>
        <v>0</v>
      </c>
      <c r="BD899" s="55">
        <f>H899/(100-BE899)*100</f>
        <v>0</v>
      </c>
      <c r="BE899" s="55">
        <v>0</v>
      </c>
      <c r="BF899" s="55">
        <f>L899</f>
        <v>0</v>
      </c>
      <c r="BH899" s="55">
        <f>G899*AO899</f>
        <v>0</v>
      </c>
      <c r="BI899" s="55">
        <f>G899*AP899</f>
        <v>0</v>
      </c>
      <c r="BJ899" s="55">
        <f>G899*H899</f>
        <v>0</v>
      </c>
      <c r="BK899" s="55"/>
      <c r="BL899" s="55">
        <v>781</v>
      </c>
      <c r="BW899" s="55">
        <v>21</v>
      </c>
      <c r="BX899" s="3" t="s">
        <v>1014</v>
      </c>
    </row>
    <row r="900" spans="1:76" ht="13.5" customHeight="1">
      <c r="A900" s="60"/>
      <c r="D900" s="634" t="s">
        <v>1015</v>
      </c>
      <c r="E900" s="635"/>
      <c r="F900" s="635"/>
      <c r="G900" s="635"/>
      <c r="H900" s="636"/>
      <c r="I900" s="635"/>
      <c r="J900" s="635"/>
      <c r="K900" s="635"/>
      <c r="L900" s="635"/>
      <c r="M900" s="637"/>
    </row>
    <row r="901" spans="1:76">
      <c r="A901" s="60"/>
      <c r="D901" s="61" t="s">
        <v>688</v>
      </c>
      <c r="E901" s="61" t="s">
        <v>679</v>
      </c>
      <c r="G901" s="62">
        <v>5.0999999999999996</v>
      </c>
      <c r="M901" s="63"/>
    </row>
    <row r="902" spans="1:76">
      <c r="A902" s="60"/>
      <c r="D902" s="61" t="s">
        <v>1016</v>
      </c>
      <c r="E902" s="61" t="s">
        <v>681</v>
      </c>
      <c r="G902" s="62">
        <v>4.5</v>
      </c>
      <c r="M902" s="63"/>
    </row>
    <row r="903" spans="1:76">
      <c r="A903" s="60"/>
      <c r="D903" s="61" t="s">
        <v>1017</v>
      </c>
      <c r="E903" s="61" t="s">
        <v>659</v>
      </c>
      <c r="G903" s="62">
        <v>7.5</v>
      </c>
      <c r="M903" s="63"/>
    </row>
    <row r="904" spans="1:76">
      <c r="A904" s="60"/>
      <c r="D904" s="61" t="s">
        <v>1018</v>
      </c>
      <c r="E904" s="61" t="s">
        <v>956</v>
      </c>
      <c r="G904" s="62">
        <v>1.2</v>
      </c>
      <c r="M904" s="63"/>
    </row>
    <row r="905" spans="1:76">
      <c r="A905" s="60"/>
      <c r="D905" s="61" t="s">
        <v>1019</v>
      </c>
      <c r="E905" s="61" t="s">
        <v>454</v>
      </c>
      <c r="G905" s="62">
        <v>2.5499999999999998</v>
      </c>
      <c r="M905" s="63"/>
    </row>
    <row r="906" spans="1:76">
      <c r="A906" s="60"/>
      <c r="D906" s="61" t="s">
        <v>1020</v>
      </c>
      <c r="E906" s="61" t="s">
        <v>645</v>
      </c>
      <c r="G906" s="62">
        <v>2.5499999999999998</v>
      </c>
      <c r="M906" s="63"/>
    </row>
    <row r="907" spans="1:76">
      <c r="A907" s="60"/>
      <c r="D907" s="61" t="s">
        <v>1021</v>
      </c>
      <c r="E907" s="61" t="s">
        <v>646</v>
      </c>
      <c r="G907" s="62">
        <v>10.6</v>
      </c>
      <c r="M907" s="63"/>
    </row>
    <row r="908" spans="1:76">
      <c r="A908" s="60"/>
      <c r="D908" s="61" t="s">
        <v>1022</v>
      </c>
      <c r="E908" s="61" t="s">
        <v>312</v>
      </c>
      <c r="G908" s="62">
        <v>8.68</v>
      </c>
      <c r="M908" s="63"/>
    </row>
    <row r="909" spans="1:76">
      <c r="A909" s="60"/>
      <c r="D909" s="61" t="s">
        <v>1018</v>
      </c>
      <c r="E909" s="61" t="s">
        <v>648</v>
      </c>
      <c r="G909" s="62">
        <v>1.2</v>
      </c>
      <c r="M909" s="63"/>
    </row>
    <row r="910" spans="1:76">
      <c r="A910" s="60"/>
      <c r="D910" s="61" t="s">
        <v>682</v>
      </c>
      <c r="E910" s="61" t="s">
        <v>650</v>
      </c>
      <c r="G910" s="62">
        <v>12.75</v>
      </c>
      <c r="M910" s="63"/>
    </row>
    <row r="911" spans="1:76">
      <c r="A911" s="60"/>
      <c r="D911" s="61" t="s">
        <v>1018</v>
      </c>
      <c r="E911" s="61" t="s">
        <v>974</v>
      </c>
      <c r="G911" s="62">
        <v>1.2</v>
      </c>
      <c r="M911" s="63"/>
    </row>
    <row r="912" spans="1:76">
      <c r="A912" s="1" t="s">
        <v>1023</v>
      </c>
      <c r="B912" s="2" t="s">
        <v>4</v>
      </c>
      <c r="C912" s="2" t="s">
        <v>1024</v>
      </c>
      <c r="D912" s="549" t="s">
        <v>1025</v>
      </c>
      <c r="E912" s="546"/>
      <c r="F912" s="2" t="s">
        <v>157</v>
      </c>
      <c r="G912" s="55">
        <v>327.65100000000001</v>
      </c>
      <c r="H912" s="56">
        <v>0</v>
      </c>
      <c r="I912" s="55">
        <f>G912*H912</f>
        <v>0</v>
      </c>
      <c r="J912" s="55">
        <v>0</v>
      </c>
      <c r="K912" s="55">
        <v>8.0000000000000007E-5</v>
      </c>
      <c r="L912" s="55">
        <f>G912*K912</f>
        <v>2.6212080000000002E-2</v>
      </c>
      <c r="M912" s="57" t="s">
        <v>122</v>
      </c>
      <c r="Z912" s="55">
        <f>IF(AQ912="5",BJ912,0)</f>
        <v>0</v>
      </c>
      <c r="AB912" s="55">
        <f>IF(AQ912="1",BH912,0)</f>
        <v>0</v>
      </c>
      <c r="AC912" s="55">
        <f>IF(AQ912="1",BI912,0)</f>
        <v>0</v>
      </c>
      <c r="AD912" s="55">
        <f>IF(AQ912="7",BH912,0)</f>
        <v>0</v>
      </c>
      <c r="AE912" s="55">
        <f>IF(AQ912="7",BI912,0)</f>
        <v>0</v>
      </c>
      <c r="AF912" s="55">
        <f>IF(AQ912="2",BH912,0)</f>
        <v>0</v>
      </c>
      <c r="AG912" s="55">
        <f>IF(AQ912="2",BI912,0)</f>
        <v>0</v>
      </c>
      <c r="AH912" s="55">
        <f>IF(AQ912="0",BJ912,0)</f>
        <v>0</v>
      </c>
      <c r="AI912" s="33" t="s">
        <v>4</v>
      </c>
      <c r="AJ912" s="55">
        <f>IF(AN912=0,I912,0)</f>
        <v>0</v>
      </c>
      <c r="AK912" s="55">
        <f>IF(AN912=12,I912,0)</f>
        <v>0</v>
      </c>
      <c r="AL912" s="55">
        <f>IF(AN912=21,I912,0)</f>
        <v>0</v>
      </c>
      <c r="AN912" s="55">
        <v>21</v>
      </c>
      <c r="AO912" s="55">
        <f>H912*0.568421048</f>
        <v>0</v>
      </c>
      <c r="AP912" s="55">
        <f>H912*(1-0.568421048)</f>
        <v>0</v>
      </c>
      <c r="AQ912" s="58" t="s">
        <v>162</v>
      </c>
      <c r="AV912" s="55">
        <f>AW912+AX912</f>
        <v>0</v>
      </c>
      <c r="AW912" s="55">
        <f>G912*AO912</f>
        <v>0</v>
      </c>
      <c r="AX912" s="55">
        <f>G912*AP912</f>
        <v>0</v>
      </c>
      <c r="AY912" s="58" t="s">
        <v>953</v>
      </c>
      <c r="AZ912" s="58" t="s">
        <v>954</v>
      </c>
      <c r="BA912" s="33" t="s">
        <v>125</v>
      </c>
      <c r="BB912" s="59">
        <v>100012</v>
      </c>
      <c r="BC912" s="55">
        <f>AW912+AX912</f>
        <v>0</v>
      </c>
      <c r="BD912" s="55">
        <f>H912/(100-BE912)*100</f>
        <v>0</v>
      </c>
      <c r="BE912" s="55">
        <v>0</v>
      </c>
      <c r="BF912" s="55">
        <f>L912</f>
        <v>2.6212080000000002E-2</v>
      </c>
      <c r="BH912" s="55">
        <f>G912*AO912</f>
        <v>0</v>
      </c>
      <c r="BI912" s="55">
        <f>G912*AP912</f>
        <v>0</v>
      </c>
      <c r="BJ912" s="55">
        <f>G912*H912</f>
        <v>0</v>
      </c>
      <c r="BK912" s="55"/>
      <c r="BL912" s="55">
        <v>781</v>
      </c>
      <c r="BW912" s="55">
        <v>21</v>
      </c>
      <c r="BX912" s="3" t="s">
        <v>1025</v>
      </c>
    </row>
    <row r="913" spans="1:13">
      <c r="A913" s="60"/>
      <c r="D913" s="61" t="s">
        <v>955</v>
      </c>
      <c r="E913" s="61" t="s">
        <v>956</v>
      </c>
      <c r="G913" s="62">
        <v>1.44</v>
      </c>
      <c r="M913" s="63"/>
    </row>
    <row r="914" spans="1:13">
      <c r="A914" s="60"/>
      <c r="D914" s="61" t="s">
        <v>957</v>
      </c>
      <c r="E914" s="61" t="s">
        <v>339</v>
      </c>
      <c r="G914" s="62">
        <v>8.9250000000000007</v>
      </c>
      <c r="M914" s="63"/>
    </row>
    <row r="915" spans="1:13">
      <c r="A915" s="60"/>
      <c r="D915" s="61" t="s">
        <v>340</v>
      </c>
      <c r="E915" s="61" t="s">
        <v>341</v>
      </c>
      <c r="G915" s="62">
        <v>14.125</v>
      </c>
      <c r="M915" s="63"/>
    </row>
    <row r="916" spans="1:13">
      <c r="A916" s="60"/>
      <c r="D916" s="61" t="s">
        <v>342</v>
      </c>
      <c r="E916" s="61" t="s">
        <v>343</v>
      </c>
      <c r="G916" s="62">
        <v>22.076499999999999</v>
      </c>
      <c r="M916" s="63"/>
    </row>
    <row r="917" spans="1:13">
      <c r="A917" s="60"/>
      <c r="D917" s="61" t="s">
        <v>289</v>
      </c>
      <c r="E917" s="61" t="s">
        <v>290</v>
      </c>
      <c r="G917" s="62">
        <v>36.3245</v>
      </c>
      <c r="M917" s="63"/>
    </row>
    <row r="918" spans="1:13">
      <c r="A918" s="60"/>
      <c r="D918" s="61" t="s">
        <v>660</v>
      </c>
      <c r="E918" s="61" t="s">
        <v>513</v>
      </c>
      <c r="G918" s="62">
        <v>21.7195</v>
      </c>
      <c r="M918" s="63"/>
    </row>
    <row r="919" spans="1:13">
      <c r="A919" s="60"/>
      <c r="D919" s="61" t="s">
        <v>661</v>
      </c>
      <c r="E919" s="61" t="s">
        <v>515</v>
      </c>
      <c r="G919" s="62">
        <v>21.439</v>
      </c>
      <c r="M919" s="63"/>
    </row>
    <row r="920" spans="1:13">
      <c r="A920" s="60"/>
      <c r="D920" s="61" t="s">
        <v>662</v>
      </c>
      <c r="E920" s="61" t="s">
        <v>517</v>
      </c>
      <c r="G920" s="62">
        <v>22.765000000000001</v>
      </c>
      <c r="M920" s="63"/>
    </row>
    <row r="921" spans="1:13">
      <c r="A921" s="60"/>
      <c r="D921" s="61" t="s">
        <v>663</v>
      </c>
      <c r="E921" s="61" t="s">
        <v>519</v>
      </c>
      <c r="G921" s="62">
        <v>45.887999999999998</v>
      </c>
      <c r="M921" s="63"/>
    </row>
    <row r="922" spans="1:13">
      <c r="A922" s="60"/>
      <c r="D922" s="61" t="s">
        <v>307</v>
      </c>
      <c r="E922" s="61" t="s">
        <v>308</v>
      </c>
      <c r="G922" s="62">
        <v>23.050999999999998</v>
      </c>
      <c r="M922" s="63"/>
    </row>
    <row r="923" spans="1:13">
      <c r="A923" s="60"/>
      <c r="D923" s="61" t="s">
        <v>664</v>
      </c>
      <c r="E923" s="61" t="s">
        <v>312</v>
      </c>
      <c r="G923" s="62">
        <v>18.861999999999998</v>
      </c>
      <c r="M923" s="63"/>
    </row>
    <row r="924" spans="1:13">
      <c r="A924" s="60"/>
      <c r="D924" s="61" t="s">
        <v>958</v>
      </c>
      <c r="E924" s="61" t="s">
        <v>959</v>
      </c>
      <c r="G924" s="62">
        <v>3.282</v>
      </c>
      <c r="M924" s="63"/>
    </row>
    <row r="925" spans="1:13">
      <c r="A925" s="60"/>
      <c r="D925" s="61" t="s">
        <v>317</v>
      </c>
      <c r="E925" s="61" t="s">
        <v>318</v>
      </c>
      <c r="G925" s="62">
        <v>13.188499999999999</v>
      </c>
      <c r="M925" s="63"/>
    </row>
    <row r="926" spans="1:13">
      <c r="A926" s="60"/>
      <c r="D926" s="61" t="s">
        <v>665</v>
      </c>
      <c r="E926" s="61" t="s">
        <v>525</v>
      </c>
      <c r="G926" s="62">
        <v>29.406500000000001</v>
      </c>
      <c r="M926" s="63"/>
    </row>
    <row r="927" spans="1:13">
      <c r="A927" s="60"/>
      <c r="D927" s="61" t="s">
        <v>323</v>
      </c>
      <c r="E927" s="61" t="s">
        <v>324</v>
      </c>
      <c r="G927" s="62">
        <v>21.119</v>
      </c>
      <c r="M927" s="63"/>
    </row>
    <row r="928" spans="1:13">
      <c r="A928" s="60"/>
      <c r="D928" s="61" t="s">
        <v>325</v>
      </c>
      <c r="E928" s="61" t="s">
        <v>326</v>
      </c>
      <c r="G928" s="62">
        <v>20.991499999999998</v>
      </c>
      <c r="M928" s="63"/>
    </row>
    <row r="929" spans="1:76">
      <c r="A929" s="60"/>
      <c r="D929" s="61" t="s">
        <v>960</v>
      </c>
      <c r="E929" s="61" t="s">
        <v>387</v>
      </c>
      <c r="G929" s="62">
        <v>3.048</v>
      </c>
      <c r="M929" s="63"/>
    </row>
    <row r="930" spans="1:76" ht="38.25">
      <c r="A930" s="60"/>
      <c r="C930" s="64" t="s">
        <v>127</v>
      </c>
      <c r="D930" s="618" t="s">
        <v>1026</v>
      </c>
      <c r="E930" s="619"/>
      <c r="F930" s="619"/>
      <c r="G930" s="619"/>
      <c r="H930" s="620"/>
      <c r="I930" s="619"/>
      <c r="J930" s="619"/>
      <c r="K930" s="619"/>
      <c r="L930" s="619"/>
      <c r="M930" s="621"/>
      <c r="BX930" s="65" t="s">
        <v>1026</v>
      </c>
    </row>
    <row r="931" spans="1:76">
      <c r="A931" s="1" t="s">
        <v>1027</v>
      </c>
      <c r="B931" s="2" t="s">
        <v>4</v>
      </c>
      <c r="C931" s="2" t="s">
        <v>1028</v>
      </c>
      <c r="D931" s="549" t="s">
        <v>1029</v>
      </c>
      <c r="E931" s="546"/>
      <c r="F931" s="2" t="s">
        <v>132</v>
      </c>
      <c r="G931" s="55">
        <v>5.4458700000000002</v>
      </c>
      <c r="H931" s="56">
        <v>0</v>
      </c>
      <c r="I931" s="55">
        <f>G931*H931</f>
        <v>0</v>
      </c>
      <c r="J931" s="55">
        <v>0</v>
      </c>
      <c r="K931" s="55">
        <v>0</v>
      </c>
      <c r="L931" s="55">
        <f>G931*K931</f>
        <v>0</v>
      </c>
      <c r="M931" s="57" t="s">
        <v>122</v>
      </c>
      <c r="Z931" s="55">
        <f>IF(AQ931="5",BJ931,0)</f>
        <v>0</v>
      </c>
      <c r="AB931" s="55">
        <f>IF(AQ931="1",BH931,0)</f>
        <v>0</v>
      </c>
      <c r="AC931" s="55">
        <f>IF(AQ931="1",BI931,0)</f>
        <v>0</v>
      </c>
      <c r="AD931" s="55">
        <f>IF(AQ931="7",BH931,0)</f>
        <v>0</v>
      </c>
      <c r="AE931" s="55">
        <f>IF(AQ931="7",BI931,0)</f>
        <v>0</v>
      </c>
      <c r="AF931" s="55">
        <f>IF(AQ931="2",BH931,0)</f>
        <v>0</v>
      </c>
      <c r="AG931" s="55">
        <f>IF(AQ931="2",BI931,0)</f>
        <v>0</v>
      </c>
      <c r="AH931" s="55">
        <f>IF(AQ931="0",BJ931,0)</f>
        <v>0</v>
      </c>
      <c r="AI931" s="33" t="s">
        <v>4</v>
      </c>
      <c r="AJ931" s="55">
        <f>IF(AN931=0,I931,0)</f>
        <v>0</v>
      </c>
      <c r="AK931" s="55">
        <f>IF(AN931=12,I931,0)</f>
        <v>0</v>
      </c>
      <c r="AL931" s="55">
        <f>IF(AN931=21,I931,0)</f>
        <v>0</v>
      </c>
      <c r="AN931" s="55">
        <v>21</v>
      </c>
      <c r="AO931" s="55">
        <f>H931*0</f>
        <v>0</v>
      </c>
      <c r="AP931" s="55">
        <f>H931*(1-0)</f>
        <v>0</v>
      </c>
      <c r="AQ931" s="58" t="s">
        <v>139</v>
      </c>
      <c r="AV931" s="55">
        <f>AW931+AX931</f>
        <v>0</v>
      </c>
      <c r="AW931" s="55">
        <f>G931*AO931</f>
        <v>0</v>
      </c>
      <c r="AX931" s="55">
        <f>G931*AP931</f>
        <v>0</v>
      </c>
      <c r="AY931" s="58" t="s">
        <v>953</v>
      </c>
      <c r="AZ931" s="58" t="s">
        <v>954</v>
      </c>
      <c r="BA931" s="33" t="s">
        <v>125</v>
      </c>
      <c r="BB931" s="59">
        <v>100053</v>
      </c>
      <c r="BC931" s="55">
        <f>AW931+AX931</f>
        <v>0</v>
      </c>
      <c r="BD931" s="55">
        <f>H931/(100-BE931)*100</f>
        <v>0</v>
      </c>
      <c r="BE931" s="55">
        <v>0</v>
      </c>
      <c r="BF931" s="55">
        <f>L931</f>
        <v>0</v>
      </c>
      <c r="BH931" s="55">
        <f>G931*AO931</f>
        <v>0</v>
      </c>
      <c r="BI931" s="55">
        <f>G931*AP931</f>
        <v>0</v>
      </c>
      <c r="BJ931" s="55">
        <f>G931*H931</f>
        <v>0</v>
      </c>
      <c r="BK931" s="55"/>
      <c r="BL931" s="55">
        <v>781</v>
      </c>
      <c r="BW931" s="55">
        <v>21</v>
      </c>
      <c r="BX931" s="3" t="s">
        <v>1029</v>
      </c>
    </row>
    <row r="932" spans="1:76">
      <c r="A932" s="50" t="s">
        <v>4</v>
      </c>
      <c r="B932" s="51" t="s">
        <v>4</v>
      </c>
      <c r="C932" s="51" t="s">
        <v>1030</v>
      </c>
      <c r="D932" s="625" t="s">
        <v>1031</v>
      </c>
      <c r="E932" s="626"/>
      <c r="F932" s="52" t="s">
        <v>79</v>
      </c>
      <c r="G932" s="52" t="s">
        <v>79</v>
      </c>
      <c r="H932" s="53" t="s">
        <v>79</v>
      </c>
      <c r="I932" s="26">
        <f>SUM(I933:I933)</f>
        <v>0</v>
      </c>
      <c r="J932" s="33" t="s">
        <v>4</v>
      </c>
      <c r="K932" s="33" t="s">
        <v>4</v>
      </c>
      <c r="L932" s="26">
        <f>SUM(L933:L933)</f>
        <v>5.5799999999999999E-3</v>
      </c>
      <c r="M932" s="54" t="s">
        <v>4</v>
      </c>
      <c r="AI932" s="33" t="s">
        <v>4</v>
      </c>
      <c r="AS932" s="26">
        <f>SUM(AJ933:AJ933)</f>
        <v>0</v>
      </c>
      <c r="AT932" s="26">
        <f>SUM(AK933:AK933)</f>
        <v>0</v>
      </c>
      <c r="AU932" s="26">
        <f>SUM(AL933:AL933)</f>
        <v>0</v>
      </c>
    </row>
    <row r="933" spans="1:76">
      <c r="A933" s="1" t="s">
        <v>1032</v>
      </c>
      <c r="B933" s="2" t="s">
        <v>4</v>
      </c>
      <c r="C933" s="2" t="s">
        <v>1033</v>
      </c>
      <c r="D933" s="549" t="s">
        <v>1034</v>
      </c>
      <c r="E933" s="546"/>
      <c r="F933" s="2" t="s">
        <v>805</v>
      </c>
      <c r="G933" s="55">
        <v>18</v>
      </c>
      <c r="H933" s="56">
        <v>0</v>
      </c>
      <c r="I933" s="55">
        <f>G933*H933</f>
        <v>0</v>
      </c>
      <c r="J933" s="55">
        <v>0</v>
      </c>
      <c r="K933" s="55">
        <v>3.1E-4</v>
      </c>
      <c r="L933" s="55">
        <f>G933*K933</f>
        <v>5.5799999999999999E-3</v>
      </c>
      <c r="M933" s="57" t="s">
        <v>122</v>
      </c>
      <c r="Z933" s="55">
        <f>IF(AQ933="5",BJ933,0)</f>
        <v>0</v>
      </c>
      <c r="AB933" s="55">
        <f>IF(AQ933="1",BH933,0)</f>
        <v>0</v>
      </c>
      <c r="AC933" s="55">
        <f>IF(AQ933="1",BI933,0)</f>
        <v>0</v>
      </c>
      <c r="AD933" s="55">
        <f>IF(AQ933="7",BH933,0)</f>
        <v>0</v>
      </c>
      <c r="AE933" s="55">
        <f>IF(AQ933="7",BI933,0)</f>
        <v>0</v>
      </c>
      <c r="AF933" s="55">
        <f>IF(AQ933="2",BH933,0)</f>
        <v>0</v>
      </c>
      <c r="AG933" s="55">
        <f>IF(AQ933="2",BI933,0)</f>
        <v>0</v>
      </c>
      <c r="AH933" s="55">
        <f>IF(AQ933="0",BJ933,0)</f>
        <v>0</v>
      </c>
      <c r="AI933" s="33" t="s">
        <v>4</v>
      </c>
      <c r="AJ933" s="55">
        <f>IF(AN933=0,I933,0)</f>
        <v>0</v>
      </c>
      <c r="AK933" s="55">
        <f>IF(AN933=12,I933,0)</f>
        <v>0</v>
      </c>
      <c r="AL933" s="55">
        <f>IF(AN933=21,I933,0)</f>
        <v>0</v>
      </c>
      <c r="AN933" s="55">
        <v>21</v>
      </c>
      <c r="AO933" s="55">
        <f>H933*0.379305882</f>
        <v>0</v>
      </c>
      <c r="AP933" s="55">
        <f>H933*(1-0.379305882)</f>
        <v>0</v>
      </c>
      <c r="AQ933" s="58" t="s">
        <v>162</v>
      </c>
      <c r="AV933" s="55">
        <f>AW933+AX933</f>
        <v>0</v>
      </c>
      <c r="AW933" s="55">
        <f>G933*AO933</f>
        <v>0</v>
      </c>
      <c r="AX933" s="55">
        <f>G933*AP933</f>
        <v>0</v>
      </c>
      <c r="AY933" s="58" t="s">
        <v>1035</v>
      </c>
      <c r="AZ933" s="58" t="s">
        <v>954</v>
      </c>
      <c r="BA933" s="33" t="s">
        <v>125</v>
      </c>
      <c r="BB933" s="59">
        <v>100031</v>
      </c>
      <c r="BC933" s="55">
        <f>AW933+AX933</f>
        <v>0</v>
      </c>
      <c r="BD933" s="55">
        <f>H933/(100-BE933)*100</f>
        <v>0</v>
      </c>
      <c r="BE933" s="55">
        <v>0</v>
      </c>
      <c r="BF933" s="55">
        <f>L933</f>
        <v>5.5799999999999999E-3</v>
      </c>
      <c r="BH933" s="55">
        <f>G933*AO933</f>
        <v>0</v>
      </c>
      <c r="BI933" s="55">
        <f>G933*AP933</f>
        <v>0</v>
      </c>
      <c r="BJ933" s="55">
        <f>G933*H933</f>
        <v>0</v>
      </c>
      <c r="BK933" s="55"/>
      <c r="BL933" s="55">
        <v>783</v>
      </c>
      <c r="BW933" s="55">
        <v>21</v>
      </c>
      <c r="BX933" s="3" t="s">
        <v>1034</v>
      </c>
    </row>
    <row r="934" spans="1:76">
      <c r="A934" s="60"/>
      <c r="D934" s="61" t="s">
        <v>265</v>
      </c>
      <c r="E934" s="61" t="s">
        <v>4</v>
      </c>
      <c r="G934" s="62">
        <v>18</v>
      </c>
      <c r="M934" s="63"/>
    </row>
    <row r="935" spans="1:76">
      <c r="A935" s="50" t="s">
        <v>4</v>
      </c>
      <c r="B935" s="51" t="s">
        <v>4</v>
      </c>
      <c r="C935" s="51" t="s">
        <v>1036</v>
      </c>
      <c r="D935" s="625" t="s">
        <v>1037</v>
      </c>
      <c r="E935" s="626"/>
      <c r="F935" s="52" t="s">
        <v>79</v>
      </c>
      <c r="G935" s="52" t="s">
        <v>79</v>
      </c>
      <c r="H935" s="53" t="s">
        <v>79</v>
      </c>
      <c r="I935" s="26">
        <f>SUM(I936:I979)</f>
        <v>0</v>
      </c>
      <c r="J935" s="33" t="s">
        <v>4</v>
      </c>
      <c r="K935" s="33" t="s">
        <v>4</v>
      </c>
      <c r="L935" s="26">
        <f>SUM(L936:L979)</f>
        <v>0.41515240200000003</v>
      </c>
      <c r="M935" s="54" t="s">
        <v>4</v>
      </c>
      <c r="AI935" s="33" t="s">
        <v>4</v>
      </c>
      <c r="AS935" s="26">
        <f>SUM(AJ936:AJ979)</f>
        <v>0</v>
      </c>
      <c r="AT935" s="26">
        <f>SUM(AK936:AK979)</f>
        <v>0</v>
      </c>
      <c r="AU935" s="26">
        <f>SUM(AL936:AL979)</f>
        <v>0</v>
      </c>
    </row>
    <row r="936" spans="1:76">
      <c r="A936" s="1" t="s">
        <v>1038</v>
      </c>
      <c r="B936" s="2" t="s">
        <v>4</v>
      </c>
      <c r="C936" s="2" t="s">
        <v>1039</v>
      </c>
      <c r="D936" s="549" t="s">
        <v>1040</v>
      </c>
      <c r="E936" s="546"/>
      <c r="F936" s="2" t="s">
        <v>157</v>
      </c>
      <c r="G936" s="55">
        <v>265.78500000000003</v>
      </c>
      <c r="H936" s="56">
        <v>0</v>
      </c>
      <c r="I936" s="55">
        <f>G936*H936</f>
        <v>0</v>
      </c>
      <c r="J936" s="55">
        <v>0</v>
      </c>
      <c r="K936" s="55">
        <v>0</v>
      </c>
      <c r="L936" s="55">
        <f>G936*K936</f>
        <v>0</v>
      </c>
      <c r="M936" s="57" t="s">
        <v>122</v>
      </c>
      <c r="Z936" s="55">
        <f>IF(AQ936="5",BJ936,0)</f>
        <v>0</v>
      </c>
      <c r="AB936" s="55">
        <f>IF(AQ936="1",BH936,0)</f>
        <v>0</v>
      </c>
      <c r="AC936" s="55">
        <f>IF(AQ936="1",BI936,0)</f>
        <v>0</v>
      </c>
      <c r="AD936" s="55">
        <f>IF(AQ936="7",BH936,0)</f>
        <v>0</v>
      </c>
      <c r="AE936" s="55">
        <f>IF(AQ936="7",BI936,0)</f>
        <v>0</v>
      </c>
      <c r="AF936" s="55">
        <f>IF(AQ936="2",BH936,0)</f>
        <v>0</v>
      </c>
      <c r="AG936" s="55">
        <f>IF(AQ936="2",BI936,0)</f>
        <v>0</v>
      </c>
      <c r="AH936" s="55">
        <f>IF(AQ936="0",BJ936,0)</f>
        <v>0</v>
      </c>
      <c r="AI936" s="33" t="s">
        <v>4</v>
      </c>
      <c r="AJ936" s="55">
        <f>IF(AN936=0,I936,0)</f>
        <v>0</v>
      </c>
      <c r="AK936" s="55">
        <f>IF(AN936=12,I936,0)</f>
        <v>0</v>
      </c>
      <c r="AL936" s="55">
        <f>IF(AN936=21,I936,0)</f>
        <v>0</v>
      </c>
      <c r="AN936" s="55">
        <v>21</v>
      </c>
      <c r="AO936" s="55">
        <f>H936*0</f>
        <v>0</v>
      </c>
      <c r="AP936" s="55">
        <f>H936*(1-0)</f>
        <v>0</v>
      </c>
      <c r="AQ936" s="58" t="s">
        <v>162</v>
      </c>
      <c r="AV936" s="55">
        <f>AW936+AX936</f>
        <v>0</v>
      </c>
      <c r="AW936" s="55">
        <f>G936*AO936</f>
        <v>0</v>
      </c>
      <c r="AX936" s="55">
        <f>G936*AP936</f>
        <v>0</v>
      </c>
      <c r="AY936" s="58" t="s">
        <v>1041</v>
      </c>
      <c r="AZ936" s="58" t="s">
        <v>954</v>
      </c>
      <c r="BA936" s="33" t="s">
        <v>125</v>
      </c>
      <c r="BB936" s="59">
        <v>100029</v>
      </c>
      <c r="BC936" s="55">
        <f>AW936+AX936</f>
        <v>0</v>
      </c>
      <c r="BD936" s="55">
        <f>H936/(100-BE936)*100</f>
        <v>0</v>
      </c>
      <c r="BE936" s="55">
        <v>0</v>
      </c>
      <c r="BF936" s="55">
        <f>L936</f>
        <v>0</v>
      </c>
      <c r="BH936" s="55">
        <f>G936*AO936</f>
        <v>0</v>
      </c>
      <c r="BI936" s="55">
        <f>G936*AP936</f>
        <v>0</v>
      </c>
      <c r="BJ936" s="55">
        <f>G936*H936</f>
        <v>0</v>
      </c>
      <c r="BK936" s="55"/>
      <c r="BL936" s="55">
        <v>784</v>
      </c>
      <c r="BW936" s="55">
        <v>21</v>
      </c>
      <c r="BX936" s="3" t="s">
        <v>1040</v>
      </c>
    </row>
    <row r="937" spans="1:76">
      <c r="A937" s="60"/>
      <c r="D937" s="61" t="s">
        <v>1042</v>
      </c>
      <c r="E937" s="61" t="s">
        <v>1043</v>
      </c>
      <c r="G937" s="62">
        <v>22.392499999999998</v>
      </c>
      <c r="M937" s="63"/>
    </row>
    <row r="938" spans="1:76">
      <c r="A938" s="60"/>
      <c r="D938" s="61" t="s">
        <v>471</v>
      </c>
      <c r="E938" s="61" t="s">
        <v>472</v>
      </c>
      <c r="G938" s="62">
        <v>5.7119999999999997</v>
      </c>
      <c r="M938" s="63"/>
    </row>
    <row r="939" spans="1:76">
      <c r="A939" s="60"/>
      <c r="D939" s="61" t="s">
        <v>360</v>
      </c>
      <c r="E939" s="61" t="s">
        <v>408</v>
      </c>
      <c r="G939" s="62">
        <v>12.932</v>
      </c>
      <c r="M939" s="63"/>
    </row>
    <row r="940" spans="1:76">
      <c r="A940" s="60"/>
      <c r="D940" s="61" t="s">
        <v>409</v>
      </c>
      <c r="E940" s="61" t="s">
        <v>410</v>
      </c>
      <c r="G940" s="62">
        <v>13.170500000000001</v>
      </c>
      <c r="M940" s="63"/>
    </row>
    <row r="941" spans="1:76">
      <c r="A941" s="60"/>
      <c r="D941" s="61" t="s">
        <v>411</v>
      </c>
      <c r="E941" s="61" t="s">
        <v>412</v>
      </c>
      <c r="G941" s="62">
        <v>5.3550000000000004</v>
      </c>
      <c r="M941" s="63"/>
    </row>
    <row r="942" spans="1:76">
      <c r="A942" s="60"/>
      <c r="D942" s="61" t="s">
        <v>413</v>
      </c>
      <c r="E942" s="61" t="s">
        <v>414</v>
      </c>
      <c r="G942" s="62">
        <v>12.031000000000001</v>
      </c>
      <c r="M942" s="63"/>
    </row>
    <row r="943" spans="1:76">
      <c r="A943" s="60"/>
      <c r="D943" s="61" t="s">
        <v>415</v>
      </c>
      <c r="E943" s="61" t="s">
        <v>416</v>
      </c>
      <c r="G943" s="62">
        <v>12.2165</v>
      </c>
      <c r="M943" s="63"/>
    </row>
    <row r="944" spans="1:76">
      <c r="A944" s="60"/>
      <c r="D944" s="61" t="s">
        <v>419</v>
      </c>
      <c r="E944" s="61" t="s">
        <v>420</v>
      </c>
      <c r="G944" s="62">
        <v>11.368499999999999</v>
      </c>
      <c r="M944" s="63"/>
    </row>
    <row r="945" spans="1:76">
      <c r="A945" s="60"/>
      <c r="D945" s="61" t="s">
        <v>421</v>
      </c>
      <c r="E945" s="61" t="s">
        <v>422</v>
      </c>
      <c r="G945" s="62">
        <v>10.811999999999999</v>
      </c>
      <c r="M945" s="63"/>
    </row>
    <row r="946" spans="1:76">
      <c r="A946" s="60"/>
      <c r="D946" s="61" t="s">
        <v>425</v>
      </c>
      <c r="E946" s="61" t="s">
        <v>426</v>
      </c>
      <c r="G946" s="62">
        <v>9.8844999999999992</v>
      </c>
      <c r="M946" s="63"/>
    </row>
    <row r="947" spans="1:76">
      <c r="A947" s="60"/>
      <c r="D947" s="61" t="s">
        <v>428</v>
      </c>
      <c r="E947" s="61" t="s">
        <v>429</v>
      </c>
      <c r="G947" s="62">
        <v>18.895499999999998</v>
      </c>
      <c r="M947" s="63"/>
    </row>
    <row r="948" spans="1:76">
      <c r="A948" s="60"/>
      <c r="D948" s="61" t="s">
        <v>431</v>
      </c>
      <c r="E948" s="61" t="s">
        <v>432</v>
      </c>
      <c r="G948" s="62">
        <v>19.5228</v>
      </c>
      <c r="M948" s="63"/>
    </row>
    <row r="949" spans="1:76">
      <c r="A949" s="60"/>
      <c r="D949" s="61" t="s">
        <v>433</v>
      </c>
      <c r="E949" s="61" t="s">
        <v>434</v>
      </c>
      <c r="G949" s="62">
        <v>10.856999999999999</v>
      </c>
      <c r="M949" s="63"/>
    </row>
    <row r="950" spans="1:76">
      <c r="A950" s="60"/>
      <c r="D950" s="61" t="s">
        <v>435</v>
      </c>
      <c r="E950" s="61" t="s">
        <v>436</v>
      </c>
      <c r="G950" s="62">
        <v>9.1931999999999992</v>
      </c>
      <c r="M950" s="63"/>
    </row>
    <row r="951" spans="1:76">
      <c r="A951" s="60"/>
      <c r="D951" s="61" t="s">
        <v>437</v>
      </c>
      <c r="E951" s="61" t="s">
        <v>438</v>
      </c>
      <c r="G951" s="62">
        <v>11.082599999999999</v>
      </c>
      <c r="M951" s="63"/>
    </row>
    <row r="952" spans="1:76">
      <c r="A952" s="60"/>
      <c r="D952" s="61" t="s">
        <v>439</v>
      </c>
      <c r="E952" s="61" t="s">
        <v>440</v>
      </c>
      <c r="G952" s="62">
        <v>20.236999999999998</v>
      </c>
      <c r="M952" s="63"/>
    </row>
    <row r="953" spans="1:76">
      <c r="A953" s="60"/>
      <c r="D953" s="61" t="s">
        <v>441</v>
      </c>
      <c r="E953" s="61" t="s">
        <v>442</v>
      </c>
      <c r="G953" s="62">
        <v>39.592799999999997</v>
      </c>
      <c r="M953" s="63"/>
    </row>
    <row r="954" spans="1:76">
      <c r="A954" s="60"/>
      <c r="D954" s="61" t="s">
        <v>443</v>
      </c>
      <c r="E954" s="61" t="s">
        <v>444</v>
      </c>
      <c r="G954" s="62">
        <v>11.674799999999999</v>
      </c>
      <c r="M954" s="63"/>
    </row>
    <row r="955" spans="1:76">
      <c r="A955" s="60"/>
      <c r="D955" s="61" t="s">
        <v>445</v>
      </c>
      <c r="E955" s="61" t="s">
        <v>446</v>
      </c>
      <c r="G955" s="62">
        <v>8.8547999999999991</v>
      </c>
      <c r="M955" s="63"/>
    </row>
    <row r="956" spans="1:76" ht="25.5">
      <c r="A956" s="60"/>
      <c r="C956" s="64" t="s">
        <v>127</v>
      </c>
      <c r="D956" s="618" t="s">
        <v>1044</v>
      </c>
      <c r="E956" s="619"/>
      <c r="F956" s="619"/>
      <c r="G956" s="619"/>
      <c r="H956" s="620"/>
      <c r="I956" s="619"/>
      <c r="J956" s="619"/>
      <c r="K956" s="619"/>
      <c r="L956" s="619"/>
      <c r="M956" s="621"/>
      <c r="BX956" s="65" t="s">
        <v>1044</v>
      </c>
    </row>
    <row r="957" spans="1:76">
      <c r="A957" s="1" t="s">
        <v>1045</v>
      </c>
      <c r="B957" s="2" t="s">
        <v>4</v>
      </c>
      <c r="C957" s="2" t="s">
        <v>1046</v>
      </c>
      <c r="D957" s="549" t="s">
        <v>1047</v>
      </c>
      <c r="E957" s="546"/>
      <c r="F957" s="2" t="s">
        <v>157</v>
      </c>
      <c r="G957" s="55">
        <v>847.24980000000005</v>
      </c>
      <c r="H957" s="56">
        <v>0</v>
      </c>
      <c r="I957" s="55">
        <f>G957*H957</f>
        <v>0</v>
      </c>
      <c r="J957" s="55">
        <v>0</v>
      </c>
      <c r="K957" s="55">
        <v>2.0000000000000001E-4</v>
      </c>
      <c r="L957" s="55">
        <f>G957*K957</f>
        <v>0.16944996000000001</v>
      </c>
      <c r="M957" s="57" t="s">
        <v>122</v>
      </c>
      <c r="Z957" s="55">
        <f>IF(AQ957="5",BJ957,0)</f>
        <v>0</v>
      </c>
      <c r="AB957" s="55">
        <f>IF(AQ957="1",BH957,0)</f>
        <v>0</v>
      </c>
      <c r="AC957" s="55">
        <f>IF(AQ957="1",BI957,0)</f>
        <v>0</v>
      </c>
      <c r="AD957" s="55">
        <f>IF(AQ957="7",BH957,0)</f>
        <v>0</v>
      </c>
      <c r="AE957" s="55">
        <f>IF(AQ957="7",BI957,0)</f>
        <v>0</v>
      </c>
      <c r="AF957" s="55">
        <f>IF(AQ957="2",BH957,0)</f>
        <v>0</v>
      </c>
      <c r="AG957" s="55">
        <f>IF(AQ957="2",BI957,0)</f>
        <v>0</v>
      </c>
      <c r="AH957" s="55">
        <f>IF(AQ957="0",BJ957,0)</f>
        <v>0</v>
      </c>
      <c r="AI957" s="33" t="s">
        <v>4</v>
      </c>
      <c r="AJ957" s="55">
        <f>IF(AN957=0,I957,0)</f>
        <v>0</v>
      </c>
      <c r="AK957" s="55">
        <f>IF(AN957=12,I957,0)</f>
        <v>0</v>
      </c>
      <c r="AL957" s="55">
        <f>IF(AN957=21,I957,0)</f>
        <v>0</v>
      </c>
      <c r="AN957" s="55">
        <v>21</v>
      </c>
      <c r="AO957" s="55">
        <f>H957*0.404602052</f>
        <v>0</v>
      </c>
      <c r="AP957" s="55">
        <f>H957*(1-0.404602052)</f>
        <v>0</v>
      </c>
      <c r="AQ957" s="58" t="s">
        <v>162</v>
      </c>
      <c r="AV957" s="55">
        <f>AW957+AX957</f>
        <v>0</v>
      </c>
      <c r="AW957" s="55">
        <f>G957*AO957</f>
        <v>0</v>
      </c>
      <c r="AX957" s="55">
        <f>G957*AP957</f>
        <v>0</v>
      </c>
      <c r="AY957" s="58" t="s">
        <v>1041</v>
      </c>
      <c r="AZ957" s="58" t="s">
        <v>954</v>
      </c>
      <c r="BA957" s="33" t="s">
        <v>125</v>
      </c>
      <c r="BB957" s="59">
        <v>100029</v>
      </c>
      <c r="BC957" s="55">
        <f>AW957+AX957</f>
        <v>0</v>
      </c>
      <c r="BD957" s="55">
        <f>H957/(100-BE957)*100</f>
        <v>0</v>
      </c>
      <c r="BE957" s="55">
        <v>0</v>
      </c>
      <c r="BF957" s="55">
        <f>L957</f>
        <v>0.16944996000000001</v>
      </c>
      <c r="BH957" s="55">
        <f>G957*AO957</f>
        <v>0</v>
      </c>
      <c r="BI957" s="55">
        <f>G957*AP957</f>
        <v>0</v>
      </c>
      <c r="BJ957" s="55">
        <f>G957*H957</f>
        <v>0</v>
      </c>
      <c r="BK957" s="55"/>
      <c r="BL957" s="55">
        <v>784</v>
      </c>
      <c r="BW957" s="55">
        <v>21</v>
      </c>
      <c r="BX957" s="3" t="s">
        <v>1047</v>
      </c>
    </row>
    <row r="958" spans="1:76">
      <c r="A958" s="60"/>
      <c r="D958" s="61" t="s">
        <v>1048</v>
      </c>
      <c r="E958" s="61" t="s">
        <v>336</v>
      </c>
      <c r="G958" s="62">
        <v>-1.94</v>
      </c>
      <c r="M958" s="63"/>
    </row>
    <row r="959" spans="1:76">
      <c r="A959" s="60"/>
      <c r="D959" s="61" t="s">
        <v>405</v>
      </c>
      <c r="E959" s="61" t="s">
        <v>406</v>
      </c>
      <c r="G959" s="62">
        <v>46.692999999999998</v>
      </c>
      <c r="M959" s="63"/>
    </row>
    <row r="960" spans="1:76">
      <c r="A960" s="60"/>
      <c r="D960" s="61" t="s">
        <v>1049</v>
      </c>
      <c r="E960" s="61" t="s">
        <v>383</v>
      </c>
      <c r="G960" s="62">
        <v>6.3525</v>
      </c>
      <c r="M960" s="63"/>
    </row>
    <row r="961" spans="1:13">
      <c r="A961" s="60"/>
      <c r="D961" s="61" t="s">
        <v>1050</v>
      </c>
      <c r="E961" s="61" t="s">
        <v>533</v>
      </c>
      <c r="G961" s="62">
        <v>48.723999999999997</v>
      </c>
      <c r="M961" s="63"/>
    </row>
    <row r="962" spans="1:13">
      <c r="A962" s="60"/>
      <c r="D962" s="61" t="s">
        <v>1051</v>
      </c>
      <c r="E962" s="61" t="s">
        <v>535</v>
      </c>
      <c r="G962" s="62">
        <v>47.451999999999998</v>
      </c>
      <c r="M962" s="63"/>
    </row>
    <row r="963" spans="1:13">
      <c r="A963" s="60"/>
      <c r="D963" s="61" t="s">
        <v>1052</v>
      </c>
      <c r="E963" s="61" t="s">
        <v>537</v>
      </c>
      <c r="G963" s="62">
        <v>47.796500000000002</v>
      </c>
      <c r="M963" s="63"/>
    </row>
    <row r="964" spans="1:13">
      <c r="A964" s="60"/>
      <c r="D964" s="61" t="s">
        <v>1053</v>
      </c>
      <c r="E964" s="61" t="s">
        <v>539</v>
      </c>
      <c r="G964" s="62">
        <v>47.875999999999998</v>
      </c>
      <c r="M964" s="63"/>
    </row>
    <row r="965" spans="1:13">
      <c r="A965" s="60"/>
      <c r="D965" s="61" t="s">
        <v>1054</v>
      </c>
      <c r="E965" s="61" t="s">
        <v>541</v>
      </c>
      <c r="G965" s="62">
        <v>44.775500000000001</v>
      </c>
      <c r="M965" s="63"/>
    </row>
    <row r="966" spans="1:13">
      <c r="A966" s="60"/>
      <c r="D966" s="61" t="s">
        <v>1055</v>
      </c>
      <c r="E966" s="61" t="s">
        <v>543</v>
      </c>
      <c r="G966" s="62">
        <v>45.146500000000003</v>
      </c>
      <c r="M966" s="63"/>
    </row>
    <row r="967" spans="1:13">
      <c r="A967" s="60"/>
      <c r="D967" s="61" t="s">
        <v>1056</v>
      </c>
      <c r="E967" s="61" t="s">
        <v>545</v>
      </c>
      <c r="G967" s="62">
        <v>27.974</v>
      </c>
      <c r="M967" s="63"/>
    </row>
    <row r="968" spans="1:13">
      <c r="A968" s="60"/>
      <c r="D968" s="61" t="s">
        <v>1057</v>
      </c>
      <c r="E968" s="61" t="s">
        <v>547</v>
      </c>
      <c r="G968" s="62">
        <v>71.588499999999996</v>
      </c>
      <c r="M968" s="63"/>
    </row>
    <row r="969" spans="1:13">
      <c r="A969" s="60"/>
      <c r="D969" s="61" t="s">
        <v>309</v>
      </c>
      <c r="E969" s="61" t="s">
        <v>310</v>
      </c>
      <c r="G969" s="62">
        <v>207.44200000000001</v>
      </c>
      <c r="M969" s="63"/>
    </row>
    <row r="970" spans="1:13">
      <c r="A970" s="60"/>
      <c r="D970" s="61" t="s">
        <v>431</v>
      </c>
      <c r="E970" s="61" t="s">
        <v>432</v>
      </c>
      <c r="G970" s="62">
        <v>19.5228</v>
      </c>
      <c r="M970" s="63"/>
    </row>
    <row r="971" spans="1:13">
      <c r="A971" s="60"/>
      <c r="D971" s="61" t="s">
        <v>384</v>
      </c>
      <c r="E971" s="61" t="s">
        <v>312</v>
      </c>
      <c r="G971" s="62">
        <v>1.302</v>
      </c>
      <c r="M971" s="63"/>
    </row>
    <row r="972" spans="1:13">
      <c r="A972" s="60"/>
      <c r="D972" s="61" t="s">
        <v>385</v>
      </c>
      <c r="E972" s="61" t="s">
        <v>314</v>
      </c>
      <c r="G972" s="62">
        <v>22.732500000000002</v>
      </c>
      <c r="M972" s="63"/>
    </row>
    <row r="973" spans="1:13">
      <c r="A973" s="60"/>
      <c r="D973" s="61" t="s">
        <v>1058</v>
      </c>
      <c r="E973" s="61" t="s">
        <v>851</v>
      </c>
      <c r="G973" s="62">
        <v>35.368499999999997</v>
      </c>
      <c r="M973" s="63"/>
    </row>
    <row r="974" spans="1:13">
      <c r="A974" s="60"/>
      <c r="D974" s="61" t="s">
        <v>1059</v>
      </c>
      <c r="E974" s="61" t="s">
        <v>550</v>
      </c>
      <c r="G974" s="62">
        <v>71.775999999999996</v>
      </c>
      <c r="M974" s="63"/>
    </row>
    <row r="975" spans="1:13">
      <c r="A975" s="60"/>
      <c r="D975" s="61" t="s">
        <v>327</v>
      </c>
      <c r="E975" s="61" t="s">
        <v>328</v>
      </c>
      <c r="G975" s="62">
        <v>37.616500000000002</v>
      </c>
      <c r="M975" s="63"/>
    </row>
    <row r="976" spans="1:13">
      <c r="A976" s="60"/>
      <c r="D976" s="61" t="s">
        <v>329</v>
      </c>
      <c r="E976" s="61" t="s">
        <v>330</v>
      </c>
      <c r="G976" s="62">
        <v>22.099</v>
      </c>
      <c r="M976" s="63"/>
    </row>
    <row r="977" spans="1:76">
      <c r="A977" s="60"/>
      <c r="D977" s="61" t="s">
        <v>386</v>
      </c>
      <c r="E977" s="61" t="s">
        <v>387</v>
      </c>
      <c r="G977" s="62">
        <v>-3.048</v>
      </c>
      <c r="M977" s="63"/>
    </row>
    <row r="978" spans="1:76">
      <c r="A978" s="60"/>
      <c r="C978" s="64" t="s">
        <v>127</v>
      </c>
      <c r="D978" s="618" t="s">
        <v>1060</v>
      </c>
      <c r="E978" s="619"/>
      <c r="F978" s="619"/>
      <c r="G978" s="619"/>
      <c r="H978" s="620"/>
      <c r="I978" s="619"/>
      <c r="J978" s="619"/>
      <c r="K978" s="619"/>
      <c r="L978" s="619"/>
      <c r="M978" s="621"/>
      <c r="BX978" s="65" t="s">
        <v>1060</v>
      </c>
    </row>
    <row r="979" spans="1:76">
      <c r="A979" s="1" t="s">
        <v>1061</v>
      </c>
      <c r="B979" s="2" t="s">
        <v>4</v>
      </c>
      <c r="C979" s="2" t="s">
        <v>1062</v>
      </c>
      <c r="D979" s="549" t="s">
        <v>1063</v>
      </c>
      <c r="E979" s="546"/>
      <c r="F979" s="2" t="s">
        <v>157</v>
      </c>
      <c r="G979" s="55">
        <v>847.24980000000005</v>
      </c>
      <c r="H979" s="56">
        <v>0</v>
      </c>
      <c r="I979" s="55">
        <f>G979*H979</f>
        <v>0</v>
      </c>
      <c r="J979" s="55">
        <v>0</v>
      </c>
      <c r="K979" s="55">
        <v>2.9E-4</v>
      </c>
      <c r="L979" s="55">
        <f>G979*K979</f>
        <v>0.24570244200000002</v>
      </c>
      <c r="M979" s="57" t="s">
        <v>122</v>
      </c>
      <c r="Z979" s="55">
        <f>IF(AQ979="5",BJ979,0)</f>
        <v>0</v>
      </c>
      <c r="AB979" s="55">
        <f>IF(AQ979="1",BH979,0)</f>
        <v>0</v>
      </c>
      <c r="AC979" s="55">
        <f>IF(AQ979="1",BI979,0)</f>
        <v>0</v>
      </c>
      <c r="AD979" s="55">
        <f>IF(AQ979="7",BH979,0)</f>
        <v>0</v>
      </c>
      <c r="AE979" s="55">
        <f>IF(AQ979="7",BI979,0)</f>
        <v>0</v>
      </c>
      <c r="AF979" s="55">
        <f>IF(AQ979="2",BH979,0)</f>
        <v>0</v>
      </c>
      <c r="AG979" s="55">
        <f>IF(AQ979="2",BI979,0)</f>
        <v>0</v>
      </c>
      <c r="AH979" s="55">
        <f>IF(AQ979="0",BJ979,0)</f>
        <v>0</v>
      </c>
      <c r="AI979" s="33" t="s">
        <v>4</v>
      </c>
      <c r="AJ979" s="55">
        <f>IF(AN979=0,I979,0)</f>
        <v>0</v>
      </c>
      <c r="AK979" s="55">
        <f>IF(AN979=12,I979,0)</f>
        <v>0</v>
      </c>
      <c r="AL979" s="55">
        <f>IF(AN979=21,I979,0)</f>
        <v>0</v>
      </c>
      <c r="AN979" s="55">
        <v>21</v>
      </c>
      <c r="AO979" s="55">
        <f>H979*0.145910182</f>
        <v>0</v>
      </c>
      <c r="AP979" s="55">
        <f>H979*(1-0.145910182)</f>
        <v>0</v>
      </c>
      <c r="AQ979" s="58" t="s">
        <v>162</v>
      </c>
      <c r="AV979" s="55">
        <f>AW979+AX979</f>
        <v>0</v>
      </c>
      <c r="AW979" s="55">
        <f>G979*AO979</f>
        <v>0</v>
      </c>
      <c r="AX979" s="55">
        <f>G979*AP979</f>
        <v>0</v>
      </c>
      <c r="AY979" s="58" t="s">
        <v>1041</v>
      </c>
      <c r="AZ979" s="58" t="s">
        <v>954</v>
      </c>
      <c r="BA979" s="33" t="s">
        <v>125</v>
      </c>
      <c r="BB979" s="59">
        <v>100029</v>
      </c>
      <c r="BC979" s="55">
        <f>AW979+AX979</f>
        <v>0</v>
      </c>
      <c r="BD979" s="55">
        <f>H979/(100-BE979)*100</f>
        <v>0</v>
      </c>
      <c r="BE979" s="55">
        <v>0</v>
      </c>
      <c r="BF979" s="55">
        <f>L979</f>
        <v>0.24570244200000002</v>
      </c>
      <c r="BH979" s="55">
        <f>G979*AO979</f>
        <v>0</v>
      </c>
      <c r="BI979" s="55">
        <f>G979*AP979</f>
        <v>0</v>
      </c>
      <c r="BJ979" s="55">
        <f>G979*H979</f>
        <v>0</v>
      </c>
      <c r="BK979" s="55"/>
      <c r="BL979" s="55">
        <v>784</v>
      </c>
      <c r="BW979" s="55">
        <v>21</v>
      </c>
      <c r="BX979" s="3" t="s">
        <v>1063</v>
      </c>
    </row>
    <row r="980" spans="1:76">
      <c r="A980" s="60"/>
      <c r="D980" s="61" t="s">
        <v>1048</v>
      </c>
      <c r="E980" s="61" t="s">
        <v>336</v>
      </c>
      <c r="G980" s="62">
        <v>-1.94</v>
      </c>
      <c r="M980" s="63"/>
    </row>
    <row r="981" spans="1:76">
      <c r="A981" s="60"/>
      <c r="D981" s="61" t="s">
        <v>405</v>
      </c>
      <c r="E981" s="61" t="s">
        <v>406</v>
      </c>
      <c r="G981" s="62">
        <v>46.692999999999998</v>
      </c>
      <c r="M981" s="63"/>
    </row>
    <row r="982" spans="1:76">
      <c r="A982" s="60"/>
      <c r="D982" s="61" t="s">
        <v>1049</v>
      </c>
      <c r="E982" s="61" t="s">
        <v>383</v>
      </c>
      <c r="G982" s="62">
        <v>6.3525</v>
      </c>
      <c r="M982" s="63"/>
    </row>
    <row r="983" spans="1:76">
      <c r="A983" s="60"/>
      <c r="D983" s="61" t="s">
        <v>1050</v>
      </c>
      <c r="E983" s="61" t="s">
        <v>533</v>
      </c>
      <c r="G983" s="62">
        <v>48.723999999999997</v>
      </c>
      <c r="M983" s="63"/>
    </row>
    <row r="984" spans="1:76">
      <c r="A984" s="60"/>
      <c r="D984" s="61" t="s">
        <v>1051</v>
      </c>
      <c r="E984" s="61" t="s">
        <v>535</v>
      </c>
      <c r="G984" s="62">
        <v>47.451999999999998</v>
      </c>
      <c r="M984" s="63"/>
    </row>
    <row r="985" spans="1:76">
      <c r="A985" s="60"/>
      <c r="D985" s="61" t="s">
        <v>1052</v>
      </c>
      <c r="E985" s="61" t="s">
        <v>537</v>
      </c>
      <c r="G985" s="62">
        <v>47.796500000000002</v>
      </c>
      <c r="M985" s="63"/>
    </row>
    <row r="986" spans="1:76">
      <c r="A986" s="60"/>
      <c r="D986" s="61" t="s">
        <v>1053</v>
      </c>
      <c r="E986" s="61" t="s">
        <v>539</v>
      </c>
      <c r="G986" s="62">
        <v>47.875999999999998</v>
      </c>
      <c r="M986" s="63"/>
    </row>
    <row r="987" spans="1:76">
      <c r="A987" s="60"/>
      <c r="D987" s="61" t="s">
        <v>1054</v>
      </c>
      <c r="E987" s="61" t="s">
        <v>541</v>
      </c>
      <c r="G987" s="62">
        <v>44.775500000000001</v>
      </c>
      <c r="M987" s="63"/>
    </row>
    <row r="988" spans="1:76">
      <c r="A988" s="60"/>
      <c r="D988" s="61" t="s">
        <v>1055</v>
      </c>
      <c r="E988" s="61" t="s">
        <v>543</v>
      </c>
      <c r="G988" s="62">
        <v>45.146500000000003</v>
      </c>
      <c r="M988" s="63"/>
    </row>
    <row r="989" spans="1:76">
      <c r="A989" s="60"/>
      <c r="D989" s="61" t="s">
        <v>1056</v>
      </c>
      <c r="E989" s="61" t="s">
        <v>545</v>
      </c>
      <c r="G989" s="62">
        <v>27.974</v>
      </c>
      <c r="M989" s="63"/>
    </row>
    <row r="990" spans="1:76">
      <c r="A990" s="60"/>
      <c r="D990" s="61" t="s">
        <v>1057</v>
      </c>
      <c r="E990" s="61" t="s">
        <v>547</v>
      </c>
      <c r="G990" s="62">
        <v>71.588499999999996</v>
      </c>
      <c r="M990" s="63"/>
    </row>
    <row r="991" spans="1:76">
      <c r="A991" s="60"/>
      <c r="D991" s="61" t="s">
        <v>309</v>
      </c>
      <c r="E991" s="61" t="s">
        <v>310</v>
      </c>
      <c r="G991" s="62">
        <v>207.44200000000001</v>
      </c>
      <c r="M991" s="63"/>
    </row>
    <row r="992" spans="1:76">
      <c r="A992" s="60"/>
      <c r="D992" s="61" t="s">
        <v>431</v>
      </c>
      <c r="E992" s="61" t="s">
        <v>432</v>
      </c>
      <c r="G992" s="62">
        <v>19.5228</v>
      </c>
      <c r="M992" s="63"/>
    </row>
    <row r="993" spans="1:76">
      <c r="A993" s="60"/>
      <c r="D993" s="61" t="s">
        <v>384</v>
      </c>
      <c r="E993" s="61" t="s">
        <v>312</v>
      </c>
      <c r="G993" s="62">
        <v>1.302</v>
      </c>
      <c r="M993" s="63"/>
    </row>
    <row r="994" spans="1:76">
      <c r="A994" s="60"/>
      <c r="D994" s="61" t="s">
        <v>385</v>
      </c>
      <c r="E994" s="61" t="s">
        <v>314</v>
      </c>
      <c r="G994" s="62">
        <v>22.732500000000002</v>
      </c>
      <c r="M994" s="63"/>
    </row>
    <row r="995" spans="1:76">
      <c r="A995" s="60"/>
      <c r="D995" s="61" t="s">
        <v>1058</v>
      </c>
      <c r="E995" s="61" t="s">
        <v>851</v>
      </c>
      <c r="G995" s="62">
        <v>35.368499999999997</v>
      </c>
      <c r="M995" s="63"/>
    </row>
    <row r="996" spans="1:76">
      <c r="A996" s="60"/>
      <c r="D996" s="61" t="s">
        <v>1059</v>
      </c>
      <c r="E996" s="61" t="s">
        <v>550</v>
      </c>
      <c r="G996" s="62">
        <v>71.775999999999996</v>
      </c>
      <c r="M996" s="63"/>
    </row>
    <row r="997" spans="1:76">
      <c r="A997" s="60"/>
      <c r="D997" s="61" t="s">
        <v>327</v>
      </c>
      <c r="E997" s="61" t="s">
        <v>328</v>
      </c>
      <c r="G997" s="62">
        <v>37.616500000000002</v>
      </c>
      <c r="M997" s="63"/>
    </row>
    <row r="998" spans="1:76">
      <c r="A998" s="60"/>
      <c r="D998" s="61" t="s">
        <v>329</v>
      </c>
      <c r="E998" s="61" t="s">
        <v>330</v>
      </c>
      <c r="G998" s="62">
        <v>22.099</v>
      </c>
      <c r="M998" s="63"/>
    </row>
    <row r="999" spans="1:76">
      <c r="A999" s="60"/>
      <c r="D999" s="61" t="s">
        <v>386</v>
      </c>
      <c r="E999" s="61" t="s">
        <v>387</v>
      </c>
      <c r="G999" s="62">
        <v>-3.048</v>
      </c>
      <c r="M999" s="63"/>
    </row>
    <row r="1000" spans="1:76" ht="63.75">
      <c r="A1000" s="60"/>
      <c r="C1000" s="64" t="s">
        <v>127</v>
      </c>
      <c r="D1000" s="618" t="s">
        <v>1064</v>
      </c>
      <c r="E1000" s="619"/>
      <c r="F1000" s="619"/>
      <c r="G1000" s="619"/>
      <c r="H1000" s="620"/>
      <c r="I1000" s="619"/>
      <c r="J1000" s="619"/>
      <c r="K1000" s="619"/>
      <c r="L1000" s="619"/>
      <c r="M1000" s="621"/>
      <c r="BX1000" s="65" t="s">
        <v>1064</v>
      </c>
    </row>
    <row r="1001" spans="1:76">
      <c r="A1001" s="50" t="s">
        <v>4</v>
      </c>
      <c r="B1001" s="51" t="s">
        <v>4</v>
      </c>
      <c r="C1001" s="51" t="s">
        <v>864</v>
      </c>
      <c r="D1001" s="625" t="s">
        <v>1065</v>
      </c>
      <c r="E1001" s="626"/>
      <c r="F1001" s="52" t="s">
        <v>79</v>
      </c>
      <c r="G1001" s="52" t="s">
        <v>79</v>
      </c>
      <c r="H1001" s="53" t="s">
        <v>79</v>
      </c>
      <c r="I1001" s="26">
        <f>SUM(I1002:I1002)</f>
        <v>0</v>
      </c>
      <c r="J1001" s="33" t="s">
        <v>4</v>
      </c>
      <c r="K1001" s="33" t="s">
        <v>4</v>
      </c>
      <c r="L1001" s="26">
        <f>SUM(L1002:L1002)</f>
        <v>0.62607819999999992</v>
      </c>
      <c r="M1001" s="54" t="s">
        <v>4</v>
      </c>
      <c r="AI1001" s="33" t="s">
        <v>4</v>
      </c>
      <c r="AS1001" s="26">
        <f>SUM(AJ1002:AJ1002)</f>
        <v>0</v>
      </c>
      <c r="AT1001" s="26">
        <f>SUM(AK1002:AK1002)</f>
        <v>0</v>
      </c>
      <c r="AU1001" s="26">
        <f>SUM(AL1002:AL1002)</f>
        <v>0</v>
      </c>
    </row>
    <row r="1002" spans="1:76">
      <c r="A1002" s="1" t="s">
        <v>1066</v>
      </c>
      <c r="B1002" s="2" t="s">
        <v>4</v>
      </c>
      <c r="C1002" s="2" t="s">
        <v>1067</v>
      </c>
      <c r="D1002" s="549" t="s">
        <v>1068</v>
      </c>
      <c r="E1002" s="546"/>
      <c r="F1002" s="2" t="s">
        <v>157</v>
      </c>
      <c r="G1002" s="55">
        <v>517.41999999999996</v>
      </c>
      <c r="H1002" s="56">
        <v>0</v>
      </c>
      <c r="I1002" s="55">
        <f>G1002*H1002</f>
        <v>0</v>
      </c>
      <c r="J1002" s="55">
        <v>0</v>
      </c>
      <c r="K1002" s="55">
        <v>1.2099999999999999E-3</v>
      </c>
      <c r="L1002" s="55">
        <f>G1002*K1002</f>
        <v>0.62607819999999992</v>
      </c>
      <c r="M1002" s="57" t="s">
        <v>122</v>
      </c>
      <c r="Z1002" s="55">
        <f>IF(AQ1002="5",BJ1002,0)</f>
        <v>0</v>
      </c>
      <c r="AB1002" s="55">
        <f>IF(AQ1002="1",BH1002,0)</f>
        <v>0</v>
      </c>
      <c r="AC1002" s="55">
        <f>IF(AQ1002="1",BI1002,0)</f>
        <v>0</v>
      </c>
      <c r="AD1002" s="55">
        <f>IF(AQ1002="7",BH1002,0)</f>
        <v>0</v>
      </c>
      <c r="AE1002" s="55">
        <f>IF(AQ1002="7",BI1002,0)</f>
        <v>0</v>
      </c>
      <c r="AF1002" s="55">
        <f>IF(AQ1002="2",BH1002,0)</f>
        <v>0</v>
      </c>
      <c r="AG1002" s="55">
        <f>IF(AQ1002="2",BI1002,0)</f>
        <v>0</v>
      </c>
      <c r="AH1002" s="55">
        <f>IF(AQ1002="0",BJ1002,0)</f>
        <v>0</v>
      </c>
      <c r="AI1002" s="33" t="s">
        <v>4</v>
      </c>
      <c r="AJ1002" s="55">
        <f>IF(AN1002=0,I1002,0)</f>
        <v>0</v>
      </c>
      <c r="AK1002" s="55">
        <f>IF(AN1002=12,I1002,0)</f>
        <v>0</v>
      </c>
      <c r="AL1002" s="55">
        <f>IF(AN1002=21,I1002,0)</f>
        <v>0</v>
      </c>
      <c r="AN1002" s="55">
        <v>21</v>
      </c>
      <c r="AO1002" s="55">
        <f>H1002*0.36869258</f>
        <v>0</v>
      </c>
      <c r="AP1002" s="55">
        <f>H1002*(1-0.36869258)</f>
        <v>0</v>
      </c>
      <c r="AQ1002" s="58" t="s">
        <v>118</v>
      </c>
      <c r="AV1002" s="55">
        <f>AW1002+AX1002</f>
        <v>0</v>
      </c>
      <c r="AW1002" s="55">
        <f>G1002*AO1002</f>
        <v>0</v>
      </c>
      <c r="AX1002" s="55">
        <f>G1002*AP1002</f>
        <v>0</v>
      </c>
      <c r="AY1002" s="58" t="s">
        <v>1069</v>
      </c>
      <c r="AZ1002" s="58" t="s">
        <v>1070</v>
      </c>
      <c r="BA1002" s="33" t="s">
        <v>125</v>
      </c>
      <c r="BB1002" s="59">
        <v>100041</v>
      </c>
      <c r="BC1002" s="55">
        <f>AW1002+AX1002</f>
        <v>0</v>
      </c>
      <c r="BD1002" s="55">
        <f>H1002/(100-BE1002)*100</f>
        <v>0</v>
      </c>
      <c r="BE1002" s="55">
        <v>0</v>
      </c>
      <c r="BF1002" s="55">
        <f>L1002</f>
        <v>0.62607819999999992</v>
      </c>
      <c r="BH1002" s="55">
        <f>G1002*AO1002</f>
        <v>0</v>
      </c>
      <c r="BI1002" s="55">
        <f>G1002*AP1002</f>
        <v>0</v>
      </c>
      <c r="BJ1002" s="55">
        <f>G1002*H1002</f>
        <v>0</v>
      </c>
      <c r="BK1002" s="55"/>
      <c r="BL1002" s="55">
        <v>94</v>
      </c>
      <c r="BW1002" s="55">
        <v>21</v>
      </c>
      <c r="BX1002" s="3" t="s">
        <v>1068</v>
      </c>
    </row>
    <row r="1003" spans="1:76">
      <c r="A1003" s="60"/>
      <c r="D1003" s="61" t="s">
        <v>500</v>
      </c>
      <c r="E1003" s="61" t="s">
        <v>501</v>
      </c>
      <c r="G1003" s="62">
        <v>15.79</v>
      </c>
      <c r="M1003" s="63"/>
    </row>
    <row r="1004" spans="1:76">
      <c r="A1004" s="60"/>
      <c r="D1004" s="61" t="s">
        <v>502</v>
      </c>
      <c r="E1004" s="61" t="s">
        <v>503</v>
      </c>
      <c r="G1004" s="62">
        <v>2.61</v>
      </c>
      <c r="M1004" s="63"/>
    </row>
    <row r="1005" spans="1:76">
      <c r="A1005" s="60"/>
      <c r="D1005" s="61" t="s">
        <v>504</v>
      </c>
      <c r="E1005" s="61" t="s">
        <v>505</v>
      </c>
      <c r="G1005" s="62">
        <v>1.89</v>
      </c>
      <c r="M1005" s="63"/>
    </row>
    <row r="1006" spans="1:76">
      <c r="A1006" s="60"/>
      <c r="D1006" s="61" t="s">
        <v>506</v>
      </c>
      <c r="E1006" s="61" t="s">
        <v>507</v>
      </c>
      <c r="G1006" s="62">
        <v>5.2</v>
      </c>
      <c r="M1006" s="63"/>
    </row>
    <row r="1007" spans="1:76">
      <c r="A1007" s="60"/>
      <c r="D1007" s="61" t="s">
        <v>532</v>
      </c>
      <c r="E1007" s="61" t="s">
        <v>533</v>
      </c>
      <c r="G1007" s="62">
        <v>22.2</v>
      </c>
      <c r="M1007" s="63"/>
    </row>
    <row r="1008" spans="1:76">
      <c r="A1008" s="60"/>
      <c r="D1008" s="61" t="s">
        <v>534</v>
      </c>
      <c r="E1008" s="61" t="s">
        <v>535</v>
      </c>
      <c r="G1008" s="62">
        <v>21.64</v>
      </c>
      <c r="M1008" s="63"/>
    </row>
    <row r="1009" spans="1:13">
      <c r="A1009" s="60"/>
      <c r="D1009" s="61" t="s">
        <v>508</v>
      </c>
      <c r="E1009" s="61" t="s">
        <v>509</v>
      </c>
      <c r="G1009" s="62">
        <v>4.7300000000000004</v>
      </c>
      <c r="M1009" s="63"/>
    </row>
    <row r="1010" spans="1:13">
      <c r="A1010" s="60"/>
      <c r="D1010" s="61" t="s">
        <v>510</v>
      </c>
      <c r="E1010" s="61" t="s">
        <v>511</v>
      </c>
      <c r="G1010" s="62">
        <v>4.42</v>
      </c>
      <c r="M1010" s="63"/>
    </row>
    <row r="1011" spans="1:13">
      <c r="A1011" s="60"/>
      <c r="D1011" s="61" t="s">
        <v>536</v>
      </c>
      <c r="E1011" s="61" t="s">
        <v>537</v>
      </c>
      <c r="G1011" s="62">
        <v>20.81</v>
      </c>
      <c r="M1011" s="63"/>
    </row>
    <row r="1012" spans="1:13">
      <c r="A1012" s="60"/>
      <c r="D1012" s="61" t="s">
        <v>538</v>
      </c>
      <c r="E1012" s="61" t="s">
        <v>539</v>
      </c>
      <c r="G1012" s="62">
        <v>21.75</v>
      </c>
      <c r="M1012" s="63"/>
    </row>
    <row r="1013" spans="1:13">
      <c r="A1013" s="60"/>
      <c r="D1013" s="61" t="s">
        <v>512</v>
      </c>
      <c r="E1013" s="61" t="s">
        <v>513</v>
      </c>
      <c r="G1013" s="62">
        <v>5.34</v>
      </c>
      <c r="M1013" s="63"/>
    </row>
    <row r="1014" spans="1:13">
      <c r="A1014" s="60"/>
      <c r="D1014" s="61" t="s">
        <v>514</v>
      </c>
      <c r="E1014" s="61" t="s">
        <v>515</v>
      </c>
      <c r="G1014" s="62">
        <v>5.21</v>
      </c>
      <c r="M1014" s="63"/>
    </row>
    <row r="1015" spans="1:13">
      <c r="A1015" s="60"/>
      <c r="D1015" s="61" t="s">
        <v>540</v>
      </c>
      <c r="E1015" s="61" t="s">
        <v>541</v>
      </c>
      <c r="G1015" s="62">
        <v>19.22</v>
      </c>
      <c r="M1015" s="63"/>
    </row>
    <row r="1016" spans="1:13">
      <c r="A1016" s="60"/>
      <c r="D1016" s="61" t="s">
        <v>542</v>
      </c>
      <c r="E1016" s="61" t="s">
        <v>543</v>
      </c>
      <c r="G1016" s="62">
        <v>20.36</v>
      </c>
      <c r="M1016" s="63"/>
    </row>
    <row r="1017" spans="1:13">
      <c r="A1017" s="60"/>
      <c r="D1017" s="61" t="s">
        <v>516</v>
      </c>
      <c r="E1017" s="61" t="s">
        <v>517</v>
      </c>
      <c r="G1017" s="62">
        <v>5.63</v>
      </c>
      <c r="M1017" s="63"/>
    </row>
    <row r="1018" spans="1:13">
      <c r="A1018" s="60"/>
      <c r="D1018" s="61" t="s">
        <v>544</v>
      </c>
      <c r="E1018" s="61" t="s">
        <v>545</v>
      </c>
      <c r="G1018" s="62">
        <v>7.3</v>
      </c>
      <c r="M1018" s="63"/>
    </row>
    <row r="1019" spans="1:13">
      <c r="A1019" s="60"/>
      <c r="D1019" s="61" t="s">
        <v>518</v>
      </c>
      <c r="E1019" s="61" t="s">
        <v>519</v>
      </c>
      <c r="G1019" s="62">
        <v>16.84</v>
      </c>
      <c r="M1019" s="63"/>
    </row>
    <row r="1020" spans="1:13">
      <c r="A1020" s="60"/>
      <c r="D1020" s="61" t="s">
        <v>546</v>
      </c>
      <c r="E1020" s="61" t="s">
        <v>547</v>
      </c>
      <c r="G1020" s="62">
        <v>29.33</v>
      </c>
      <c r="M1020" s="63"/>
    </row>
    <row r="1021" spans="1:13">
      <c r="A1021" s="60"/>
      <c r="D1021" s="61" t="s">
        <v>849</v>
      </c>
      <c r="E1021" s="61" t="s">
        <v>308</v>
      </c>
      <c r="G1021" s="62">
        <v>5.51</v>
      </c>
      <c r="M1021" s="63"/>
    </row>
    <row r="1022" spans="1:13">
      <c r="A1022" s="60"/>
      <c r="D1022" s="61" t="s">
        <v>548</v>
      </c>
      <c r="E1022" s="61" t="s">
        <v>310</v>
      </c>
      <c r="G1022" s="62">
        <v>154.38</v>
      </c>
      <c r="M1022" s="63"/>
    </row>
    <row r="1023" spans="1:13">
      <c r="A1023" s="60"/>
      <c r="D1023" s="61" t="s">
        <v>520</v>
      </c>
      <c r="E1023" s="61" t="s">
        <v>521</v>
      </c>
      <c r="G1023" s="62">
        <v>9.5500000000000007</v>
      </c>
      <c r="M1023" s="63"/>
    </row>
    <row r="1024" spans="1:13">
      <c r="A1024" s="60"/>
      <c r="D1024" s="61" t="s">
        <v>522</v>
      </c>
      <c r="E1024" s="61" t="s">
        <v>314</v>
      </c>
      <c r="G1024" s="62">
        <v>8.5</v>
      </c>
      <c r="M1024" s="63"/>
    </row>
    <row r="1025" spans="1:76">
      <c r="A1025" s="60"/>
      <c r="D1025" s="61" t="s">
        <v>850</v>
      </c>
      <c r="E1025" s="61" t="s">
        <v>851</v>
      </c>
      <c r="G1025" s="62">
        <v>10.4</v>
      </c>
      <c r="M1025" s="63"/>
    </row>
    <row r="1026" spans="1:76">
      <c r="A1026" s="60"/>
      <c r="D1026" s="61" t="s">
        <v>523</v>
      </c>
      <c r="E1026" s="61" t="s">
        <v>318</v>
      </c>
      <c r="G1026" s="62">
        <v>1.86</v>
      </c>
      <c r="M1026" s="63"/>
    </row>
    <row r="1027" spans="1:76">
      <c r="A1027" s="60"/>
      <c r="D1027" s="61" t="s">
        <v>524</v>
      </c>
      <c r="E1027" s="61" t="s">
        <v>525</v>
      </c>
      <c r="G1027" s="62">
        <v>6.51</v>
      </c>
      <c r="M1027" s="63"/>
    </row>
    <row r="1028" spans="1:76">
      <c r="A1028" s="60"/>
      <c r="D1028" s="61" t="s">
        <v>549</v>
      </c>
      <c r="E1028" s="61" t="s">
        <v>550</v>
      </c>
      <c r="G1028" s="62">
        <v>36.67</v>
      </c>
      <c r="M1028" s="63"/>
    </row>
    <row r="1029" spans="1:76">
      <c r="A1029" s="60"/>
      <c r="D1029" s="61" t="s">
        <v>526</v>
      </c>
      <c r="E1029" s="61" t="s">
        <v>324</v>
      </c>
      <c r="G1029" s="62">
        <v>4.93</v>
      </c>
      <c r="M1029" s="63"/>
    </row>
    <row r="1030" spans="1:76">
      <c r="A1030" s="60"/>
      <c r="D1030" s="61" t="s">
        <v>527</v>
      </c>
      <c r="E1030" s="61" t="s">
        <v>528</v>
      </c>
      <c r="G1030" s="62">
        <v>4.87</v>
      </c>
      <c r="M1030" s="63"/>
    </row>
    <row r="1031" spans="1:76">
      <c r="A1031" s="60"/>
      <c r="D1031" s="61" t="s">
        <v>551</v>
      </c>
      <c r="E1031" s="61" t="s">
        <v>552</v>
      </c>
      <c r="G1031" s="62">
        <v>25.08</v>
      </c>
      <c r="M1031" s="63"/>
    </row>
    <row r="1032" spans="1:76">
      <c r="A1032" s="60"/>
      <c r="D1032" s="61" t="s">
        <v>553</v>
      </c>
      <c r="E1032" s="61" t="s">
        <v>554</v>
      </c>
      <c r="G1032" s="62">
        <v>18.89</v>
      </c>
      <c r="M1032" s="63"/>
    </row>
    <row r="1033" spans="1:76">
      <c r="A1033" s="50" t="s">
        <v>4</v>
      </c>
      <c r="B1033" s="51" t="s">
        <v>4</v>
      </c>
      <c r="C1033" s="51" t="s">
        <v>870</v>
      </c>
      <c r="D1033" s="625" t="s">
        <v>1071</v>
      </c>
      <c r="E1033" s="626"/>
      <c r="F1033" s="52" t="s">
        <v>79</v>
      </c>
      <c r="G1033" s="52" t="s">
        <v>79</v>
      </c>
      <c r="H1033" s="53" t="s">
        <v>79</v>
      </c>
      <c r="I1033" s="26">
        <f>SUM(I1034:I1034)</f>
        <v>0</v>
      </c>
      <c r="J1033" s="33" t="s">
        <v>4</v>
      </c>
      <c r="K1033" s="33" t="s">
        <v>4</v>
      </c>
      <c r="L1033" s="26">
        <f>SUM(L1034:L1034)</f>
        <v>2.0696800000000001E-2</v>
      </c>
      <c r="M1033" s="54" t="s">
        <v>4</v>
      </c>
      <c r="AI1033" s="33" t="s">
        <v>4</v>
      </c>
      <c r="AS1033" s="26">
        <f>SUM(AJ1034:AJ1034)</f>
        <v>0</v>
      </c>
      <c r="AT1033" s="26">
        <f>SUM(AK1034:AK1034)</f>
        <v>0</v>
      </c>
      <c r="AU1033" s="26">
        <f>SUM(AL1034:AL1034)</f>
        <v>0</v>
      </c>
    </row>
    <row r="1034" spans="1:76">
      <c r="A1034" s="1" t="s">
        <v>1072</v>
      </c>
      <c r="B1034" s="2" t="s">
        <v>4</v>
      </c>
      <c r="C1034" s="2" t="s">
        <v>1073</v>
      </c>
      <c r="D1034" s="549" t="s">
        <v>1074</v>
      </c>
      <c r="E1034" s="546"/>
      <c r="F1034" s="2" t="s">
        <v>157</v>
      </c>
      <c r="G1034" s="55">
        <v>517.41999999999996</v>
      </c>
      <c r="H1034" s="56">
        <v>0</v>
      </c>
      <c r="I1034" s="55">
        <f>G1034*H1034</f>
        <v>0</v>
      </c>
      <c r="J1034" s="55">
        <v>0</v>
      </c>
      <c r="K1034" s="55">
        <v>4.0000000000000003E-5</v>
      </c>
      <c r="L1034" s="55">
        <f>G1034*K1034</f>
        <v>2.0696800000000001E-2</v>
      </c>
      <c r="M1034" s="57" t="s">
        <v>122</v>
      </c>
      <c r="Z1034" s="55">
        <f>IF(AQ1034="5",BJ1034,0)</f>
        <v>0</v>
      </c>
      <c r="AB1034" s="55">
        <f>IF(AQ1034="1",BH1034,0)</f>
        <v>0</v>
      </c>
      <c r="AC1034" s="55">
        <f>IF(AQ1034="1",BI1034,0)</f>
        <v>0</v>
      </c>
      <c r="AD1034" s="55">
        <f>IF(AQ1034="7",BH1034,0)</f>
        <v>0</v>
      </c>
      <c r="AE1034" s="55">
        <f>IF(AQ1034="7",BI1034,0)</f>
        <v>0</v>
      </c>
      <c r="AF1034" s="55">
        <f>IF(AQ1034="2",BH1034,0)</f>
        <v>0</v>
      </c>
      <c r="AG1034" s="55">
        <f>IF(AQ1034="2",BI1034,0)</f>
        <v>0</v>
      </c>
      <c r="AH1034" s="55">
        <f>IF(AQ1034="0",BJ1034,0)</f>
        <v>0</v>
      </c>
      <c r="AI1034" s="33" t="s">
        <v>4</v>
      </c>
      <c r="AJ1034" s="55">
        <f>IF(AN1034=0,I1034,0)</f>
        <v>0</v>
      </c>
      <c r="AK1034" s="55">
        <f>IF(AN1034=12,I1034,0)</f>
        <v>0</v>
      </c>
      <c r="AL1034" s="55">
        <f>IF(AN1034=21,I1034,0)</f>
        <v>0</v>
      </c>
      <c r="AN1034" s="55">
        <v>21</v>
      </c>
      <c r="AO1034" s="55">
        <f>H1034*0.016056338</f>
        <v>0</v>
      </c>
      <c r="AP1034" s="55">
        <f>H1034*(1-0.016056338)</f>
        <v>0</v>
      </c>
      <c r="AQ1034" s="58" t="s">
        <v>118</v>
      </c>
      <c r="AV1034" s="55">
        <f>AW1034+AX1034</f>
        <v>0</v>
      </c>
      <c r="AW1034" s="55">
        <f>G1034*AO1034</f>
        <v>0</v>
      </c>
      <c r="AX1034" s="55">
        <f>G1034*AP1034</f>
        <v>0</v>
      </c>
      <c r="AY1034" s="58" t="s">
        <v>1075</v>
      </c>
      <c r="AZ1034" s="58" t="s">
        <v>1070</v>
      </c>
      <c r="BA1034" s="33" t="s">
        <v>125</v>
      </c>
      <c r="BB1034" s="59">
        <v>100045</v>
      </c>
      <c r="BC1034" s="55">
        <f>AW1034+AX1034</f>
        <v>0</v>
      </c>
      <c r="BD1034" s="55">
        <f>H1034/(100-BE1034)*100</f>
        <v>0</v>
      </c>
      <c r="BE1034" s="55">
        <v>0</v>
      </c>
      <c r="BF1034" s="55">
        <f>L1034</f>
        <v>2.0696800000000001E-2</v>
      </c>
      <c r="BH1034" s="55">
        <f>G1034*AO1034</f>
        <v>0</v>
      </c>
      <c r="BI1034" s="55">
        <f>G1034*AP1034</f>
        <v>0</v>
      </c>
      <c r="BJ1034" s="55">
        <f>G1034*H1034</f>
        <v>0</v>
      </c>
      <c r="BK1034" s="55"/>
      <c r="BL1034" s="55">
        <v>95</v>
      </c>
      <c r="BW1034" s="55">
        <v>21</v>
      </c>
      <c r="BX1034" s="3" t="s">
        <v>1074</v>
      </c>
    </row>
    <row r="1035" spans="1:76">
      <c r="A1035" s="60"/>
      <c r="D1035" s="61" t="s">
        <v>500</v>
      </c>
      <c r="E1035" s="61" t="s">
        <v>501</v>
      </c>
      <c r="G1035" s="62">
        <v>15.79</v>
      </c>
      <c r="M1035" s="63"/>
    </row>
    <row r="1036" spans="1:76">
      <c r="A1036" s="60"/>
      <c r="D1036" s="61" t="s">
        <v>502</v>
      </c>
      <c r="E1036" s="61" t="s">
        <v>503</v>
      </c>
      <c r="G1036" s="62">
        <v>2.61</v>
      </c>
      <c r="M1036" s="63"/>
    </row>
    <row r="1037" spans="1:76">
      <c r="A1037" s="60"/>
      <c r="D1037" s="61" t="s">
        <v>504</v>
      </c>
      <c r="E1037" s="61" t="s">
        <v>505</v>
      </c>
      <c r="G1037" s="62">
        <v>1.89</v>
      </c>
      <c r="M1037" s="63"/>
    </row>
    <row r="1038" spans="1:76">
      <c r="A1038" s="60"/>
      <c r="D1038" s="61" t="s">
        <v>506</v>
      </c>
      <c r="E1038" s="61" t="s">
        <v>507</v>
      </c>
      <c r="G1038" s="62">
        <v>5.2</v>
      </c>
      <c r="M1038" s="63"/>
    </row>
    <row r="1039" spans="1:76">
      <c r="A1039" s="60"/>
      <c r="D1039" s="61" t="s">
        <v>532</v>
      </c>
      <c r="E1039" s="61" t="s">
        <v>533</v>
      </c>
      <c r="G1039" s="62">
        <v>22.2</v>
      </c>
      <c r="M1039" s="63"/>
    </row>
    <row r="1040" spans="1:76">
      <c r="A1040" s="60"/>
      <c r="D1040" s="61" t="s">
        <v>534</v>
      </c>
      <c r="E1040" s="61" t="s">
        <v>535</v>
      </c>
      <c r="G1040" s="62">
        <v>21.64</v>
      </c>
      <c r="M1040" s="63"/>
    </row>
    <row r="1041" spans="1:13">
      <c r="A1041" s="60"/>
      <c r="D1041" s="61" t="s">
        <v>508</v>
      </c>
      <c r="E1041" s="61" t="s">
        <v>509</v>
      </c>
      <c r="G1041" s="62">
        <v>4.7300000000000004</v>
      </c>
      <c r="M1041" s="63"/>
    </row>
    <row r="1042" spans="1:13">
      <c r="A1042" s="60"/>
      <c r="D1042" s="61" t="s">
        <v>510</v>
      </c>
      <c r="E1042" s="61" t="s">
        <v>511</v>
      </c>
      <c r="G1042" s="62">
        <v>4.42</v>
      </c>
      <c r="M1042" s="63"/>
    </row>
    <row r="1043" spans="1:13">
      <c r="A1043" s="60"/>
      <c r="D1043" s="61" t="s">
        <v>536</v>
      </c>
      <c r="E1043" s="61" t="s">
        <v>537</v>
      </c>
      <c r="G1043" s="62">
        <v>20.81</v>
      </c>
      <c r="M1043" s="63"/>
    </row>
    <row r="1044" spans="1:13">
      <c r="A1044" s="60"/>
      <c r="D1044" s="61" t="s">
        <v>538</v>
      </c>
      <c r="E1044" s="61" t="s">
        <v>539</v>
      </c>
      <c r="G1044" s="62">
        <v>21.75</v>
      </c>
      <c r="M1044" s="63"/>
    </row>
    <row r="1045" spans="1:13">
      <c r="A1045" s="60"/>
      <c r="D1045" s="61" t="s">
        <v>512</v>
      </c>
      <c r="E1045" s="61" t="s">
        <v>513</v>
      </c>
      <c r="G1045" s="62">
        <v>5.34</v>
      </c>
      <c r="M1045" s="63"/>
    </row>
    <row r="1046" spans="1:13">
      <c r="A1046" s="60"/>
      <c r="D1046" s="61" t="s">
        <v>514</v>
      </c>
      <c r="E1046" s="61" t="s">
        <v>515</v>
      </c>
      <c r="G1046" s="62">
        <v>5.21</v>
      </c>
      <c r="M1046" s="63"/>
    </row>
    <row r="1047" spans="1:13">
      <c r="A1047" s="60"/>
      <c r="D1047" s="61" t="s">
        <v>540</v>
      </c>
      <c r="E1047" s="61" t="s">
        <v>541</v>
      </c>
      <c r="G1047" s="62">
        <v>19.22</v>
      </c>
      <c r="M1047" s="63"/>
    </row>
    <row r="1048" spans="1:13">
      <c r="A1048" s="60"/>
      <c r="D1048" s="61" t="s">
        <v>542</v>
      </c>
      <c r="E1048" s="61" t="s">
        <v>543</v>
      </c>
      <c r="G1048" s="62">
        <v>20.36</v>
      </c>
      <c r="M1048" s="63"/>
    </row>
    <row r="1049" spans="1:13">
      <c r="A1049" s="60"/>
      <c r="D1049" s="61" t="s">
        <v>516</v>
      </c>
      <c r="E1049" s="61" t="s">
        <v>517</v>
      </c>
      <c r="G1049" s="62">
        <v>5.63</v>
      </c>
      <c r="M1049" s="63"/>
    </row>
    <row r="1050" spans="1:13">
      <c r="A1050" s="60"/>
      <c r="D1050" s="61" t="s">
        <v>544</v>
      </c>
      <c r="E1050" s="61" t="s">
        <v>545</v>
      </c>
      <c r="G1050" s="62">
        <v>7.3</v>
      </c>
      <c r="M1050" s="63"/>
    </row>
    <row r="1051" spans="1:13">
      <c r="A1051" s="60"/>
      <c r="D1051" s="61" t="s">
        <v>518</v>
      </c>
      <c r="E1051" s="61" t="s">
        <v>519</v>
      </c>
      <c r="G1051" s="62">
        <v>16.84</v>
      </c>
      <c r="M1051" s="63"/>
    </row>
    <row r="1052" spans="1:13">
      <c r="A1052" s="60"/>
      <c r="D1052" s="61" t="s">
        <v>546</v>
      </c>
      <c r="E1052" s="61" t="s">
        <v>547</v>
      </c>
      <c r="G1052" s="62">
        <v>29.33</v>
      </c>
      <c r="M1052" s="63"/>
    </row>
    <row r="1053" spans="1:13">
      <c r="A1053" s="60"/>
      <c r="D1053" s="61" t="s">
        <v>849</v>
      </c>
      <c r="E1053" s="61" t="s">
        <v>308</v>
      </c>
      <c r="G1053" s="62">
        <v>5.51</v>
      </c>
      <c r="M1053" s="63"/>
    </row>
    <row r="1054" spans="1:13">
      <c r="A1054" s="60"/>
      <c r="D1054" s="61" t="s">
        <v>548</v>
      </c>
      <c r="E1054" s="61" t="s">
        <v>310</v>
      </c>
      <c r="G1054" s="62">
        <v>154.38</v>
      </c>
      <c r="M1054" s="63"/>
    </row>
    <row r="1055" spans="1:13">
      <c r="A1055" s="60"/>
      <c r="D1055" s="61" t="s">
        <v>520</v>
      </c>
      <c r="E1055" s="61" t="s">
        <v>521</v>
      </c>
      <c r="G1055" s="62">
        <v>9.5500000000000007</v>
      </c>
      <c r="M1055" s="63"/>
    </row>
    <row r="1056" spans="1:13">
      <c r="A1056" s="60"/>
      <c r="D1056" s="61" t="s">
        <v>522</v>
      </c>
      <c r="E1056" s="61" t="s">
        <v>314</v>
      </c>
      <c r="G1056" s="62">
        <v>8.5</v>
      </c>
      <c r="M1056" s="63"/>
    </row>
    <row r="1057" spans="1:76">
      <c r="A1057" s="60"/>
      <c r="D1057" s="61" t="s">
        <v>850</v>
      </c>
      <c r="E1057" s="61" t="s">
        <v>851</v>
      </c>
      <c r="G1057" s="62">
        <v>10.4</v>
      </c>
      <c r="M1057" s="63"/>
    </row>
    <row r="1058" spans="1:76">
      <c r="A1058" s="60"/>
      <c r="D1058" s="61" t="s">
        <v>523</v>
      </c>
      <c r="E1058" s="61" t="s">
        <v>318</v>
      </c>
      <c r="G1058" s="62">
        <v>1.86</v>
      </c>
      <c r="M1058" s="63"/>
    </row>
    <row r="1059" spans="1:76">
      <c r="A1059" s="60"/>
      <c r="D1059" s="61" t="s">
        <v>524</v>
      </c>
      <c r="E1059" s="61" t="s">
        <v>525</v>
      </c>
      <c r="G1059" s="62">
        <v>6.51</v>
      </c>
      <c r="M1059" s="63"/>
    </row>
    <row r="1060" spans="1:76">
      <c r="A1060" s="60"/>
      <c r="D1060" s="61" t="s">
        <v>549</v>
      </c>
      <c r="E1060" s="61" t="s">
        <v>550</v>
      </c>
      <c r="G1060" s="62">
        <v>36.67</v>
      </c>
      <c r="M1060" s="63"/>
    </row>
    <row r="1061" spans="1:76">
      <c r="A1061" s="60"/>
      <c r="D1061" s="61" t="s">
        <v>526</v>
      </c>
      <c r="E1061" s="61" t="s">
        <v>324</v>
      </c>
      <c r="G1061" s="62">
        <v>4.93</v>
      </c>
      <c r="M1061" s="63"/>
    </row>
    <row r="1062" spans="1:76">
      <c r="A1062" s="60"/>
      <c r="D1062" s="61" t="s">
        <v>527</v>
      </c>
      <c r="E1062" s="61" t="s">
        <v>528</v>
      </c>
      <c r="G1062" s="62">
        <v>4.87</v>
      </c>
      <c r="M1062" s="63"/>
    </row>
    <row r="1063" spans="1:76">
      <c r="A1063" s="60"/>
      <c r="D1063" s="61" t="s">
        <v>551</v>
      </c>
      <c r="E1063" s="61" t="s">
        <v>552</v>
      </c>
      <c r="G1063" s="62">
        <v>25.08</v>
      </c>
      <c r="M1063" s="63"/>
    </row>
    <row r="1064" spans="1:76">
      <c r="A1064" s="60"/>
      <c r="D1064" s="61" t="s">
        <v>553</v>
      </c>
      <c r="E1064" s="61" t="s">
        <v>554</v>
      </c>
      <c r="G1064" s="62">
        <v>18.89</v>
      </c>
      <c r="M1064" s="63"/>
    </row>
    <row r="1065" spans="1:76" ht="51">
      <c r="A1065" s="60"/>
      <c r="C1065" s="64" t="s">
        <v>127</v>
      </c>
      <c r="D1065" s="618" t="s">
        <v>1076</v>
      </c>
      <c r="E1065" s="619"/>
      <c r="F1065" s="619"/>
      <c r="G1065" s="619"/>
      <c r="H1065" s="620"/>
      <c r="I1065" s="619"/>
      <c r="J1065" s="619"/>
      <c r="K1065" s="619"/>
      <c r="L1065" s="619"/>
      <c r="M1065" s="621"/>
      <c r="BX1065" s="65" t="s">
        <v>1076</v>
      </c>
    </row>
    <row r="1066" spans="1:76">
      <c r="A1066" s="50" t="s">
        <v>4</v>
      </c>
      <c r="B1066" s="51" t="s">
        <v>4</v>
      </c>
      <c r="C1066" s="51" t="s">
        <v>1077</v>
      </c>
      <c r="D1066" s="625" t="s">
        <v>1078</v>
      </c>
      <c r="E1066" s="626"/>
      <c r="F1066" s="52" t="s">
        <v>79</v>
      </c>
      <c r="G1066" s="52" t="s">
        <v>79</v>
      </c>
      <c r="H1066" s="53" t="s">
        <v>79</v>
      </c>
      <c r="I1066" s="26">
        <f>SUM(I1067:I1067)</f>
        <v>0</v>
      </c>
      <c r="J1066" s="33" t="s">
        <v>4</v>
      </c>
      <c r="K1066" s="33" t="s">
        <v>4</v>
      </c>
      <c r="L1066" s="26">
        <f>SUM(L1067:L1067)</f>
        <v>0</v>
      </c>
      <c r="M1066" s="54" t="s">
        <v>4</v>
      </c>
      <c r="AI1066" s="33" t="s">
        <v>4</v>
      </c>
      <c r="AS1066" s="26">
        <f>SUM(AJ1067:AJ1067)</f>
        <v>0</v>
      </c>
      <c r="AT1066" s="26">
        <f>SUM(AK1067:AK1067)</f>
        <v>0</v>
      </c>
      <c r="AU1066" s="26">
        <f>SUM(AL1067:AL1067)</f>
        <v>0</v>
      </c>
    </row>
    <row r="1067" spans="1:76">
      <c r="A1067" s="1" t="s">
        <v>1079</v>
      </c>
      <c r="B1067" s="2" t="s">
        <v>4</v>
      </c>
      <c r="C1067" s="2" t="s">
        <v>1080</v>
      </c>
      <c r="D1067" s="549" t="s">
        <v>1081</v>
      </c>
      <c r="E1067" s="546"/>
      <c r="F1067" s="2" t="s">
        <v>132</v>
      </c>
      <c r="G1067" s="55">
        <v>169.59369000000001</v>
      </c>
      <c r="H1067" s="56">
        <v>0</v>
      </c>
      <c r="I1067" s="55">
        <f>G1067*H1067</f>
        <v>0</v>
      </c>
      <c r="J1067" s="55">
        <v>0</v>
      </c>
      <c r="K1067" s="55">
        <v>0</v>
      </c>
      <c r="L1067" s="55">
        <f>G1067*K1067</f>
        <v>0</v>
      </c>
      <c r="M1067" s="57" t="s">
        <v>122</v>
      </c>
      <c r="Z1067" s="55">
        <f>IF(AQ1067="5",BJ1067,0)</f>
        <v>0</v>
      </c>
      <c r="AB1067" s="55">
        <f>IF(AQ1067="1",BH1067,0)</f>
        <v>0</v>
      </c>
      <c r="AC1067" s="55">
        <f>IF(AQ1067="1",BI1067,0)</f>
        <v>0</v>
      </c>
      <c r="AD1067" s="55">
        <f>IF(AQ1067="7",BH1067,0)</f>
        <v>0</v>
      </c>
      <c r="AE1067" s="55">
        <f>IF(AQ1067="7",BI1067,0)</f>
        <v>0</v>
      </c>
      <c r="AF1067" s="55">
        <f>IF(AQ1067="2",BH1067,0)</f>
        <v>0</v>
      </c>
      <c r="AG1067" s="55">
        <f>IF(AQ1067="2",BI1067,0)</f>
        <v>0</v>
      </c>
      <c r="AH1067" s="55">
        <f>IF(AQ1067="0",BJ1067,0)</f>
        <v>0</v>
      </c>
      <c r="AI1067" s="33" t="s">
        <v>4</v>
      </c>
      <c r="AJ1067" s="55">
        <f>IF(AN1067=0,I1067,0)</f>
        <v>0</v>
      </c>
      <c r="AK1067" s="55">
        <f>IF(AN1067=12,I1067,0)</f>
        <v>0</v>
      </c>
      <c r="AL1067" s="55">
        <f>IF(AN1067=21,I1067,0)</f>
        <v>0</v>
      </c>
      <c r="AN1067" s="55">
        <v>21</v>
      </c>
      <c r="AO1067" s="55">
        <f>H1067*0</f>
        <v>0</v>
      </c>
      <c r="AP1067" s="55">
        <f>H1067*(1-0)</f>
        <v>0</v>
      </c>
      <c r="AQ1067" s="58" t="s">
        <v>139</v>
      </c>
      <c r="AV1067" s="55">
        <f>AW1067+AX1067</f>
        <v>0</v>
      </c>
      <c r="AW1067" s="55">
        <f>G1067*AO1067</f>
        <v>0</v>
      </c>
      <c r="AX1067" s="55">
        <f>G1067*AP1067</f>
        <v>0</v>
      </c>
      <c r="AY1067" s="58" t="s">
        <v>1082</v>
      </c>
      <c r="AZ1067" s="58" t="s">
        <v>1070</v>
      </c>
      <c r="BA1067" s="33" t="s">
        <v>125</v>
      </c>
      <c r="BB1067" s="59">
        <v>100044</v>
      </c>
      <c r="BC1067" s="55">
        <f>AW1067+AX1067</f>
        <v>0</v>
      </c>
      <c r="BD1067" s="55">
        <f>H1067/(100-BE1067)*100</f>
        <v>0</v>
      </c>
      <c r="BE1067" s="55">
        <v>0</v>
      </c>
      <c r="BF1067" s="55">
        <f>L1067</f>
        <v>0</v>
      </c>
      <c r="BH1067" s="55">
        <f>G1067*AO1067</f>
        <v>0</v>
      </c>
      <c r="BI1067" s="55">
        <f>G1067*AP1067</f>
        <v>0</v>
      </c>
      <c r="BJ1067" s="55">
        <f>G1067*H1067</f>
        <v>0</v>
      </c>
      <c r="BK1067" s="55"/>
      <c r="BL1067" s="55"/>
      <c r="BW1067" s="55">
        <v>21</v>
      </c>
      <c r="BX1067" s="3" t="s">
        <v>1081</v>
      </c>
    </row>
    <row r="1068" spans="1:76">
      <c r="A1068" s="50" t="s">
        <v>4</v>
      </c>
      <c r="B1068" s="51" t="s">
        <v>4</v>
      </c>
      <c r="C1068" s="51" t="s">
        <v>1083</v>
      </c>
      <c r="D1068" s="625" t="s">
        <v>1084</v>
      </c>
      <c r="E1068" s="626"/>
      <c r="F1068" s="52" t="s">
        <v>79</v>
      </c>
      <c r="G1068" s="52" t="s">
        <v>79</v>
      </c>
      <c r="H1068" s="53" t="s">
        <v>79</v>
      </c>
      <c r="I1068" s="26">
        <f>SUM(I1069:I1079)</f>
        <v>0</v>
      </c>
      <c r="J1068" s="33" t="s">
        <v>4</v>
      </c>
      <c r="K1068" s="33" t="s">
        <v>4</v>
      </c>
      <c r="L1068" s="26">
        <f>SUM(L1069:L1079)</f>
        <v>0</v>
      </c>
      <c r="M1068" s="54" t="s">
        <v>4</v>
      </c>
      <c r="AI1068" s="33" t="s">
        <v>4</v>
      </c>
      <c r="AS1068" s="26">
        <f>SUM(AJ1069:AJ1079)</f>
        <v>0</v>
      </c>
      <c r="AT1068" s="26">
        <f>SUM(AK1069:AK1079)</f>
        <v>0</v>
      </c>
      <c r="AU1068" s="26">
        <f>SUM(AL1069:AL1079)</f>
        <v>0</v>
      </c>
    </row>
    <row r="1069" spans="1:76">
      <c r="A1069" s="1" t="s">
        <v>1085</v>
      </c>
      <c r="B1069" s="2" t="s">
        <v>4</v>
      </c>
      <c r="C1069" s="2" t="s">
        <v>1086</v>
      </c>
      <c r="D1069" s="549" t="s">
        <v>1087</v>
      </c>
      <c r="E1069" s="546"/>
      <c r="F1069" s="2" t="s">
        <v>835</v>
      </c>
      <c r="G1069" s="55">
        <v>1</v>
      </c>
      <c r="H1069" s="56">
        <f>SUM(Silnoproud!J95:K95)</f>
        <v>0</v>
      </c>
      <c r="I1069" s="55">
        <f>G1069*H1069</f>
        <v>0</v>
      </c>
      <c r="J1069" s="55">
        <v>0</v>
      </c>
      <c r="K1069" s="55">
        <v>0</v>
      </c>
      <c r="L1069" s="55">
        <f>G1069*K1069</f>
        <v>0</v>
      </c>
      <c r="M1069" s="57" t="s">
        <v>1088</v>
      </c>
      <c r="Z1069" s="55">
        <f>IF(AQ1069="5",BJ1069,0)</f>
        <v>0</v>
      </c>
      <c r="AB1069" s="55">
        <f>IF(AQ1069="1",BH1069,0)</f>
        <v>0</v>
      </c>
      <c r="AC1069" s="55">
        <f>IF(AQ1069="1",BI1069,0)</f>
        <v>0</v>
      </c>
      <c r="AD1069" s="55">
        <f>IF(AQ1069="7",BH1069,0)</f>
        <v>0</v>
      </c>
      <c r="AE1069" s="55">
        <f>IF(AQ1069="7",BI1069,0)</f>
        <v>0</v>
      </c>
      <c r="AF1069" s="55">
        <f>IF(AQ1069="2",BH1069,0)</f>
        <v>0</v>
      </c>
      <c r="AG1069" s="55">
        <f>IF(AQ1069="2",BI1069,0)</f>
        <v>0</v>
      </c>
      <c r="AH1069" s="55">
        <f>IF(AQ1069="0",BJ1069,0)</f>
        <v>0</v>
      </c>
      <c r="AI1069" s="33" t="s">
        <v>4</v>
      </c>
      <c r="AJ1069" s="55">
        <f>IF(AN1069=0,I1069,0)</f>
        <v>0</v>
      </c>
      <c r="AK1069" s="55">
        <f>IF(AN1069=12,I1069,0)</f>
        <v>0</v>
      </c>
      <c r="AL1069" s="55">
        <f>IF(AN1069=21,I1069,0)</f>
        <v>0</v>
      </c>
      <c r="AN1069" s="55">
        <v>21</v>
      </c>
      <c r="AO1069" s="55">
        <f>H1069*0</f>
        <v>0</v>
      </c>
      <c r="AP1069" s="55">
        <f>H1069*(1-0)</f>
        <v>0</v>
      </c>
      <c r="AQ1069" s="58" t="s">
        <v>129</v>
      </c>
      <c r="AV1069" s="55">
        <f>AW1069+AX1069</f>
        <v>0</v>
      </c>
      <c r="AW1069" s="55">
        <f>G1069*AO1069</f>
        <v>0</v>
      </c>
      <c r="AX1069" s="55">
        <f>G1069*AP1069</f>
        <v>0</v>
      </c>
      <c r="AY1069" s="58" t="s">
        <v>1089</v>
      </c>
      <c r="AZ1069" s="58" t="s">
        <v>1070</v>
      </c>
      <c r="BA1069" s="33" t="s">
        <v>125</v>
      </c>
      <c r="BB1069" s="59">
        <v>100056</v>
      </c>
      <c r="BC1069" s="55">
        <f>AW1069+AX1069</f>
        <v>0</v>
      </c>
      <c r="BD1069" s="55">
        <f>H1069/(100-BE1069)*100</f>
        <v>0</v>
      </c>
      <c r="BE1069" s="55">
        <v>0</v>
      </c>
      <c r="BF1069" s="55">
        <f>L1069</f>
        <v>0</v>
      </c>
      <c r="BH1069" s="55">
        <f>G1069*AO1069</f>
        <v>0</v>
      </c>
      <c r="BI1069" s="55">
        <f>G1069*AP1069</f>
        <v>0</v>
      </c>
      <c r="BJ1069" s="55">
        <f>G1069*H1069</f>
        <v>0</v>
      </c>
      <c r="BK1069" s="55"/>
      <c r="BL1069" s="55"/>
      <c r="BW1069" s="55">
        <v>21</v>
      </c>
      <c r="BX1069" s="3" t="s">
        <v>1087</v>
      </c>
    </row>
    <row r="1070" spans="1:76">
      <c r="A1070" s="60"/>
      <c r="D1070" s="61" t="s">
        <v>118</v>
      </c>
      <c r="E1070" s="61" t="s">
        <v>4</v>
      </c>
      <c r="G1070" s="62">
        <v>1</v>
      </c>
      <c r="M1070" s="63"/>
    </row>
    <row r="1071" spans="1:76">
      <c r="A1071" s="1" t="s">
        <v>1090</v>
      </c>
      <c r="B1071" s="2" t="s">
        <v>4</v>
      </c>
      <c r="C1071" s="2" t="s">
        <v>1091</v>
      </c>
      <c r="D1071" s="549" t="s">
        <v>1092</v>
      </c>
      <c r="E1071" s="546"/>
      <c r="F1071" s="2" t="s">
        <v>835</v>
      </c>
      <c r="G1071" s="55">
        <v>1</v>
      </c>
      <c r="H1071" s="56">
        <f>SUM(SLA!G47)</f>
        <v>0</v>
      </c>
      <c r="I1071" s="55">
        <f>G1071*H1071</f>
        <v>0</v>
      </c>
      <c r="J1071" s="55">
        <v>0</v>
      </c>
      <c r="K1071" s="55">
        <v>0</v>
      </c>
      <c r="L1071" s="55">
        <f>G1071*K1071</f>
        <v>0</v>
      </c>
      <c r="M1071" s="57" t="s">
        <v>1093</v>
      </c>
      <c r="Z1071" s="55">
        <f>IF(AQ1071="5",BJ1071,0)</f>
        <v>0</v>
      </c>
      <c r="AB1071" s="55">
        <f>IF(AQ1071="1",BH1071,0)</f>
        <v>0</v>
      </c>
      <c r="AC1071" s="55">
        <f>IF(AQ1071="1",BI1071,0)</f>
        <v>0</v>
      </c>
      <c r="AD1071" s="55">
        <f>IF(AQ1071="7",BH1071,0)</f>
        <v>0</v>
      </c>
      <c r="AE1071" s="55">
        <f>IF(AQ1071="7",BI1071,0)</f>
        <v>0</v>
      </c>
      <c r="AF1071" s="55">
        <f>IF(AQ1071="2",BH1071,0)</f>
        <v>0</v>
      </c>
      <c r="AG1071" s="55">
        <f>IF(AQ1071="2",BI1071,0)</f>
        <v>0</v>
      </c>
      <c r="AH1071" s="55">
        <f>IF(AQ1071="0",BJ1071,0)</f>
        <v>0</v>
      </c>
      <c r="AI1071" s="33" t="s">
        <v>4</v>
      </c>
      <c r="AJ1071" s="55">
        <f>IF(AN1071=0,I1071,0)</f>
        <v>0</v>
      </c>
      <c r="AK1071" s="55">
        <f>IF(AN1071=12,I1071,0)</f>
        <v>0</v>
      </c>
      <c r="AL1071" s="55">
        <f>IF(AN1071=21,I1071,0)</f>
        <v>0</v>
      </c>
      <c r="AN1071" s="55">
        <v>21</v>
      </c>
      <c r="AO1071" s="55">
        <f>H1071*0</f>
        <v>0</v>
      </c>
      <c r="AP1071" s="55">
        <f>H1071*(1-0)</f>
        <v>0</v>
      </c>
      <c r="AQ1071" s="58" t="s">
        <v>129</v>
      </c>
      <c r="AV1071" s="55">
        <f>AW1071+AX1071</f>
        <v>0</v>
      </c>
      <c r="AW1071" s="55">
        <f>G1071*AO1071</f>
        <v>0</v>
      </c>
      <c r="AX1071" s="55">
        <f>G1071*AP1071</f>
        <v>0</v>
      </c>
      <c r="AY1071" s="58" t="s">
        <v>1089</v>
      </c>
      <c r="AZ1071" s="58" t="s">
        <v>1070</v>
      </c>
      <c r="BA1071" s="33" t="s">
        <v>125</v>
      </c>
      <c r="BB1071" s="59">
        <v>100056</v>
      </c>
      <c r="BC1071" s="55">
        <f>AW1071+AX1071</f>
        <v>0</v>
      </c>
      <c r="BD1071" s="55">
        <f>H1071/(100-BE1071)*100</f>
        <v>0</v>
      </c>
      <c r="BE1071" s="55">
        <v>0</v>
      </c>
      <c r="BF1071" s="55">
        <f>L1071</f>
        <v>0</v>
      </c>
      <c r="BH1071" s="55">
        <f>G1071*AO1071</f>
        <v>0</v>
      </c>
      <c r="BI1071" s="55">
        <f>G1071*AP1071</f>
        <v>0</v>
      </c>
      <c r="BJ1071" s="55">
        <f>G1071*H1071</f>
        <v>0</v>
      </c>
      <c r="BK1071" s="55"/>
      <c r="BL1071" s="55"/>
      <c r="BW1071" s="55">
        <v>21</v>
      </c>
      <c r="BX1071" s="3" t="s">
        <v>1092</v>
      </c>
    </row>
    <row r="1072" spans="1:76">
      <c r="A1072" s="60"/>
      <c r="D1072" s="61" t="s">
        <v>118</v>
      </c>
      <c r="E1072" s="61" t="s">
        <v>4</v>
      </c>
      <c r="G1072" s="62">
        <v>1</v>
      </c>
      <c r="M1072" s="63"/>
    </row>
    <row r="1073" spans="1:76">
      <c r="A1073" s="1" t="s">
        <v>1094</v>
      </c>
      <c r="B1073" s="2" t="s">
        <v>4</v>
      </c>
      <c r="C1073" s="2" t="s">
        <v>1095</v>
      </c>
      <c r="D1073" s="549" t="s">
        <v>1096</v>
      </c>
      <c r="E1073" s="546"/>
      <c r="F1073" s="2" t="s">
        <v>835</v>
      </c>
      <c r="G1073" s="55">
        <v>1</v>
      </c>
      <c r="H1073" s="56">
        <f>SUM(eps!G46)</f>
        <v>0</v>
      </c>
      <c r="I1073" s="55">
        <f>G1073*H1073</f>
        <v>0</v>
      </c>
      <c r="J1073" s="55">
        <v>0</v>
      </c>
      <c r="K1073" s="55">
        <v>0</v>
      </c>
      <c r="L1073" s="55">
        <f>G1073*K1073</f>
        <v>0</v>
      </c>
      <c r="M1073" s="57" t="s">
        <v>1093</v>
      </c>
      <c r="Z1073" s="55">
        <f>IF(AQ1073="5",BJ1073,0)</f>
        <v>0</v>
      </c>
      <c r="AB1073" s="55">
        <f>IF(AQ1073="1",BH1073,0)</f>
        <v>0</v>
      </c>
      <c r="AC1073" s="55">
        <f>IF(AQ1073="1",BI1073,0)</f>
        <v>0</v>
      </c>
      <c r="AD1073" s="55">
        <f>IF(AQ1073="7",BH1073,0)</f>
        <v>0</v>
      </c>
      <c r="AE1073" s="55">
        <f>IF(AQ1073="7",BI1073,0)</f>
        <v>0</v>
      </c>
      <c r="AF1073" s="55">
        <f>IF(AQ1073="2",BH1073,0)</f>
        <v>0</v>
      </c>
      <c r="AG1073" s="55">
        <f>IF(AQ1073="2",BI1073,0)</f>
        <v>0</v>
      </c>
      <c r="AH1073" s="55">
        <f>IF(AQ1073="0",BJ1073,0)</f>
        <v>0</v>
      </c>
      <c r="AI1073" s="33" t="s">
        <v>4</v>
      </c>
      <c r="AJ1073" s="55">
        <f>IF(AN1073=0,I1073,0)</f>
        <v>0</v>
      </c>
      <c r="AK1073" s="55">
        <f>IF(AN1073=12,I1073,0)</f>
        <v>0</v>
      </c>
      <c r="AL1073" s="55">
        <f>IF(AN1073=21,I1073,0)</f>
        <v>0</v>
      </c>
      <c r="AN1073" s="55">
        <v>21</v>
      </c>
      <c r="AO1073" s="55">
        <f>H1073*0</f>
        <v>0</v>
      </c>
      <c r="AP1073" s="55">
        <f>H1073*(1-0)</f>
        <v>0</v>
      </c>
      <c r="AQ1073" s="58" t="s">
        <v>129</v>
      </c>
      <c r="AV1073" s="55">
        <f>AW1073+AX1073</f>
        <v>0</v>
      </c>
      <c r="AW1073" s="55">
        <f>G1073*AO1073</f>
        <v>0</v>
      </c>
      <c r="AX1073" s="55">
        <f>G1073*AP1073</f>
        <v>0</v>
      </c>
      <c r="AY1073" s="58" t="s">
        <v>1089</v>
      </c>
      <c r="AZ1073" s="58" t="s">
        <v>1070</v>
      </c>
      <c r="BA1073" s="33" t="s">
        <v>125</v>
      </c>
      <c r="BB1073" s="59">
        <v>100056</v>
      </c>
      <c r="BC1073" s="55">
        <f>AW1073+AX1073</f>
        <v>0</v>
      </c>
      <c r="BD1073" s="55">
        <f>H1073/(100-BE1073)*100</f>
        <v>0</v>
      </c>
      <c r="BE1073" s="55">
        <v>0</v>
      </c>
      <c r="BF1073" s="55">
        <f>L1073</f>
        <v>0</v>
      </c>
      <c r="BH1073" s="55">
        <f>G1073*AO1073</f>
        <v>0</v>
      </c>
      <c r="BI1073" s="55">
        <f>G1073*AP1073</f>
        <v>0</v>
      </c>
      <c r="BJ1073" s="55">
        <f>G1073*H1073</f>
        <v>0</v>
      </c>
      <c r="BK1073" s="55"/>
      <c r="BL1073" s="55"/>
      <c r="BW1073" s="55">
        <v>21</v>
      </c>
      <c r="BX1073" s="3" t="s">
        <v>1096</v>
      </c>
    </row>
    <row r="1074" spans="1:76">
      <c r="A1074" s="60"/>
      <c r="D1074" s="61" t="s">
        <v>118</v>
      </c>
      <c r="E1074" s="61" t="s">
        <v>4</v>
      </c>
      <c r="G1074" s="62">
        <v>1</v>
      </c>
      <c r="M1074" s="63"/>
    </row>
    <row r="1075" spans="1:76">
      <c r="A1075" s="1" t="s">
        <v>1097</v>
      </c>
      <c r="B1075" s="2" t="s">
        <v>4</v>
      </c>
      <c r="C1075" s="2" t="s">
        <v>1098</v>
      </c>
      <c r="D1075" s="549" t="s">
        <v>1099</v>
      </c>
      <c r="E1075" s="546"/>
      <c r="F1075" s="2" t="s">
        <v>835</v>
      </c>
      <c r="G1075" s="55">
        <v>1</v>
      </c>
      <c r="H1075" s="56">
        <f>SUM(VZT!F77:G77)</f>
        <v>0</v>
      </c>
      <c r="I1075" s="55">
        <f>G1075*H1075</f>
        <v>0</v>
      </c>
      <c r="J1075" s="55">
        <v>0</v>
      </c>
      <c r="K1075" s="55">
        <v>0</v>
      </c>
      <c r="L1075" s="55">
        <f>G1075*K1075</f>
        <v>0</v>
      </c>
      <c r="M1075" s="57" t="s">
        <v>1093</v>
      </c>
      <c r="Z1075" s="55">
        <f>IF(AQ1075="5",BJ1075,0)</f>
        <v>0</v>
      </c>
      <c r="AB1075" s="55">
        <f>IF(AQ1075="1",BH1075,0)</f>
        <v>0</v>
      </c>
      <c r="AC1075" s="55">
        <f>IF(AQ1075="1",BI1075,0)</f>
        <v>0</v>
      </c>
      <c r="AD1075" s="55">
        <f>IF(AQ1075="7",BH1075,0)</f>
        <v>0</v>
      </c>
      <c r="AE1075" s="55">
        <f>IF(AQ1075="7",BI1075,0)</f>
        <v>0</v>
      </c>
      <c r="AF1075" s="55">
        <f>IF(AQ1075="2",BH1075,0)</f>
        <v>0</v>
      </c>
      <c r="AG1075" s="55">
        <f>IF(AQ1075="2",BI1075,0)</f>
        <v>0</v>
      </c>
      <c r="AH1075" s="55">
        <f>IF(AQ1075="0",BJ1075,0)</f>
        <v>0</v>
      </c>
      <c r="AI1075" s="33" t="s">
        <v>4</v>
      </c>
      <c r="AJ1075" s="55">
        <f>IF(AN1075=0,I1075,0)</f>
        <v>0</v>
      </c>
      <c r="AK1075" s="55">
        <f>IF(AN1075=12,I1075,0)</f>
        <v>0</v>
      </c>
      <c r="AL1075" s="55">
        <f>IF(AN1075=21,I1075,0)</f>
        <v>0</v>
      </c>
      <c r="AN1075" s="55">
        <v>21</v>
      </c>
      <c r="AO1075" s="55">
        <f>H1075*0</f>
        <v>0</v>
      </c>
      <c r="AP1075" s="55">
        <f>H1075*(1-0)</f>
        <v>0</v>
      </c>
      <c r="AQ1075" s="58" t="s">
        <v>129</v>
      </c>
      <c r="AV1075" s="55">
        <f>AW1075+AX1075</f>
        <v>0</v>
      </c>
      <c r="AW1075" s="55">
        <f>G1075*AO1075</f>
        <v>0</v>
      </c>
      <c r="AX1075" s="55">
        <f>G1075*AP1075</f>
        <v>0</v>
      </c>
      <c r="AY1075" s="58" t="s">
        <v>1089</v>
      </c>
      <c r="AZ1075" s="58" t="s">
        <v>1070</v>
      </c>
      <c r="BA1075" s="33" t="s">
        <v>125</v>
      </c>
      <c r="BB1075" s="59">
        <v>100056</v>
      </c>
      <c r="BC1075" s="55">
        <f>AW1075+AX1075</f>
        <v>0</v>
      </c>
      <c r="BD1075" s="55">
        <f>H1075/(100-BE1075)*100</f>
        <v>0</v>
      </c>
      <c r="BE1075" s="55">
        <v>0</v>
      </c>
      <c r="BF1075" s="55">
        <f>L1075</f>
        <v>0</v>
      </c>
      <c r="BH1075" s="55">
        <f>G1075*AO1075</f>
        <v>0</v>
      </c>
      <c r="BI1075" s="55">
        <f>G1075*AP1075</f>
        <v>0</v>
      </c>
      <c r="BJ1075" s="55">
        <f>G1075*H1075</f>
        <v>0</v>
      </c>
      <c r="BK1075" s="55"/>
      <c r="BL1075" s="55"/>
      <c r="BW1075" s="55">
        <v>21</v>
      </c>
      <c r="BX1075" s="3" t="s">
        <v>1099</v>
      </c>
    </row>
    <row r="1076" spans="1:76">
      <c r="A1076" s="60"/>
      <c r="D1076" s="61" t="s">
        <v>118</v>
      </c>
      <c r="E1076" s="61" t="s">
        <v>4</v>
      </c>
      <c r="G1076" s="62">
        <v>1</v>
      </c>
      <c r="M1076" s="63"/>
    </row>
    <row r="1077" spans="1:76">
      <c r="A1077" s="1" t="s">
        <v>1100</v>
      </c>
      <c r="B1077" s="2" t="s">
        <v>4</v>
      </c>
      <c r="C1077" s="2" t="s">
        <v>1101</v>
      </c>
      <c r="D1077" s="549" t="s">
        <v>1102</v>
      </c>
      <c r="E1077" s="546"/>
      <c r="F1077" s="2" t="s">
        <v>835</v>
      </c>
      <c r="G1077" s="55">
        <v>1</v>
      </c>
      <c r="H1077" s="56">
        <f>SUM(UT!D35:M35)</f>
        <v>0</v>
      </c>
      <c r="I1077" s="55">
        <f>G1077*H1077</f>
        <v>0</v>
      </c>
      <c r="J1077" s="55">
        <v>0</v>
      </c>
      <c r="K1077" s="55">
        <v>0</v>
      </c>
      <c r="L1077" s="55">
        <f>G1077*K1077</f>
        <v>0</v>
      </c>
      <c r="M1077" s="57" t="s">
        <v>1093</v>
      </c>
      <c r="Z1077" s="55">
        <f>IF(AQ1077="5",BJ1077,0)</f>
        <v>0</v>
      </c>
      <c r="AB1077" s="55">
        <f>IF(AQ1077="1",BH1077,0)</f>
        <v>0</v>
      </c>
      <c r="AC1077" s="55">
        <f>IF(AQ1077="1",BI1077,0)</f>
        <v>0</v>
      </c>
      <c r="AD1077" s="55">
        <f>IF(AQ1077="7",BH1077,0)</f>
        <v>0</v>
      </c>
      <c r="AE1077" s="55">
        <f>IF(AQ1077="7",BI1077,0)</f>
        <v>0</v>
      </c>
      <c r="AF1077" s="55">
        <f>IF(AQ1077="2",BH1077,0)</f>
        <v>0</v>
      </c>
      <c r="AG1077" s="55">
        <f>IF(AQ1077="2",BI1077,0)</f>
        <v>0</v>
      </c>
      <c r="AH1077" s="55">
        <f>IF(AQ1077="0",BJ1077,0)</f>
        <v>0</v>
      </c>
      <c r="AI1077" s="33" t="s">
        <v>4</v>
      </c>
      <c r="AJ1077" s="55">
        <f>IF(AN1077=0,I1077,0)</f>
        <v>0</v>
      </c>
      <c r="AK1077" s="55">
        <f>IF(AN1077=12,I1077,0)</f>
        <v>0</v>
      </c>
      <c r="AL1077" s="55">
        <f>IF(AN1077=21,I1077,0)</f>
        <v>0</v>
      </c>
      <c r="AN1077" s="55">
        <v>21</v>
      </c>
      <c r="AO1077" s="55">
        <f>H1077*0</f>
        <v>0</v>
      </c>
      <c r="AP1077" s="55">
        <f>H1077*(1-0)</f>
        <v>0</v>
      </c>
      <c r="AQ1077" s="58" t="s">
        <v>129</v>
      </c>
      <c r="AV1077" s="55">
        <f>AW1077+AX1077</f>
        <v>0</v>
      </c>
      <c r="AW1077" s="55">
        <f>G1077*AO1077</f>
        <v>0</v>
      </c>
      <c r="AX1077" s="55">
        <f>G1077*AP1077</f>
        <v>0</v>
      </c>
      <c r="AY1077" s="58" t="s">
        <v>1089</v>
      </c>
      <c r="AZ1077" s="58" t="s">
        <v>1070</v>
      </c>
      <c r="BA1077" s="33" t="s">
        <v>125</v>
      </c>
      <c r="BB1077" s="59">
        <v>100056</v>
      </c>
      <c r="BC1077" s="55">
        <f>AW1077+AX1077</f>
        <v>0</v>
      </c>
      <c r="BD1077" s="55">
        <f>H1077/(100-BE1077)*100</f>
        <v>0</v>
      </c>
      <c r="BE1077" s="55">
        <v>0</v>
      </c>
      <c r="BF1077" s="55">
        <f>L1077</f>
        <v>0</v>
      </c>
      <c r="BH1077" s="55">
        <f>G1077*AO1077</f>
        <v>0</v>
      </c>
      <c r="BI1077" s="55">
        <f>G1077*AP1077</f>
        <v>0</v>
      </c>
      <c r="BJ1077" s="55">
        <f>G1077*H1077</f>
        <v>0</v>
      </c>
      <c r="BK1077" s="55"/>
      <c r="BL1077" s="55"/>
      <c r="BW1077" s="55">
        <v>21</v>
      </c>
      <c r="BX1077" s="3" t="s">
        <v>1102</v>
      </c>
    </row>
    <row r="1078" spans="1:76">
      <c r="A1078" s="60"/>
      <c r="D1078" s="61" t="s">
        <v>118</v>
      </c>
      <c r="E1078" s="61" t="s">
        <v>4</v>
      </c>
      <c r="G1078" s="62">
        <v>1</v>
      </c>
      <c r="M1078" s="63"/>
    </row>
    <row r="1079" spans="1:76">
      <c r="A1079" s="1" t="s">
        <v>1103</v>
      </c>
      <c r="B1079" s="2" t="s">
        <v>4</v>
      </c>
      <c r="C1079" s="2" t="s">
        <v>1104</v>
      </c>
      <c r="D1079" s="549" t="s">
        <v>1105</v>
      </c>
      <c r="E1079" s="546"/>
      <c r="F1079" s="2" t="s">
        <v>835</v>
      </c>
      <c r="G1079" s="55">
        <v>1</v>
      </c>
      <c r="H1079" s="56">
        <f>SUM('ZTI rozpočet'!H69,'ZTI rozpočet'!H182,'ZTI rozpočet'!H252,'ZTI rozpočet'!H318)</f>
        <v>0</v>
      </c>
      <c r="I1079" s="55">
        <f>G1079*H1079</f>
        <v>0</v>
      </c>
      <c r="J1079" s="55">
        <v>0</v>
      </c>
      <c r="K1079" s="55">
        <v>0</v>
      </c>
      <c r="L1079" s="55">
        <f>G1079*K1079</f>
        <v>0</v>
      </c>
      <c r="M1079" s="57" t="s">
        <v>1093</v>
      </c>
      <c r="Z1079" s="55">
        <f>IF(AQ1079="5",BJ1079,0)</f>
        <v>0</v>
      </c>
      <c r="AB1079" s="55">
        <f>IF(AQ1079="1",BH1079,0)</f>
        <v>0</v>
      </c>
      <c r="AC1079" s="55">
        <f>IF(AQ1079="1",BI1079,0)</f>
        <v>0</v>
      </c>
      <c r="AD1079" s="55">
        <f>IF(AQ1079="7",BH1079,0)</f>
        <v>0</v>
      </c>
      <c r="AE1079" s="55">
        <f>IF(AQ1079="7",BI1079,0)</f>
        <v>0</v>
      </c>
      <c r="AF1079" s="55">
        <f>IF(AQ1079="2",BH1079,0)</f>
        <v>0</v>
      </c>
      <c r="AG1079" s="55">
        <f>IF(AQ1079="2",BI1079,0)</f>
        <v>0</v>
      </c>
      <c r="AH1079" s="55">
        <f>IF(AQ1079="0",BJ1079,0)</f>
        <v>0</v>
      </c>
      <c r="AI1079" s="33" t="s">
        <v>4</v>
      </c>
      <c r="AJ1079" s="55">
        <f>IF(AN1079=0,I1079,0)</f>
        <v>0</v>
      </c>
      <c r="AK1079" s="55">
        <f>IF(AN1079=12,I1079,0)</f>
        <v>0</v>
      </c>
      <c r="AL1079" s="55">
        <f>IF(AN1079=21,I1079,0)</f>
        <v>0</v>
      </c>
      <c r="AN1079" s="55">
        <v>21</v>
      </c>
      <c r="AO1079" s="55">
        <f>H1079*0</f>
        <v>0</v>
      </c>
      <c r="AP1079" s="55">
        <f>H1079*(1-0)</f>
        <v>0</v>
      </c>
      <c r="AQ1079" s="58" t="s">
        <v>129</v>
      </c>
      <c r="AV1079" s="55">
        <f>AW1079+AX1079</f>
        <v>0</v>
      </c>
      <c r="AW1079" s="55">
        <f>G1079*AO1079</f>
        <v>0</v>
      </c>
      <c r="AX1079" s="55">
        <f>G1079*AP1079</f>
        <v>0</v>
      </c>
      <c r="AY1079" s="58" t="s">
        <v>1089</v>
      </c>
      <c r="AZ1079" s="58" t="s">
        <v>1070</v>
      </c>
      <c r="BA1079" s="33" t="s">
        <v>125</v>
      </c>
      <c r="BB1079" s="59">
        <v>100056</v>
      </c>
      <c r="BC1079" s="55">
        <f>AW1079+AX1079</f>
        <v>0</v>
      </c>
      <c r="BD1079" s="55">
        <f>H1079/(100-BE1079)*100</f>
        <v>0</v>
      </c>
      <c r="BE1079" s="55">
        <v>0</v>
      </c>
      <c r="BF1079" s="55">
        <f>L1079</f>
        <v>0</v>
      </c>
      <c r="BH1079" s="55">
        <f>G1079*AO1079</f>
        <v>0</v>
      </c>
      <c r="BI1079" s="55">
        <f>G1079*AP1079</f>
        <v>0</v>
      </c>
      <c r="BJ1079" s="55">
        <f>G1079*H1079</f>
        <v>0</v>
      </c>
      <c r="BK1079" s="55"/>
      <c r="BL1079" s="55"/>
      <c r="BW1079" s="55">
        <v>21</v>
      </c>
      <c r="BX1079" s="3" t="s">
        <v>1105</v>
      </c>
    </row>
    <row r="1080" spans="1:76">
      <c r="A1080" s="60"/>
      <c r="D1080" s="61" t="s">
        <v>118</v>
      </c>
      <c r="E1080" s="61" t="s">
        <v>4</v>
      </c>
      <c r="G1080" s="62">
        <v>1</v>
      </c>
      <c r="M1080" s="63"/>
    </row>
    <row r="1081" spans="1:76">
      <c r="A1081" s="50" t="s">
        <v>4</v>
      </c>
      <c r="B1081" s="51" t="s">
        <v>4</v>
      </c>
      <c r="C1081" s="51" t="s">
        <v>1106</v>
      </c>
      <c r="D1081" s="625" t="s">
        <v>57</v>
      </c>
      <c r="E1081" s="626"/>
      <c r="F1081" s="52" t="s">
        <v>79</v>
      </c>
      <c r="G1081" s="52" t="s">
        <v>79</v>
      </c>
      <c r="H1081" s="53" t="s">
        <v>79</v>
      </c>
      <c r="I1081" s="26">
        <f>I1082+I1085+I1088+I1091+I1094</f>
        <v>0</v>
      </c>
      <c r="J1081" s="33" t="s">
        <v>4</v>
      </c>
      <c r="K1081" s="33" t="s">
        <v>4</v>
      </c>
      <c r="L1081" s="26">
        <f>L1082+L1085+L1088+L1091+L1094</f>
        <v>0</v>
      </c>
      <c r="M1081" s="54" t="s">
        <v>4</v>
      </c>
      <c r="AI1081" s="33" t="s">
        <v>4</v>
      </c>
    </row>
    <row r="1082" spans="1:76">
      <c r="A1082" s="50" t="s">
        <v>4</v>
      </c>
      <c r="B1082" s="51" t="s">
        <v>4</v>
      </c>
      <c r="C1082" s="51" t="s">
        <v>1107</v>
      </c>
      <c r="D1082" s="625" t="s">
        <v>1108</v>
      </c>
      <c r="E1082" s="626"/>
      <c r="F1082" s="52" t="s">
        <v>79</v>
      </c>
      <c r="G1082" s="52" t="s">
        <v>79</v>
      </c>
      <c r="H1082" s="53" t="s">
        <v>79</v>
      </c>
      <c r="I1082" s="26">
        <f>SUM(I1083:I1083)</f>
        <v>0</v>
      </c>
      <c r="J1082" s="33" t="s">
        <v>4</v>
      </c>
      <c r="K1082" s="33" t="s">
        <v>4</v>
      </c>
      <c r="L1082" s="26">
        <f>SUM(L1083:L1083)</f>
        <v>0</v>
      </c>
      <c r="M1082" s="54" t="s">
        <v>4</v>
      </c>
      <c r="AI1082" s="33" t="s">
        <v>4</v>
      </c>
      <c r="AS1082" s="26">
        <f>SUM(AJ1083:AJ1083)</f>
        <v>0</v>
      </c>
      <c r="AT1082" s="26">
        <f>SUM(AK1083:AK1083)</f>
        <v>0</v>
      </c>
      <c r="AU1082" s="26">
        <f>SUM(AL1083:AL1083)</f>
        <v>0</v>
      </c>
    </row>
    <row r="1083" spans="1:76">
      <c r="A1083" s="1" t="s">
        <v>1109</v>
      </c>
      <c r="B1083" s="2" t="s">
        <v>4</v>
      </c>
      <c r="C1083" s="2" t="s">
        <v>1110</v>
      </c>
      <c r="D1083" s="549" t="s">
        <v>1111</v>
      </c>
      <c r="E1083" s="546"/>
      <c r="F1083" s="2" t="s">
        <v>1112</v>
      </c>
      <c r="G1083" s="55">
        <v>1</v>
      </c>
      <c r="H1083" s="56">
        <v>0</v>
      </c>
      <c r="I1083" s="55">
        <f>G1083*H1083</f>
        <v>0</v>
      </c>
      <c r="J1083" s="55">
        <v>0</v>
      </c>
      <c r="K1083" s="55">
        <v>0</v>
      </c>
      <c r="L1083" s="55">
        <f>G1083*K1083</f>
        <v>0</v>
      </c>
      <c r="M1083" s="57" t="s">
        <v>4</v>
      </c>
      <c r="Z1083" s="55">
        <f>IF(AQ1083="5",BJ1083,0)</f>
        <v>0</v>
      </c>
      <c r="AB1083" s="55">
        <f>IF(AQ1083="1",BH1083,0)</f>
        <v>0</v>
      </c>
      <c r="AC1083" s="55">
        <f>IF(AQ1083="1",BI1083,0)</f>
        <v>0</v>
      </c>
      <c r="AD1083" s="55">
        <f>IF(AQ1083="7",BH1083,0)</f>
        <v>0</v>
      </c>
      <c r="AE1083" s="55">
        <f>IF(AQ1083="7",BI1083,0)</f>
        <v>0</v>
      </c>
      <c r="AF1083" s="55">
        <f>IF(AQ1083="2",BH1083,0)</f>
        <v>0</v>
      </c>
      <c r="AG1083" s="55">
        <f>IF(AQ1083="2",BI1083,0)</f>
        <v>0</v>
      </c>
      <c r="AH1083" s="55">
        <f>IF(AQ1083="0",BJ1083,0)</f>
        <v>0</v>
      </c>
      <c r="AI1083" s="33" t="s">
        <v>4</v>
      </c>
      <c r="AJ1083" s="55">
        <f>IF(AN1083=0,I1083,0)</f>
        <v>0</v>
      </c>
      <c r="AK1083" s="55">
        <f>IF(AN1083=12,I1083,0)</f>
        <v>0</v>
      </c>
      <c r="AL1083" s="55">
        <f>IF(AN1083=21,I1083,0)</f>
        <v>0</v>
      </c>
      <c r="AN1083" s="55">
        <v>21</v>
      </c>
      <c r="AO1083" s="55">
        <f>H1083*0</f>
        <v>0</v>
      </c>
      <c r="AP1083" s="55">
        <f>H1083*(1-0)</f>
        <v>0</v>
      </c>
      <c r="AQ1083" s="58" t="s">
        <v>905</v>
      </c>
      <c r="AV1083" s="55">
        <f>AW1083+AX1083</f>
        <v>0</v>
      </c>
      <c r="AW1083" s="55">
        <f>G1083*AO1083</f>
        <v>0</v>
      </c>
      <c r="AX1083" s="55">
        <f>G1083*AP1083</f>
        <v>0</v>
      </c>
      <c r="AY1083" s="58" t="s">
        <v>1113</v>
      </c>
      <c r="AZ1083" s="58" t="s">
        <v>1114</v>
      </c>
      <c r="BA1083" s="33" t="s">
        <v>125</v>
      </c>
      <c r="BB1083" s="59">
        <v>100057</v>
      </c>
      <c r="BC1083" s="55">
        <f>AW1083+AX1083</f>
        <v>0</v>
      </c>
      <c r="BD1083" s="55">
        <f>H1083/(100-BE1083)*100</f>
        <v>0</v>
      </c>
      <c r="BE1083" s="55">
        <v>0</v>
      </c>
      <c r="BF1083" s="55">
        <f>L1083</f>
        <v>0</v>
      </c>
      <c r="BH1083" s="55">
        <f>G1083*AO1083</f>
        <v>0</v>
      </c>
      <c r="BI1083" s="55">
        <f>G1083*AP1083</f>
        <v>0</v>
      </c>
      <c r="BJ1083" s="55">
        <f>G1083*H1083</f>
        <v>0</v>
      </c>
      <c r="BK1083" s="55"/>
      <c r="BL1083" s="55"/>
      <c r="BM1083" s="55">
        <f>G1083*H1083</f>
        <v>0</v>
      </c>
      <c r="BW1083" s="55">
        <v>21</v>
      </c>
      <c r="BX1083" s="3" t="s">
        <v>1111</v>
      </c>
    </row>
    <row r="1084" spans="1:76">
      <c r="A1084" s="60"/>
      <c r="D1084" s="61" t="s">
        <v>118</v>
      </c>
      <c r="E1084" s="61" t="s">
        <v>4</v>
      </c>
      <c r="G1084" s="62">
        <v>1</v>
      </c>
      <c r="M1084" s="63"/>
    </row>
    <row r="1085" spans="1:76">
      <c r="A1085" s="50" t="s">
        <v>4</v>
      </c>
      <c r="B1085" s="51" t="s">
        <v>4</v>
      </c>
      <c r="C1085" s="51" t="s">
        <v>1115</v>
      </c>
      <c r="D1085" s="625" t="s">
        <v>25</v>
      </c>
      <c r="E1085" s="626"/>
      <c r="F1085" s="52" t="s">
        <v>79</v>
      </c>
      <c r="G1085" s="52" t="s">
        <v>79</v>
      </c>
      <c r="H1085" s="53" t="s">
        <v>79</v>
      </c>
      <c r="I1085" s="26">
        <f>SUM(I1086:I1086)</f>
        <v>0</v>
      </c>
      <c r="J1085" s="33" t="s">
        <v>4</v>
      </c>
      <c r="K1085" s="33" t="s">
        <v>4</v>
      </c>
      <c r="L1085" s="26">
        <f>SUM(L1086:L1086)</f>
        <v>0</v>
      </c>
      <c r="M1085" s="54" t="s">
        <v>4</v>
      </c>
      <c r="AI1085" s="33" t="s">
        <v>4</v>
      </c>
      <c r="AS1085" s="26">
        <f>SUM(AJ1086:AJ1086)</f>
        <v>0</v>
      </c>
      <c r="AT1085" s="26">
        <f>SUM(AK1086:AK1086)</f>
        <v>0</v>
      </c>
      <c r="AU1085" s="26">
        <f>SUM(AL1086:AL1086)</f>
        <v>0</v>
      </c>
    </row>
    <row r="1086" spans="1:76">
      <c r="A1086" s="1" t="s">
        <v>1116</v>
      </c>
      <c r="B1086" s="2" t="s">
        <v>4</v>
      </c>
      <c r="C1086" s="2" t="s">
        <v>1117</v>
      </c>
      <c r="D1086" s="549" t="s">
        <v>25</v>
      </c>
      <c r="E1086" s="546"/>
      <c r="F1086" s="2" t="s">
        <v>1112</v>
      </c>
      <c r="G1086" s="55">
        <v>1</v>
      </c>
      <c r="H1086" s="56">
        <v>0</v>
      </c>
      <c r="I1086" s="55">
        <f>G1086*H1086</f>
        <v>0</v>
      </c>
      <c r="J1086" s="55">
        <v>0</v>
      </c>
      <c r="K1086" s="55">
        <v>0</v>
      </c>
      <c r="L1086" s="55">
        <f>G1086*K1086</f>
        <v>0</v>
      </c>
      <c r="M1086" s="57" t="s">
        <v>4</v>
      </c>
      <c r="Z1086" s="55">
        <f>IF(AQ1086="5",BJ1086,0)</f>
        <v>0</v>
      </c>
      <c r="AB1086" s="55">
        <f>IF(AQ1086="1",BH1086,0)</f>
        <v>0</v>
      </c>
      <c r="AC1086" s="55">
        <f>IF(AQ1086="1",BI1086,0)</f>
        <v>0</v>
      </c>
      <c r="AD1086" s="55">
        <f>IF(AQ1086="7",BH1086,0)</f>
        <v>0</v>
      </c>
      <c r="AE1086" s="55">
        <f>IF(AQ1086="7",BI1086,0)</f>
        <v>0</v>
      </c>
      <c r="AF1086" s="55">
        <f>IF(AQ1086="2",BH1086,0)</f>
        <v>0</v>
      </c>
      <c r="AG1086" s="55">
        <f>IF(AQ1086="2",BI1086,0)</f>
        <v>0</v>
      </c>
      <c r="AH1086" s="55">
        <f>IF(AQ1086="0",BJ1086,0)</f>
        <v>0</v>
      </c>
      <c r="AI1086" s="33" t="s">
        <v>4</v>
      </c>
      <c r="AJ1086" s="55">
        <f>IF(AN1086=0,I1086,0)</f>
        <v>0</v>
      </c>
      <c r="AK1086" s="55">
        <f>IF(AN1086=12,I1086,0)</f>
        <v>0</v>
      </c>
      <c r="AL1086" s="55">
        <f>IF(AN1086=21,I1086,0)</f>
        <v>0</v>
      </c>
      <c r="AN1086" s="55">
        <v>21</v>
      </c>
      <c r="AO1086" s="55">
        <f>H1086*0</f>
        <v>0</v>
      </c>
      <c r="AP1086" s="55">
        <f>H1086*(1-0)</f>
        <v>0</v>
      </c>
      <c r="AQ1086" s="58" t="s">
        <v>905</v>
      </c>
      <c r="AV1086" s="55">
        <f>AW1086+AX1086</f>
        <v>0</v>
      </c>
      <c r="AW1086" s="55">
        <f>G1086*AO1086</f>
        <v>0</v>
      </c>
      <c r="AX1086" s="55">
        <f>G1086*AP1086</f>
        <v>0</v>
      </c>
      <c r="AY1086" s="58" t="s">
        <v>1118</v>
      </c>
      <c r="AZ1086" s="58" t="s">
        <v>1114</v>
      </c>
      <c r="BA1086" s="33" t="s">
        <v>125</v>
      </c>
      <c r="BB1086" s="59">
        <v>100023</v>
      </c>
      <c r="BC1086" s="55">
        <f>AW1086+AX1086</f>
        <v>0</v>
      </c>
      <c r="BD1086" s="55">
        <f>H1086/(100-BE1086)*100</f>
        <v>0</v>
      </c>
      <c r="BE1086" s="55">
        <v>0</v>
      </c>
      <c r="BF1086" s="55">
        <f>L1086</f>
        <v>0</v>
      </c>
      <c r="BH1086" s="55">
        <f>G1086*AO1086</f>
        <v>0</v>
      </c>
      <c r="BI1086" s="55">
        <f>G1086*AP1086</f>
        <v>0</v>
      </c>
      <c r="BJ1086" s="55">
        <f>G1086*H1086</f>
        <v>0</v>
      </c>
      <c r="BK1086" s="55"/>
      <c r="BL1086" s="55"/>
      <c r="BO1086" s="55">
        <f>G1086*H1086</f>
        <v>0</v>
      </c>
      <c r="BW1086" s="55">
        <v>21</v>
      </c>
      <c r="BX1086" s="3" t="s">
        <v>25</v>
      </c>
    </row>
    <row r="1087" spans="1:76">
      <c r="A1087" s="60"/>
      <c r="D1087" s="61" t="s">
        <v>118</v>
      </c>
      <c r="E1087" s="61" t="s">
        <v>4</v>
      </c>
      <c r="G1087" s="62">
        <v>1</v>
      </c>
      <c r="M1087" s="63"/>
    </row>
    <row r="1088" spans="1:76">
      <c r="A1088" s="50" t="s">
        <v>4</v>
      </c>
      <c r="B1088" s="51" t="s">
        <v>4</v>
      </c>
      <c r="C1088" s="51" t="s">
        <v>1119</v>
      </c>
      <c r="D1088" s="625" t="s">
        <v>31</v>
      </c>
      <c r="E1088" s="626"/>
      <c r="F1088" s="52" t="s">
        <v>79</v>
      </c>
      <c r="G1088" s="52" t="s">
        <v>79</v>
      </c>
      <c r="H1088" s="53" t="s">
        <v>79</v>
      </c>
      <c r="I1088" s="26">
        <f>SUM(I1089:I1089)</f>
        <v>0</v>
      </c>
      <c r="J1088" s="33" t="s">
        <v>4</v>
      </c>
      <c r="K1088" s="33" t="s">
        <v>4</v>
      </c>
      <c r="L1088" s="26">
        <f>SUM(L1089:L1089)</f>
        <v>0</v>
      </c>
      <c r="M1088" s="54" t="s">
        <v>4</v>
      </c>
      <c r="AI1088" s="33" t="s">
        <v>4</v>
      </c>
      <c r="AS1088" s="26">
        <f>SUM(AJ1089:AJ1089)</f>
        <v>0</v>
      </c>
      <c r="AT1088" s="26">
        <f>SUM(AK1089:AK1089)</f>
        <v>0</v>
      </c>
      <c r="AU1088" s="26">
        <f>SUM(AL1089:AL1089)</f>
        <v>0</v>
      </c>
    </row>
    <row r="1089" spans="1:76">
      <c r="A1089" s="1" t="s">
        <v>1120</v>
      </c>
      <c r="B1089" s="2" t="s">
        <v>4</v>
      </c>
      <c r="C1089" s="2" t="s">
        <v>1121</v>
      </c>
      <c r="D1089" s="549" t="s">
        <v>1122</v>
      </c>
      <c r="E1089" s="546"/>
      <c r="F1089" s="2" t="s">
        <v>1112</v>
      </c>
      <c r="G1089" s="55">
        <v>1</v>
      </c>
      <c r="H1089" s="56">
        <v>0</v>
      </c>
      <c r="I1089" s="55">
        <f>G1089*H1089</f>
        <v>0</v>
      </c>
      <c r="J1089" s="55">
        <v>0</v>
      </c>
      <c r="K1089" s="55">
        <v>0</v>
      </c>
      <c r="L1089" s="55">
        <f>G1089*K1089</f>
        <v>0</v>
      </c>
      <c r="M1089" s="57" t="s">
        <v>4</v>
      </c>
      <c r="Z1089" s="55">
        <f>IF(AQ1089="5",BJ1089,0)</f>
        <v>0</v>
      </c>
      <c r="AB1089" s="55">
        <f>IF(AQ1089="1",BH1089,0)</f>
        <v>0</v>
      </c>
      <c r="AC1089" s="55">
        <f>IF(AQ1089="1",BI1089,0)</f>
        <v>0</v>
      </c>
      <c r="AD1089" s="55">
        <f>IF(AQ1089="7",BH1089,0)</f>
        <v>0</v>
      </c>
      <c r="AE1089" s="55">
        <f>IF(AQ1089="7",BI1089,0)</f>
        <v>0</v>
      </c>
      <c r="AF1089" s="55">
        <f>IF(AQ1089="2",BH1089,0)</f>
        <v>0</v>
      </c>
      <c r="AG1089" s="55">
        <f>IF(AQ1089="2",BI1089,0)</f>
        <v>0</v>
      </c>
      <c r="AH1089" s="55">
        <f>IF(AQ1089="0",BJ1089,0)</f>
        <v>0</v>
      </c>
      <c r="AI1089" s="33" t="s">
        <v>4</v>
      </c>
      <c r="AJ1089" s="55">
        <f>IF(AN1089=0,I1089,0)</f>
        <v>0</v>
      </c>
      <c r="AK1089" s="55">
        <f>IF(AN1089=12,I1089,0)</f>
        <v>0</v>
      </c>
      <c r="AL1089" s="55">
        <f>IF(AN1089=21,I1089,0)</f>
        <v>0</v>
      </c>
      <c r="AN1089" s="55">
        <v>21</v>
      </c>
      <c r="AO1089" s="55">
        <f>H1089*0</f>
        <v>0</v>
      </c>
      <c r="AP1089" s="55">
        <f>H1089*(1-0)</f>
        <v>0</v>
      </c>
      <c r="AQ1089" s="58" t="s">
        <v>905</v>
      </c>
      <c r="AV1089" s="55">
        <f>AW1089+AX1089</f>
        <v>0</v>
      </c>
      <c r="AW1089" s="55">
        <f>G1089*AO1089</f>
        <v>0</v>
      </c>
      <c r="AX1089" s="55">
        <f>G1089*AP1089</f>
        <v>0</v>
      </c>
      <c r="AY1089" s="58" t="s">
        <v>1123</v>
      </c>
      <c r="AZ1089" s="58" t="s">
        <v>1114</v>
      </c>
      <c r="BA1089" s="33" t="s">
        <v>125</v>
      </c>
      <c r="BB1089" s="59">
        <v>100026</v>
      </c>
      <c r="BC1089" s="55">
        <f>AW1089+AX1089</f>
        <v>0</v>
      </c>
      <c r="BD1089" s="55">
        <f>H1089/(100-BE1089)*100</f>
        <v>0</v>
      </c>
      <c r="BE1089" s="55">
        <v>0</v>
      </c>
      <c r="BF1089" s="55">
        <f>L1089</f>
        <v>0</v>
      </c>
      <c r="BH1089" s="55">
        <f>G1089*AO1089</f>
        <v>0</v>
      </c>
      <c r="BI1089" s="55">
        <f>G1089*AP1089</f>
        <v>0</v>
      </c>
      <c r="BJ1089" s="55">
        <f>G1089*H1089</f>
        <v>0</v>
      </c>
      <c r="BK1089" s="55"/>
      <c r="BL1089" s="55"/>
      <c r="BR1089" s="55">
        <f>G1089*H1089</f>
        <v>0</v>
      </c>
      <c r="BW1089" s="55">
        <v>21</v>
      </c>
      <c r="BX1089" s="3" t="s">
        <v>1122</v>
      </c>
    </row>
    <row r="1090" spans="1:76">
      <c r="A1090" s="60"/>
      <c r="D1090" s="61" t="s">
        <v>118</v>
      </c>
      <c r="E1090" s="61" t="s">
        <v>4</v>
      </c>
      <c r="G1090" s="62">
        <v>1</v>
      </c>
      <c r="M1090" s="63"/>
    </row>
    <row r="1091" spans="1:76">
      <c r="A1091" s="50" t="s">
        <v>4</v>
      </c>
      <c r="B1091" s="51" t="s">
        <v>4</v>
      </c>
      <c r="C1091" s="51" t="s">
        <v>1124</v>
      </c>
      <c r="D1091" s="625" t="s">
        <v>72</v>
      </c>
      <c r="E1091" s="626"/>
      <c r="F1091" s="52" t="s">
        <v>79</v>
      </c>
      <c r="G1091" s="52" t="s">
        <v>79</v>
      </c>
      <c r="H1091" s="53" t="s">
        <v>79</v>
      </c>
      <c r="I1091" s="26">
        <f>SUM(I1092:I1092)</f>
        <v>0</v>
      </c>
      <c r="J1091" s="33" t="s">
        <v>4</v>
      </c>
      <c r="K1091" s="33" t="s">
        <v>4</v>
      </c>
      <c r="L1091" s="26">
        <f>SUM(L1092:L1092)</f>
        <v>0</v>
      </c>
      <c r="M1091" s="54" t="s">
        <v>4</v>
      </c>
      <c r="AI1091" s="33" t="s">
        <v>4</v>
      </c>
      <c r="AS1091" s="26">
        <f>SUM(AJ1092:AJ1092)</f>
        <v>0</v>
      </c>
      <c r="AT1091" s="26">
        <f>SUM(AK1092:AK1092)</f>
        <v>0</v>
      </c>
      <c r="AU1091" s="26">
        <f>SUM(AL1092:AL1092)</f>
        <v>0</v>
      </c>
    </row>
    <row r="1092" spans="1:76">
      <c r="A1092" s="1" t="s">
        <v>1125</v>
      </c>
      <c r="B1092" s="2" t="s">
        <v>4</v>
      </c>
      <c r="C1092" s="2" t="s">
        <v>1126</v>
      </c>
      <c r="D1092" s="549" t="s">
        <v>1127</v>
      </c>
      <c r="E1092" s="546"/>
      <c r="F1092" s="2" t="s">
        <v>1112</v>
      </c>
      <c r="G1092" s="55">
        <v>1</v>
      </c>
      <c r="H1092" s="56">
        <v>0</v>
      </c>
      <c r="I1092" s="55">
        <f>G1092*H1092</f>
        <v>0</v>
      </c>
      <c r="J1092" s="55">
        <v>0</v>
      </c>
      <c r="K1092" s="55">
        <v>0</v>
      </c>
      <c r="L1092" s="55">
        <f>G1092*K1092</f>
        <v>0</v>
      </c>
      <c r="M1092" s="57" t="s">
        <v>4</v>
      </c>
      <c r="Z1092" s="55">
        <f>IF(AQ1092="5",BJ1092,0)</f>
        <v>0</v>
      </c>
      <c r="AB1092" s="55">
        <f>IF(AQ1092="1",BH1092,0)</f>
        <v>0</v>
      </c>
      <c r="AC1092" s="55">
        <f>IF(AQ1092="1",BI1092,0)</f>
        <v>0</v>
      </c>
      <c r="AD1092" s="55">
        <f>IF(AQ1092="7",BH1092,0)</f>
        <v>0</v>
      </c>
      <c r="AE1092" s="55">
        <f>IF(AQ1092="7",BI1092,0)</f>
        <v>0</v>
      </c>
      <c r="AF1092" s="55">
        <f>IF(AQ1092="2",BH1092,0)</f>
        <v>0</v>
      </c>
      <c r="AG1092" s="55">
        <f>IF(AQ1092="2",BI1092,0)</f>
        <v>0</v>
      </c>
      <c r="AH1092" s="55">
        <f>IF(AQ1092="0",BJ1092,0)</f>
        <v>0</v>
      </c>
      <c r="AI1092" s="33" t="s">
        <v>4</v>
      </c>
      <c r="AJ1092" s="55">
        <f>IF(AN1092=0,I1092,0)</f>
        <v>0</v>
      </c>
      <c r="AK1092" s="55">
        <f>IF(AN1092=12,I1092,0)</f>
        <v>0</v>
      </c>
      <c r="AL1092" s="55">
        <f>IF(AN1092=21,I1092,0)</f>
        <v>0</v>
      </c>
      <c r="AN1092" s="55">
        <v>21</v>
      </c>
      <c r="AO1092" s="55">
        <f>H1092*0</f>
        <v>0</v>
      </c>
      <c r="AP1092" s="55">
        <f>H1092*(1-0)</f>
        <v>0</v>
      </c>
      <c r="AQ1092" s="58" t="s">
        <v>905</v>
      </c>
      <c r="AV1092" s="55">
        <f>AW1092+AX1092</f>
        <v>0</v>
      </c>
      <c r="AW1092" s="55">
        <f>G1092*AO1092</f>
        <v>0</v>
      </c>
      <c r="AX1092" s="55">
        <f>G1092*AP1092</f>
        <v>0</v>
      </c>
      <c r="AY1092" s="58" t="s">
        <v>1128</v>
      </c>
      <c r="AZ1092" s="58" t="s">
        <v>1114</v>
      </c>
      <c r="BA1092" s="33" t="s">
        <v>125</v>
      </c>
      <c r="BB1092" s="59">
        <v>100024</v>
      </c>
      <c r="BC1092" s="55">
        <f>AW1092+AX1092</f>
        <v>0</v>
      </c>
      <c r="BD1092" s="55">
        <f>H1092/(100-BE1092)*100</f>
        <v>0</v>
      </c>
      <c r="BE1092" s="55">
        <v>0</v>
      </c>
      <c r="BF1092" s="55">
        <f>L1092</f>
        <v>0</v>
      </c>
      <c r="BH1092" s="55">
        <f>G1092*AO1092</f>
        <v>0</v>
      </c>
      <c r="BI1092" s="55">
        <f>G1092*AP1092</f>
        <v>0</v>
      </c>
      <c r="BJ1092" s="55">
        <f>G1092*H1092</f>
        <v>0</v>
      </c>
      <c r="BK1092" s="55"/>
      <c r="BL1092" s="55"/>
      <c r="BT1092" s="55">
        <f>G1092*H1092</f>
        <v>0</v>
      </c>
      <c r="BW1092" s="55">
        <v>21</v>
      </c>
      <c r="BX1092" s="3" t="s">
        <v>1127</v>
      </c>
    </row>
    <row r="1093" spans="1:76">
      <c r="A1093" s="60"/>
      <c r="D1093" s="61" t="s">
        <v>118</v>
      </c>
      <c r="E1093" s="61" t="s">
        <v>4</v>
      </c>
      <c r="G1093" s="62">
        <v>1</v>
      </c>
      <c r="M1093" s="63"/>
    </row>
    <row r="1094" spans="1:76">
      <c r="A1094" s="50" t="s">
        <v>4</v>
      </c>
      <c r="B1094" s="51" t="s">
        <v>4</v>
      </c>
      <c r="C1094" s="51" t="s">
        <v>1129</v>
      </c>
      <c r="D1094" s="625" t="s">
        <v>73</v>
      </c>
      <c r="E1094" s="626"/>
      <c r="F1094" s="52" t="s">
        <v>79</v>
      </c>
      <c r="G1094" s="52" t="s">
        <v>79</v>
      </c>
      <c r="H1094" s="53" t="s">
        <v>79</v>
      </c>
      <c r="I1094" s="26">
        <f>SUM(I1095:I1095)</f>
        <v>0</v>
      </c>
      <c r="J1094" s="33" t="s">
        <v>4</v>
      </c>
      <c r="K1094" s="33" t="s">
        <v>4</v>
      </c>
      <c r="L1094" s="26">
        <f>SUM(L1095:L1095)</f>
        <v>0</v>
      </c>
      <c r="M1094" s="54" t="s">
        <v>4</v>
      </c>
      <c r="AI1094" s="33" t="s">
        <v>4</v>
      </c>
      <c r="AS1094" s="26">
        <f>SUM(AJ1095:AJ1095)</f>
        <v>0</v>
      </c>
      <c r="AT1094" s="26">
        <f>SUM(AK1095:AK1095)</f>
        <v>0</v>
      </c>
      <c r="AU1094" s="26">
        <f>SUM(AL1095:AL1095)</f>
        <v>0</v>
      </c>
    </row>
    <row r="1095" spans="1:76">
      <c r="A1095" s="1" t="s">
        <v>1130</v>
      </c>
      <c r="B1095" s="2" t="s">
        <v>4</v>
      </c>
      <c r="C1095" s="2" t="s">
        <v>1131</v>
      </c>
      <c r="D1095" s="549" t="s">
        <v>1132</v>
      </c>
      <c r="E1095" s="546"/>
      <c r="F1095" s="2" t="s">
        <v>1112</v>
      </c>
      <c r="G1095" s="55">
        <v>1</v>
      </c>
      <c r="H1095" s="56">
        <v>0</v>
      </c>
      <c r="I1095" s="55">
        <f>G1095*H1095</f>
        <v>0</v>
      </c>
      <c r="J1095" s="55">
        <v>0</v>
      </c>
      <c r="K1095" s="55">
        <v>0</v>
      </c>
      <c r="L1095" s="55">
        <f>G1095*K1095</f>
        <v>0</v>
      </c>
      <c r="M1095" s="57" t="s">
        <v>4</v>
      </c>
      <c r="Z1095" s="55">
        <f>IF(AQ1095="5",BJ1095,0)</f>
        <v>0</v>
      </c>
      <c r="AB1095" s="55">
        <f>IF(AQ1095="1",BH1095,0)</f>
        <v>0</v>
      </c>
      <c r="AC1095" s="55">
        <f>IF(AQ1095="1",BI1095,0)</f>
        <v>0</v>
      </c>
      <c r="AD1095" s="55">
        <f>IF(AQ1095="7",BH1095,0)</f>
        <v>0</v>
      </c>
      <c r="AE1095" s="55">
        <f>IF(AQ1095="7",BI1095,0)</f>
        <v>0</v>
      </c>
      <c r="AF1095" s="55">
        <f>IF(AQ1095="2",BH1095,0)</f>
        <v>0</v>
      </c>
      <c r="AG1095" s="55">
        <f>IF(AQ1095="2",BI1095,0)</f>
        <v>0</v>
      </c>
      <c r="AH1095" s="55">
        <f>IF(AQ1095="0",BJ1095,0)</f>
        <v>0</v>
      </c>
      <c r="AI1095" s="33" t="s">
        <v>4</v>
      </c>
      <c r="AJ1095" s="55">
        <f>IF(AN1095=0,I1095,0)</f>
        <v>0</v>
      </c>
      <c r="AK1095" s="55">
        <f>IF(AN1095=12,I1095,0)</f>
        <v>0</v>
      </c>
      <c r="AL1095" s="55">
        <f>IF(AN1095=21,I1095,0)</f>
        <v>0</v>
      </c>
      <c r="AN1095" s="55">
        <v>21</v>
      </c>
      <c r="AO1095" s="55">
        <f>H1095*0</f>
        <v>0</v>
      </c>
      <c r="AP1095" s="55">
        <f>H1095*(1-0)</f>
        <v>0</v>
      </c>
      <c r="AQ1095" s="58" t="s">
        <v>905</v>
      </c>
      <c r="AV1095" s="55">
        <f>AW1095+AX1095</f>
        <v>0</v>
      </c>
      <c r="AW1095" s="55">
        <f>G1095*AO1095</f>
        <v>0</v>
      </c>
      <c r="AX1095" s="55">
        <f>G1095*AP1095</f>
        <v>0</v>
      </c>
      <c r="AY1095" s="58" t="s">
        <v>1133</v>
      </c>
      <c r="AZ1095" s="58" t="s">
        <v>1114</v>
      </c>
      <c r="BA1095" s="33" t="s">
        <v>125</v>
      </c>
      <c r="BB1095" s="59">
        <v>100025</v>
      </c>
      <c r="BC1095" s="55">
        <f>AW1095+AX1095</f>
        <v>0</v>
      </c>
      <c r="BD1095" s="55">
        <f>H1095/(100-BE1095)*100</f>
        <v>0</v>
      </c>
      <c r="BE1095" s="55">
        <v>0</v>
      </c>
      <c r="BF1095" s="55">
        <f>L1095</f>
        <v>0</v>
      </c>
      <c r="BH1095" s="55">
        <f>G1095*AO1095</f>
        <v>0</v>
      </c>
      <c r="BI1095" s="55">
        <f>G1095*AP1095</f>
        <v>0</v>
      </c>
      <c r="BJ1095" s="55">
        <f>G1095*H1095</f>
        <v>0</v>
      </c>
      <c r="BK1095" s="55"/>
      <c r="BL1095" s="55"/>
      <c r="BU1095" s="55">
        <f>G1095*H1095</f>
        <v>0</v>
      </c>
      <c r="BW1095" s="55">
        <v>21</v>
      </c>
      <c r="BX1095" s="3" t="s">
        <v>1132</v>
      </c>
    </row>
    <row r="1096" spans="1:76" ht="13.5" customHeight="1">
      <c r="A1096" s="60"/>
      <c r="D1096" s="634" t="s">
        <v>1134</v>
      </c>
      <c r="E1096" s="635"/>
      <c r="F1096" s="635"/>
      <c r="G1096" s="635"/>
      <c r="H1096" s="636"/>
      <c r="I1096" s="635"/>
      <c r="J1096" s="635"/>
      <c r="K1096" s="635"/>
      <c r="L1096" s="635"/>
      <c r="M1096" s="637"/>
    </row>
    <row r="1097" spans="1:76">
      <c r="A1097" s="74"/>
      <c r="B1097" s="75"/>
      <c r="C1097" s="75"/>
      <c r="D1097" s="76" t="s">
        <v>118</v>
      </c>
      <c r="E1097" s="76" t="s">
        <v>4</v>
      </c>
      <c r="F1097" s="75"/>
      <c r="G1097" s="77">
        <v>1</v>
      </c>
      <c r="H1097" s="78"/>
      <c r="I1097" s="75"/>
      <c r="J1097" s="75"/>
      <c r="K1097" s="75"/>
      <c r="L1097" s="75"/>
      <c r="M1097" s="79"/>
    </row>
    <row r="1098" spans="1:76">
      <c r="I1098" s="80">
        <f>I13+I22+I50+I97+I258+I346+I353+I422+I435+I564+I568+I573+I580+I585+I639+I677+I768+I802+I932+I935+I1001+I1033+I1066+I1068+I1082+I1085+I1088+I1091+I1094</f>
        <v>0</v>
      </c>
    </row>
    <row r="1099" spans="1:76">
      <c r="A1099" s="81" t="s">
        <v>56</v>
      </c>
    </row>
    <row r="1100" spans="1:76" ht="12.75" customHeight="1">
      <c r="A1100" s="549" t="s">
        <v>4</v>
      </c>
      <c r="B1100" s="546"/>
      <c r="C1100" s="546"/>
      <c r="D1100" s="546"/>
      <c r="E1100" s="546"/>
      <c r="F1100" s="546"/>
      <c r="G1100" s="546"/>
      <c r="H1100" s="546"/>
      <c r="I1100" s="546"/>
      <c r="J1100" s="546"/>
      <c r="K1100" s="546"/>
      <c r="L1100" s="546"/>
      <c r="M1100" s="546"/>
    </row>
  </sheetData>
  <sheetProtection algorithmName="SHA-512" hashValue="yqnOyLnABnWc9JAeV99JWegavhTdr+rm9fjZrNHcWsuVtG7TpfDKr+tkTmME4HvkErRvsj4Xq8Y3hesoKoNOKg==" saltValue="3ASkL13R3Fu26MXGks3yNg==" spinCount="100000" sheet="1"/>
  <mergeCells count="287">
    <mergeCell ref="A1100:M1100"/>
    <mergeCell ref="D1091:E1091"/>
    <mergeCell ref="D1092:E1092"/>
    <mergeCell ref="D1094:E1094"/>
    <mergeCell ref="D1095:E1095"/>
    <mergeCell ref="D1096:M1096"/>
    <mergeCell ref="D1083:E1083"/>
    <mergeCell ref="D1085:E1085"/>
    <mergeCell ref="D1086:E1086"/>
    <mergeCell ref="D1088:E1088"/>
    <mergeCell ref="D1089:E1089"/>
    <mergeCell ref="D1075:E1075"/>
    <mergeCell ref="D1077:E1077"/>
    <mergeCell ref="D1079:E1079"/>
    <mergeCell ref="D1081:E1081"/>
    <mergeCell ref="D1082:E1082"/>
    <mergeCell ref="D1067:E1067"/>
    <mergeCell ref="D1068:E1068"/>
    <mergeCell ref="D1069:E1069"/>
    <mergeCell ref="D1071:E1071"/>
    <mergeCell ref="D1073:E1073"/>
    <mergeCell ref="D1002:E1002"/>
    <mergeCell ref="D1033:E1033"/>
    <mergeCell ref="D1034:E1034"/>
    <mergeCell ref="D1065:M1065"/>
    <mergeCell ref="D1066:E1066"/>
    <mergeCell ref="D957:E957"/>
    <mergeCell ref="D978:M978"/>
    <mergeCell ref="D979:E979"/>
    <mergeCell ref="D1000:M1000"/>
    <mergeCell ref="D1001:E1001"/>
    <mergeCell ref="D932:E932"/>
    <mergeCell ref="D933:E933"/>
    <mergeCell ref="D935:E935"/>
    <mergeCell ref="D936:E936"/>
    <mergeCell ref="D956:M956"/>
    <mergeCell ref="D899:E899"/>
    <mergeCell ref="D900:M900"/>
    <mergeCell ref="D912:E912"/>
    <mergeCell ref="D930:M930"/>
    <mergeCell ref="D931:E931"/>
    <mergeCell ref="D841:E841"/>
    <mergeCell ref="D844:M844"/>
    <mergeCell ref="D845:E845"/>
    <mergeCell ref="D859:E859"/>
    <mergeCell ref="D873:E873"/>
    <mergeCell ref="D802:E802"/>
    <mergeCell ref="D803:E803"/>
    <mergeCell ref="D821:M821"/>
    <mergeCell ref="D822:E822"/>
    <mergeCell ref="D823:M823"/>
    <mergeCell ref="D783:E783"/>
    <mergeCell ref="D786:M786"/>
    <mergeCell ref="D787:E787"/>
    <mergeCell ref="D788:M788"/>
    <mergeCell ref="D801:E801"/>
    <mergeCell ref="D766:M766"/>
    <mergeCell ref="D767:E767"/>
    <mergeCell ref="D768:E768"/>
    <mergeCell ref="D769:E769"/>
    <mergeCell ref="D770:M770"/>
    <mergeCell ref="D720:E720"/>
    <mergeCell ref="D721:M721"/>
    <mergeCell ref="D738:E738"/>
    <mergeCell ref="D756:M756"/>
    <mergeCell ref="D757:E757"/>
    <mergeCell ref="D696:M696"/>
    <mergeCell ref="D697:E697"/>
    <mergeCell ref="D698:M698"/>
    <mergeCell ref="D716:E716"/>
    <mergeCell ref="D719:M719"/>
    <mergeCell ref="D673:E673"/>
    <mergeCell ref="D674:M674"/>
    <mergeCell ref="D676:E676"/>
    <mergeCell ref="D677:E677"/>
    <mergeCell ref="D678:E678"/>
    <mergeCell ref="D636:E636"/>
    <mergeCell ref="D638:E638"/>
    <mergeCell ref="D639:E639"/>
    <mergeCell ref="D640:E640"/>
    <mergeCell ref="D671:E671"/>
    <mergeCell ref="D626:E626"/>
    <mergeCell ref="D628:E628"/>
    <mergeCell ref="D630:E630"/>
    <mergeCell ref="D632:E632"/>
    <mergeCell ref="D634:E634"/>
    <mergeCell ref="D618:E618"/>
    <mergeCell ref="D619:M619"/>
    <mergeCell ref="D621:E621"/>
    <mergeCell ref="D623:E623"/>
    <mergeCell ref="D624:M624"/>
    <mergeCell ref="D611:M611"/>
    <mergeCell ref="D613:E613"/>
    <mergeCell ref="D615:E615"/>
    <mergeCell ref="D616:E616"/>
    <mergeCell ref="D617:M617"/>
    <mergeCell ref="D603:E603"/>
    <mergeCell ref="D605:M605"/>
    <mergeCell ref="D606:E606"/>
    <mergeCell ref="D608:E608"/>
    <mergeCell ref="D610:E610"/>
    <mergeCell ref="D595:E595"/>
    <mergeCell ref="D597:M597"/>
    <mergeCell ref="D598:E598"/>
    <mergeCell ref="D600:E600"/>
    <mergeCell ref="D602:M602"/>
    <mergeCell ref="D586:E586"/>
    <mergeCell ref="D588:M588"/>
    <mergeCell ref="D589:E589"/>
    <mergeCell ref="D591:E591"/>
    <mergeCell ref="D593:E593"/>
    <mergeCell ref="D580:E580"/>
    <mergeCell ref="D581:E581"/>
    <mergeCell ref="D582:M582"/>
    <mergeCell ref="D584:E584"/>
    <mergeCell ref="D585:E585"/>
    <mergeCell ref="D571:E571"/>
    <mergeCell ref="D573:E573"/>
    <mergeCell ref="D574:E574"/>
    <mergeCell ref="D576:E576"/>
    <mergeCell ref="D579:E579"/>
    <mergeCell ref="D564:E564"/>
    <mergeCell ref="D565:E565"/>
    <mergeCell ref="D567:M567"/>
    <mergeCell ref="D568:E568"/>
    <mergeCell ref="D569:E569"/>
    <mergeCell ref="D558:M558"/>
    <mergeCell ref="D559:E559"/>
    <mergeCell ref="D560:M560"/>
    <mergeCell ref="D562:M562"/>
    <mergeCell ref="D563:E563"/>
    <mergeCell ref="D549:M549"/>
    <mergeCell ref="D550:E550"/>
    <mergeCell ref="D554:M554"/>
    <mergeCell ref="D555:E555"/>
    <mergeCell ref="D556:M556"/>
    <mergeCell ref="D539:M539"/>
    <mergeCell ref="D540:E540"/>
    <mergeCell ref="D541:M541"/>
    <mergeCell ref="D544:M544"/>
    <mergeCell ref="D545:E545"/>
    <mergeCell ref="D520:E520"/>
    <mergeCell ref="D521:M521"/>
    <mergeCell ref="D534:M534"/>
    <mergeCell ref="D535:E535"/>
    <mergeCell ref="D536:M536"/>
    <mergeCell ref="D485:E485"/>
    <mergeCell ref="D501:M501"/>
    <mergeCell ref="D502:E502"/>
    <mergeCell ref="D503:M503"/>
    <mergeCell ref="D519:M519"/>
    <mergeCell ref="D437:M437"/>
    <mergeCell ref="D454:M454"/>
    <mergeCell ref="D455:E455"/>
    <mergeCell ref="D456:M456"/>
    <mergeCell ref="D473:E473"/>
    <mergeCell ref="D431:E431"/>
    <mergeCell ref="D432:M432"/>
    <mergeCell ref="D434:M434"/>
    <mergeCell ref="D435:E435"/>
    <mergeCell ref="D436:E436"/>
    <mergeCell ref="D423:E423"/>
    <mergeCell ref="D424:M424"/>
    <mergeCell ref="D427:E427"/>
    <mergeCell ref="D428:M428"/>
    <mergeCell ref="D430:M430"/>
    <mergeCell ref="D416:M416"/>
    <mergeCell ref="D417:E417"/>
    <mergeCell ref="D418:M418"/>
    <mergeCell ref="D420:E420"/>
    <mergeCell ref="D422:E422"/>
    <mergeCell ref="D409:M409"/>
    <mergeCell ref="D410:E410"/>
    <mergeCell ref="D412:M412"/>
    <mergeCell ref="D413:E413"/>
    <mergeCell ref="D414:M414"/>
    <mergeCell ref="D402:M402"/>
    <mergeCell ref="D403:E403"/>
    <mergeCell ref="D404:M404"/>
    <mergeCell ref="D406:M406"/>
    <mergeCell ref="D407:E407"/>
    <mergeCell ref="D373:E373"/>
    <mergeCell ref="D374:M374"/>
    <mergeCell ref="D387:M387"/>
    <mergeCell ref="D388:E388"/>
    <mergeCell ref="D389:M389"/>
    <mergeCell ref="D352:M352"/>
    <mergeCell ref="D353:E353"/>
    <mergeCell ref="D354:E354"/>
    <mergeCell ref="D355:M355"/>
    <mergeCell ref="D372:M372"/>
    <mergeCell ref="D344:E344"/>
    <mergeCell ref="D346:E346"/>
    <mergeCell ref="D347:E347"/>
    <mergeCell ref="D349:M349"/>
    <mergeCell ref="D350:E350"/>
    <mergeCell ref="D318:M318"/>
    <mergeCell ref="D319:E319"/>
    <mergeCell ref="D320:M320"/>
    <mergeCell ref="D341:M341"/>
    <mergeCell ref="D342:E342"/>
    <mergeCell ref="D255:E255"/>
    <mergeCell ref="D257:M257"/>
    <mergeCell ref="D258:E258"/>
    <mergeCell ref="D259:E259"/>
    <mergeCell ref="D307:E307"/>
    <mergeCell ref="D220:M220"/>
    <mergeCell ref="D250:M250"/>
    <mergeCell ref="D251:E251"/>
    <mergeCell ref="D252:M252"/>
    <mergeCell ref="D254:M254"/>
    <mergeCell ref="D166:M166"/>
    <mergeCell ref="D167:E167"/>
    <mergeCell ref="D181:E181"/>
    <mergeCell ref="D218:M218"/>
    <mergeCell ref="D219:E219"/>
    <mergeCell ref="D98:E98"/>
    <mergeCell ref="D99:M99"/>
    <mergeCell ref="D125:M125"/>
    <mergeCell ref="D126:E126"/>
    <mergeCell ref="D127:M127"/>
    <mergeCell ref="D84:E84"/>
    <mergeCell ref="D92:M92"/>
    <mergeCell ref="D93:E93"/>
    <mergeCell ref="D96:M96"/>
    <mergeCell ref="D97:E97"/>
    <mergeCell ref="D61:E61"/>
    <mergeCell ref="D63:E63"/>
    <mergeCell ref="D75:M75"/>
    <mergeCell ref="D76:E76"/>
    <mergeCell ref="D83:M83"/>
    <mergeCell ref="D48:E48"/>
    <mergeCell ref="D50:E50"/>
    <mergeCell ref="D51:E51"/>
    <mergeCell ref="D56:E56"/>
    <mergeCell ref="D38:E38"/>
    <mergeCell ref="D41:M41"/>
    <mergeCell ref="D42:E42"/>
    <mergeCell ref="D43:M43"/>
    <mergeCell ref="D45:M45"/>
    <mergeCell ref="D33:M33"/>
    <mergeCell ref="D34:E34"/>
    <mergeCell ref="D35:M35"/>
    <mergeCell ref="D23:E23"/>
    <mergeCell ref="D24:M24"/>
    <mergeCell ref="D26:M26"/>
    <mergeCell ref="D27:E27"/>
    <mergeCell ref="D29:M29"/>
    <mergeCell ref="D46:E46"/>
    <mergeCell ref="D20:E20"/>
    <mergeCell ref="D22:E22"/>
    <mergeCell ref="D11:E11"/>
    <mergeCell ref="J10:L10"/>
    <mergeCell ref="D12:E12"/>
    <mergeCell ref="D13:E13"/>
    <mergeCell ref="D14:E14"/>
    <mergeCell ref="D30:E30"/>
    <mergeCell ref="D31:M31"/>
    <mergeCell ref="D10:E10"/>
    <mergeCell ref="D16:M16"/>
    <mergeCell ref="D17:E17"/>
    <mergeCell ref="D19:M19"/>
    <mergeCell ref="A1:M1"/>
    <mergeCell ref="A2:C3"/>
    <mergeCell ref="A4:C5"/>
    <mergeCell ref="A6:C7"/>
    <mergeCell ref="A8:C9"/>
    <mergeCell ref="F2:G3"/>
    <mergeCell ref="F4:G5"/>
    <mergeCell ref="F6:G7"/>
    <mergeCell ref="F8:G9"/>
    <mergeCell ref="I2:I3"/>
    <mergeCell ref="I4:I5"/>
    <mergeCell ref="I6:I7"/>
    <mergeCell ref="I8:I9"/>
    <mergeCell ref="D2:E3"/>
    <mergeCell ref="D4:E5"/>
    <mergeCell ref="D6:E7"/>
    <mergeCell ref="J2:M3"/>
    <mergeCell ref="J4:M5"/>
    <mergeCell ref="J6:M7"/>
    <mergeCell ref="J8:M9"/>
    <mergeCell ref="D8:E9"/>
    <mergeCell ref="H2:H3"/>
    <mergeCell ref="H4:H5"/>
    <mergeCell ref="H6:H7"/>
    <mergeCell ref="H8:H9"/>
  </mergeCells>
  <pageMargins left="0.393999993801117" right="0.393999993801117" top="0.59100002050399802" bottom="0.59100002050399802" header="0" footer="0"/>
  <pageSetup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6BE76-0F05-4CBE-B594-FBAE97DBCAFB}">
  <sheetPr>
    <tabColor rgb="FF92D050"/>
  </sheetPr>
  <dimension ref="A1:K104"/>
  <sheetViews>
    <sheetView showGridLines="0" view="pageBreakPreview" zoomScale="115" zoomScaleNormal="100" zoomScaleSheetLayoutView="115" workbookViewId="0">
      <pane ySplit="3" topLeftCell="A4" activePane="bottomLeft" state="frozen"/>
      <selection pane="bottomLeft" activeCell="I24" sqref="I24"/>
    </sheetView>
  </sheetViews>
  <sheetFormatPr defaultRowHeight="12.75"/>
  <cols>
    <col min="1" max="1" width="1.7109375" style="82" customWidth="1"/>
    <col min="2" max="2" width="7.140625" style="82" customWidth="1"/>
    <col min="3" max="3" width="80.140625" style="82" customWidth="1"/>
    <col min="4" max="4" width="4.42578125" style="83" customWidth="1"/>
    <col min="5" max="5" width="8.5703125" style="84" bestFit="1" customWidth="1"/>
    <col min="6" max="6" width="1.7109375" style="82" customWidth="1"/>
    <col min="7" max="7" width="3" style="82" customWidth="1"/>
    <col min="8" max="16384" width="9.140625" style="82"/>
  </cols>
  <sheetData>
    <row r="1" spans="2:11" ht="12.95" customHeight="1"/>
    <row r="2" spans="2:11" ht="12.95" customHeight="1">
      <c r="B2" s="640" t="s">
        <v>1135</v>
      </c>
      <c r="C2" s="642" t="s">
        <v>1136</v>
      </c>
      <c r="D2" s="642" t="s">
        <v>1137</v>
      </c>
      <c r="E2" s="644" t="s">
        <v>1138</v>
      </c>
      <c r="H2" s="85" t="s">
        <v>1139</v>
      </c>
      <c r="I2" s="86"/>
      <c r="J2" s="87" t="s">
        <v>1140</v>
      </c>
      <c r="K2" s="88"/>
    </row>
    <row r="3" spans="2:11">
      <c r="B3" s="641"/>
      <c r="C3" s="643"/>
      <c r="D3" s="643"/>
      <c r="E3" s="645"/>
      <c r="H3" s="89" t="s">
        <v>1141</v>
      </c>
      <c r="I3" s="89" t="s">
        <v>1142</v>
      </c>
      <c r="J3" s="90" t="s">
        <v>1141</v>
      </c>
      <c r="K3" s="90" t="s">
        <v>1142</v>
      </c>
    </row>
    <row r="4" spans="2:11" ht="13.5" thickBot="1">
      <c r="B4" s="91"/>
      <c r="C4" s="91"/>
      <c r="D4" s="91"/>
      <c r="E4" s="91"/>
      <c r="H4" s="92"/>
      <c r="I4" s="93"/>
      <c r="J4" s="94"/>
      <c r="K4" s="95"/>
    </row>
    <row r="5" spans="2:11" s="100" customFormat="1" ht="18" customHeight="1" thickTop="1" thickBot="1">
      <c r="B5" s="96">
        <v>1</v>
      </c>
      <c r="C5" s="97" t="s">
        <v>1143</v>
      </c>
      <c r="D5" s="98"/>
      <c r="E5" s="99"/>
      <c r="H5" s="101"/>
      <c r="I5" s="102"/>
      <c r="J5" s="646">
        <f>SUM(J6:K17)</f>
        <v>0</v>
      </c>
      <c r="K5" s="647"/>
    </row>
    <row r="6" spans="2:11" s="105" customFormat="1" ht="12.95" customHeight="1" thickTop="1">
      <c r="B6" s="655" t="s">
        <v>1144</v>
      </c>
      <c r="C6" s="103" t="s">
        <v>1145</v>
      </c>
      <c r="D6" s="657" t="s">
        <v>805</v>
      </c>
      <c r="E6" s="658">
        <v>1</v>
      </c>
      <c r="F6" s="104"/>
      <c r="H6" s="528"/>
      <c r="I6" s="529"/>
      <c r="J6" s="108">
        <f>E6*H6</f>
        <v>0</v>
      </c>
      <c r="K6" s="109">
        <f>E6*I6</f>
        <v>0</v>
      </c>
    </row>
    <row r="7" spans="2:11" s="105" customFormat="1" ht="12.95" customHeight="1">
      <c r="B7" s="656"/>
      <c r="C7" s="110" t="s">
        <v>1146</v>
      </c>
      <c r="D7" s="653"/>
      <c r="E7" s="654"/>
      <c r="F7" s="104"/>
      <c r="H7" s="530"/>
      <c r="I7" s="531"/>
      <c r="J7" s="111"/>
      <c r="K7" s="112"/>
    </row>
    <row r="8" spans="2:11" s="105" customFormat="1" ht="12.95" customHeight="1">
      <c r="B8" s="656"/>
      <c r="C8" s="110" t="s">
        <v>1147</v>
      </c>
      <c r="D8" s="653"/>
      <c r="E8" s="654"/>
      <c r="F8" s="104"/>
      <c r="H8" s="530"/>
      <c r="I8" s="531"/>
      <c r="J8" s="111"/>
      <c r="K8" s="112"/>
    </row>
    <row r="9" spans="2:11" s="105" customFormat="1" ht="12.95" customHeight="1">
      <c r="B9" s="656"/>
      <c r="C9" s="110" t="s">
        <v>1148</v>
      </c>
      <c r="D9" s="653"/>
      <c r="E9" s="654"/>
      <c r="F9" s="104"/>
      <c r="H9" s="530"/>
      <c r="I9" s="531"/>
      <c r="J9" s="111"/>
      <c r="K9" s="112"/>
    </row>
    <row r="10" spans="2:11" s="105" customFormat="1" ht="12.95" customHeight="1">
      <c r="B10" s="650"/>
      <c r="C10" s="110" t="s">
        <v>1149</v>
      </c>
      <c r="D10" s="651"/>
      <c r="E10" s="652"/>
      <c r="F10" s="104"/>
      <c r="H10" s="532"/>
      <c r="I10" s="533"/>
      <c r="J10" s="111"/>
      <c r="K10" s="112"/>
    </row>
    <row r="11" spans="2:11" s="105" customFormat="1" ht="12.95" customHeight="1">
      <c r="B11" s="650"/>
      <c r="C11" s="110" t="s">
        <v>1150</v>
      </c>
      <c r="D11" s="651"/>
      <c r="E11" s="652"/>
      <c r="F11" s="104"/>
      <c r="H11" s="532"/>
      <c r="I11" s="533"/>
      <c r="J11" s="111"/>
      <c r="K11" s="112"/>
    </row>
    <row r="12" spans="2:11" s="105" customFormat="1">
      <c r="B12" s="650"/>
      <c r="C12" s="110" t="s">
        <v>1151</v>
      </c>
      <c r="D12" s="651"/>
      <c r="E12" s="652"/>
      <c r="F12" s="104"/>
      <c r="H12" s="532"/>
      <c r="I12" s="534"/>
      <c r="J12" s="111"/>
      <c r="K12" s="112"/>
    </row>
    <row r="13" spans="2:11" s="105" customFormat="1" ht="12.95" customHeight="1">
      <c r="B13" s="650" t="s">
        <v>1152</v>
      </c>
      <c r="C13" s="103" t="s">
        <v>1153</v>
      </c>
      <c r="D13" s="651" t="s">
        <v>805</v>
      </c>
      <c r="E13" s="652">
        <v>1</v>
      </c>
      <c r="F13" s="104"/>
      <c r="H13" s="528"/>
      <c r="I13" s="529"/>
      <c r="J13" s="108">
        <f>E13*H13</f>
        <v>0</v>
      </c>
      <c r="K13" s="109">
        <f>E13*I13</f>
        <v>0</v>
      </c>
    </row>
    <row r="14" spans="2:11" s="105" customFormat="1" ht="12.95" customHeight="1">
      <c r="B14" s="650"/>
      <c r="C14" s="110" t="s">
        <v>1154</v>
      </c>
      <c r="D14" s="651"/>
      <c r="E14" s="652"/>
      <c r="F14" s="104"/>
      <c r="H14" s="532"/>
      <c r="I14" s="533"/>
      <c r="J14" s="111"/>
      <c r="K14" s="112"/>
    </row>
    <row r="15" spans="2:11" s="105" customFormat="1" ht="12.95" customHeight="1">
      <c r="B15" s="650"/>
      <c r="C15" s="110" t="s">
        <v>1155</v>
      </c>
      <c r="D15" s="651"/>
      <c r="E15" s="652"/>
      <c r="F15" s="104"/>
      <c r="H15" s="532"/>
      <c r="I15" s="533"/>
      <c r="J15" s="111"/>
      <c r="K15" s="112"/>
    </row>
    <row r="16" spans="2:11" s="105" customFormat="1" ht="25.5">
      <c r="B16" s="650"/>
      <c r="C16" s="110" t="s">
        <v>1156</v>
      </c>
      <c r="D16" s="651"/>
      <c r="E16" s="652"/>
      <c r="F16" s="104"/>
      <c r="H16" s="535"/>
      <c r="I16" s="536"/>
      <c r="J16" s="114"/>
      <c r="K16" s="115"/>
    </row>
    <row r="17" spans="2:11" s="105" customFormat="1" ht="12.95" customHeight="1">
      <c r="B17" s="650" t="s">
        <v>1157</v>
      </c>
      <c r="C17" s="103" t="s">
        <v>1158</v>
      </c>
      <c r="D17" s="653" t="s">
        <v>805</v>
      </c>
      <c r="E17" s="654">
        <v>1</v>
      </c>
      <c r="F17" s="104"/>
      <c r="H17" s="528"/>
      <c r="I17" s="529"/>
      <c r="J17" s="108">
        <f>E17*H17</f>
        <v>0</v>
      </c>
      <c r="K17" s="109">
        <f>E17*I17</f>
        <v>0</v>
      </c>
    </row>
    <row r="18" spans="2:11" s="105" customFormat="1" ht="12.95" customHeight="1">
      <c r="B18" s="650"/>
      <c r="C18" s="110" t="s">
        <v>1154</v>
      </c>
      <c r="D18" s="651"/>
      <c r="E18" s="652"/>
      <c r="F18" s="104"/>
      <c r="H18" s="532"/>
      <c r="I18" s="533"/>
      <c r="J18" s="111"/>
      <c r="K18" s="112"/>
    </row>
    <row r="19" spans="2:11" s="105" customFormat="1" ht="12.95" customHeight="1">
      <c r="B19" s="650"/>
      <c r="C19" s="110" t="s">
        <v>1155</v>
      </c>
      <c r="D19" s="651"/>
      <c r="E19" s="652"/>
      <c r="F19" s="104"/>
      <c r="H19" s="535"/>
      <c r="I19" s="536"/>
      <c r="J19" s="114"/>
      <c r="K19" s="115"/>
    </row>
    <row r="20" spans="2:11" s="105" customFormat="1" ht="25.5">
      <c r="B20" s="650"/>
      <c r="C20" s="110" t="s">
        <v>1156</v>
      </c>
      <c r="D20" s="651"/>
      <c r="E20" s="652"/>
      <c r="F20" s="104"/>
      <c r="H20" s="537"/>
      <c r="I20" s="538"/>
      <c r="J20" s="116"/>
      <c r="K20" s="117"/>
    </row>
    <row r="21" spans="2:11" ht="13.5" thickBot="1">
      <c r="B21" s="118"/>
      <c r="C21" s="119"/>
      <c r="D21" s="120"/>
      <c r="E21" s="121"/>
    </row>
    <row r="22" spans="2:11" s="100" customFormat="1" ht="18" customHeight="1" thickTop="1" thickBot="1">
      <c r="B22" s="96">
        <v>2</v>
      </c>
      <c r="C22" s="97" t="s">
        <v>1159</v>
      </c>
      <c r="D22" s="98"/>
      <c r="E22" s="99"/>
      <c r="H22" s="122"/>
      <c r="I22" s="123"/>
      <c r="J22" s="648">
        <f>SUM(J23:K32)</f>
        <v>0</v>
      </c>
      <c r="K22" s="649"/>
    </row>
    <row r="23" spans="2:11" ht="64.5" thickTop="1">
      <c r="B23" s="124" t="s">
        <v>1160</v>
      </c>
      <c r="C23" s="125" t="s">
        <v>1161</v>
      </c>
      <c r="D23" s="126" t="s">
        <v>805</v>
      </c>
      <c r="E23" s="127">
        <v>3</v>
      </c>
      <c r="H23" s="528"/>
      <c r="I23" s="529"/>
      <c r="J23" s="106">
        <f t="shared" ref="J23:J32" si="0">E23*H23</f>
        <v>0</v>
      </c>
      <c r="K23" s="107">
        <f t="shared" ref="K23:K32" si="1">E23*I23</f>
        <v>0</v>
      </c>
    </row>
    <row r="24" spans="2:11" ht="51">
      <c r="B24" s="124" t="s">
        <v>1162</v>
      </c>
      <c r="C24" s="128" t="s">
        <v>1163</v>
      </c>
      <c r="D24" s="126" t="s">
        <v>805</v>
      </c>
      <c r="E24" s="127">
        <v>5</v>
      </c>
      <c r="H24" s="528"/>
      <c r="I24" s="529"/>
      <c r="J24" s="106">
        <f t="shared" si="0"/>
        <v>0</v>
      </c>
      <c r="K24" s="107">
        <f t="shared" si="1"/>
        <v>0</v>
      </c>
    </row>
    <row r="25" spans="2:11" ht="51">
      <c r="B25" s="124" t="s">
        <v>1164</v>
      </c>
      <c r="C25" s="128" t="s">
        <v>1165</v>
      </c>
      <c r="D25" s="126" t="s">
        <v>805</v>
      </c>
      <c r="E25" s="127">
        <v>2</v>
      </c>
      <c r="H25" s="528"/>
      <c r="I25" s="529"/>
      <c r="J25" s="106">
        <f t="shared" si="0"/>
        <v>0</v>
      </c>
      <c r="K25" s="107">
        <f t="shared" si="1"/>
        <v>0</v>
      </c>
    </row>
    <row r="26" spans="2:11" ht="51">
      <c r="B26" s="124" t="s">
        <v>1166</v>
      </c>
      <c r="C26" s="128" t="s">
        <v>1167</v>
      </c>
      <c r="D26" s="126" t="s">
        <v>805</v>
      </c>
      <c r="E26" s="127">
        <v>11</v>
      </c>
      <c r="H26" s="528"/>
      <c r="I26" s="529"/>
      <c r="J26" s="106">
        <f t="shared" si="0"/>
        <v>0</v>
      </c>
      <c r="K26" s="107">
        <f t="shared" si="1"/>
        <v>0</v>
      </c>
    </row>
    <row r="27" spans="2:11" ht="51">
      <c r="B27" s="124" t="s">
        <v>1168</v>
      </c>
      <c r="C27" s="128" t="s">
        <v>1169</v>
      </c>
      <c r="D27" s="126" t="s">
        <v>805</v>
      </c>
      <c r="E27" s="127">
        <v>4</v>
      </c>
      <c r="H27" s="528"/>
      <c r="I27" s="529"/>
      <c r="J27" s="106">
        <f t="shared" si="0"/>
        <v>0</v>
      </c>
      <c r="K27" s="107">
        <f t="shared" si="1"/>
        <v>0</v>
      </c>
    </row>
    <row r="28" spans="2:11" ht="63.75">
      <c r="B28" s="124" t="s">
        <v>1170</v>
      </c>
      <c r="C28" s="125" t="s">
        <v>1171</v>
      </c>
      <c r="D28" s="126" t="s">
        <v>805</v>
      </c>
      <c r="E28" s="127">
        <v>60</v>
      </c>
      <c r="H28" s="528"/>
      <c r="I28" s="529"/>
      <c r="J28" s="106">
        <f t="shared" si="0"/>
        <v>0</v>
      </c>
      <c r="K28" s="107">
        <f t="shared" si="1"/>
        <v>0</v>
      </c>
    </row>
    <row r="29" spans="2:11" ht="76.5">
      <c r="B29" s="124" t="s">
        <v>1172</v>
      </c>
      <c r="C29" s="125" t="s">
        <v>1173</v>
      </c>
      <c r="D29" s="126"/>
      <c r="E29" s="127">
        <v>3</v>
      </c>
      <c r="H29" s="528"/>
      <c r="I29" s="529"/>
      <c r="J29" s="106">
        <f t="shared" si="0"/>
        <v>0</v>
      </c>
      <c r="K29" s="107">
        <f t="shared" si="1"/>
        <v>0</v>
      </c>
    </row>
    <row r="30" spans="2:11" ht="25.5">
      <c r="B30" s="124" t="s">
        <v>1174</v>
      </c>
      <c r="C30" s="128" t="s">
        <v>1175</v>
      </c>
      <c r="D30" s="126" t="s">
        <v>805</v>
      </c>
      <c r="E30" s="127">
        <v>3</v>
      </c>
      <c r="H30" s="528"/>
      <c r="I30" s="529"/>
      <c r="J30" s="106">
        <f t="shared" si="0"/>
        <v>0</v>
      </c>
      <c r="K30" s="107">
        <f t="shared" si="1"/>
        <v>0</v>
      </c>
    </row>
    <row r="31" spans="2:11">
      <c r="B31" s="124" t="s">
        <v>1176</v>
      </c>
      <c r="C31" s="128" t="s">
        <v>1177</v>
      </c>
      <c r="D31" s="126" t="s">
        <v>805</v>
      </c>
      <c r="E31" s="127">
        <v>4</v>
      </c>
      <c r="H31" s="528"/>
      <c r="I31" s="529"/>
      <c r="J31" s="106">
        <f t="shared" si="0"/>
        <v>0</v>
      </c>
      <c r="K31" s="107">
        <f t="shared" si="1"/>
        <v>0</v>
      </c>
    </row>
    <row r="32" spans="2:11">
      <c r="B32" s="124" t="s">
        <v>1178</v>
      </c>
      <c r="C32" s="128" t="s">
        <v>1179</v>
      </c>
      <c r="D32" s="113" t="s">
        <v>805</v>
      </c>
      <c r="E32" s="129">
        <v>5</v>
      </c>
      <c r="H32" s="528"/>
      <c r="I32" s="529"/>
      <c r="J32" s="106">
        <f t="shared" si="0"/>
        <v>0</v>
      </c>
      <c r="K32" s="107">
        <f t="shared" si="1"/>
        <v>0</v>
      </c>
    </row>
    <row r="33" spans="1:11" s="135" customFormat="1" ht="13.5">
      <c r="A33" s="82"/>
      <c r="B33" s="130"/>
      <c r="C33" s="131" t="s">
        <v>1180</v>
      </c>
      <c r="D33" s="132"/>
      <c r="E33" s="133"/>
      <c r="F33" s="134"/>
      <c r="H33" s="106"/>
      <c r="I33" s="107"/>
      <c r="J33" s="106"/>
      <c r="K33" s="107"/>
    </row>
    <row r="34" spans="1:11" ht="13.5" thickBot="1">
      <c r="B34" s="136"/>
      <c r="C34" s="137"/>
      <c r="D34" s="138"/>
      <c r="E34" s="139"/>
      <c r="H34" s="106"/>
      <c r="I34" s="107"/>
      <c r="J34" s="106"/>
      <c r="K34" s="107"/>
    </row>
    <row r="35" spans="1:11" s="100" customFormat="1" ht="18" customHeight="1" thickTop="1" thickBot="1">
      <c r="B35" s="96">
        <v>3</v>
      </c>
      <c r="C35" s="97" t="s">
        <v>1181</v>
      </c>
      <c r="D35" s="98"/>
      <c r="E35" s="99"/>
      <c r="H35" s="122"/>
      <c r="I35" s="123"/>
      <c r="J35" s="648">
        <f>SUM(J36:K47)</f>
        <v>0</v>
      </c>
      <c r="K35" s="649"/>
    </row>
    <row r="36" spans="1:11" ht="26.25" thickTop="1">
      <c r="B36" s="124" t="s">
        <v>1182</v>
      </c>
      <c r="C36" s="140" t="s">
        <v>1183</v>
      </c>
      <c r="D36" s="126" t="s">
        <v>805</v>
      </c>
      <c r="E36" s="127">
        <v>19</v>
      </c>
      <c r="H36" s="528"/>
      <c r="I36" s="529"/>
      <c r="J36" s="106">
        <f t="shared" ref="J36:J47" si="2">E36*H36</f>
        <v>0</v>
      </c>
      <c r="K36" s="107">
        <f t="shared" ref="K36:K47" si="3">E36*I36</f>
        <v>0</v>
      </c>
    </row>
    <row r="37" spans="1:11" ht="25.5">
      <c r="B37" s="124" t="s">
        <v>1184</v>
      </c>
      <c r="C37" s="140" t="s">
        <v>1185</v>
      </c>
      <c r="D37" s="126" t="s">
        <v>805</v>
      </c>
      <c r="E37" s="127">
        <v>2</v>
      </c>
      <c r="H37" s="528"/>
      <c r="I37" s="529"/>
      <c r="J37" s="106">
        <f t="shared" si="2"/>
        <v>0</v>
      </c>
      <c r="K37" s="107">
        <f t="shared" si="3"/>
        <v>0</v>
      </c>
    </row>
    <row r="38" spans="1:11" ht="25.5">
      <c r="B38" s="124" t="s">
        <v>1186</v>
      </c>
      <c r="C38" s="140" t="s">
        <v>1187</v>
      </c>
      <c r="D38" s="126" t="s">
        <v>805</v>
      </c>
      <c r="E38" s="127">
        <v>37</v>
      </c>
      <c r="H38" s="528"/>
      <c r="I38" s="529"/>
      <c r="J38" s="106">
        <f t="shared" si="2"/>
        <v>0</v>
      </c>
      <c r="K38" s="107">
        <f t="shared" si="3"/>
        <v>0</v>
      </c>
    </row>
    <row r="39" spans="1:11" ht="25.5">
      <c r="B39" s="124" t="s">
        <v>1188</v>
      </c>
      <c r="C39" s="140" t="s">
        <v>1189</v>
      </c>
      <c r="D39" s="126" t="s">
        <v>805</v>
      </c>
      <c r="E39" s="127">
        <v>4</v>
      </c>
      <c r="H39" s="528"/>
      <c r="I39" s="529"/>
      <c r="J39" s="106">
        <f t="shared" si="2"/>
        <v>0</v>
      </c>
      <c r="K39" s="107">
        <f t="shared" si="3"/>
        <v>0</v>
      </c>
    </row>
    <row r="40" spans="1:11" ht="25.5">
      <c r="B40" s="124" t="s">
        <v>1190</v>
      </c>
      <c r="C40" s="140" t="s">
        <v>1191</v>
      </c>
      <c r="D40" s="126" t="s">
        <v>805</v>
      </c>
      <c r="E40" s="127">
        <v>5</v>
      </c>
      <c r="H40" s="528"/>
      <c r="I40" s="529"/>
      <c r="J40" s="106">
        <f t="shared" si="2"/>
        <v>0</v>
      </c>
      <c r="K40" s="107">
        <f t="shared" si="3"/>
        <v>0</v>
      </c>
    </row>
    <row r="41" spans="1:11" ht="25.5">
      <c r="B41" s="124" t="s">
        <v>1192</v>
      </c>
      <c r="C41" s="128" t="s">
        <v>1193</v>
      </c>
      <c r="D41" s="126" t="s">
        <v>805</v>
      </c>
      <c r="E41" s="127">
        <v>5</v>
      </c>
      <c r="H41" s="528"/>
      <c r="I41" s="529"/>
      <c r="J41" s="106">
        <f t="shared" si="2"/>
        <v>0</v>
      </c>
      <c r="K41" s="107">
        <f t="shared" si="3"/>
        <v>0</v>
      </c>
    </row>
    <row r="42" spans="1:11" ht="38.25">
      <c r="B42" s="124" t="s">
        <v>1194</v>
      </c>
      <c r="C42" s="140" t="s">
        <v>1195</v>
      </c>
      <c r="D42" s="126" t="s">
        <v>805</v>
      </c>
      <c r="E42" s="127">
        <v>196</v>
      </c>
      <c r="H42" s="528"/>
      <c r="I42" s="529"/>
      <c r="J42" s="106">
        <f t="shared" si="2"/>
        <v>0</v>
      </c>
      <c r="K42" s="107">
        <f t="shared" si="3"/>
        <v>0</v>
      </c>
    </row>
    <row r="43" spans="1:11" ht="38.25">
      <c r="B43" s="124" t="s">
        <v>1196</v>
      </c>
      <c r="C43" s="140" t="s">
        <v>1197</v>
      </c>
      <c r="D43" s="126" t="s">
        <v>805</v>
      </c>
      <c r="E43" s="127">
        <v>2</v>
      </c>
      <c r="H43" s="528"/>
      <c r="I43" s="529"/>
      <c r="J43" s="106">
        <f t="shared" si="2"/>
        <v>0</v>
      </c>
      <c r="K43" s="107">
        <f t="shared" si="3"/>
        <v>0</v>
      </c>
    </row>
    <row r="44" spans="1:11" ht="25.5">
      <c r="B44" s="124" t="s">
        <v>1198</v>
      </c>
      <c r="C44" s="128" t="s">
        <v>1199</v>
      </c>
      <c r="D44" s="113" t="s">
        <v>805</v>
      </c>
      <c r="E44" s="129">
        <v>18</v>
      </c>
      <c r="H44" s="528"/>
      <c r="I44" s="529"/>
      <c r="J44" s="106">
        <f t="shared" si="2"/>
        <v>0</v>
      </c>
      <c r="K44" s="107">
        <f t="shared" si="3"/>
        <v>0</v>
      </c>
    </row>
    <row r="45" spans="1:11" ht="25.5">
      <c r="B45" s="124" t="s">
        <v>1200</v>
      </c>
      <c r="C45" s="128" t="s">
        <v>1201</v>
      </c>
      <c r="D45" s="113" t="s">
        <v>805</v>
      </c>
      <c r="E45" s="129">
        <v>5</v>
      </c>
      <c r="H45" s="528"/>
      <c r="I45" s="529"/>
      <c r="J45" s="106">
        <f t="shared" si="2"/>
        <v>0</v>
      </c>
      <c r="K45" s="107">
        <f t="shared" si="3"/>
        <v>0</v>
      </c>
    </row>
    <row r="46" spans="1:11">
      <c r="B46" s="124" t="s">
        <v>1202</v>
      </c>
      <c r="C46" s="128" t="s">
        <v>1203</v>
      </c>
      <c r="D46" s="113" t="s">
        <v>805</v>
      </c>
      <c r="E46" s="129">
        <v>1</v>
      </c>
      <c r="H46" s="528"/>
      <c r="I46" s="529"/>
      <c r="J46" s="106">
        <f t="shared" si="2"/>
        <v>0</v>
      </c>
      <c r="K46" s="107">
        <f t="shared" si="3"/>
        <v>0</v>
      </c>
    </row>
    <row r="47" spans="1:11" ht="25.5">
      <c r="B47" s="124" t="s">
        <v>1204</v>
      </c>
      <c r="C47" s="128" t="s">
        <v>1205</v>
      </c>
      <c r="D47" s="113" t="s">
        <v>1206</v>
      </c>
      <c r="E47" s="129">
        <v>1</v>
      </c>
      <c r="H47" s="528"/>
      <c r="I47" s="529"/>
      <c r="J47" s="106">
        <f t="shared" si="2"/>
        <v>0</v>
      </c>
      <c r="K47" s="107">
        <f t="shared" si="3"/>
        <v>0</v>
      </c>
    </row>
    <row r="48" spans="1:11" ht="13.5" thickBot="1">
      <c r="B48" s="141"/>
      <c r="C48" s="119"/>
      <c r="D48" s="142"/>
      <c r="E48" s="143"/>
      <c r="H48" s="106"/>
      <c r="I48" s="107"/>
      <c r="J48" s="106"/>
      <c r="K48" s="107"/>
    </row>
    <row r="49" spans="2:11" s="100" customFormat="1" ht="18" customHeight="1" thickTop="1" thickBot="1">
      <c r="B49" s="96">
        <v>4</v>
      </c>
      <c r="C49" s="97" t="s">
        <v>1207</v>
      </c>
      <c r="D49" s="98"/>
      <c r="E49" s="99"/>
      <c r="H49" s="122"/>
      <c r="I49" s="123"/>
      <c r="J49" s="648">
        <f>SUM(J50:K64)</f>
        <v>0</v>
      </c>
      <c r="K49" s="649"/>
    </row>
    <row r="50" spans="2:11" ht="13.5" thickTop="1">
      <c r="B50" s="124" t="s">
        <v>1208</v>
      </c>
      <c r="C50" s="144" t="s">
        <v>1209</v>
      </c>
      <c r="D50" s="145" t="s">
        <v>219</v>
      </c>
      <c r="E50" s="146">
        <v>60</v>
      </c>
      <c r="H50" s="528"/>
      <c r="I50" s="529"/>
      <c r="J50" s="106">
        <f t="shared" ref="J50:J64" si="4">E50*H50</f>
        <v>0</v>
      </c>
      <c r="K50" s="107">
        <f t="shared" ref="K50:K64" si="5">E50*I50</f>
        <v>0</v>
      </c>
    </row>
    <row r="51" spans="2:11">
      <c r="B51" s="124" t="s">
        <v>1210</v>
      </c>
      <c r="C51" s="144" t="s">
        <v>1211</v>
      </c>
      <c r="D51" s="145" t="s">
        <v>219</v>
      </c>
      <c r="E51" s="146">
        <v>85</v>
      </c>
      <c r="H51" s="528"/>
      <c r="I51" s="529"/>
      <c r="J51" s="106">
        <f t="shared" si="4"/>
        <v>0</v>
      </c>
      <c r="K51" s="107">
        <f t="shared" si="5"/>
        <v>0</v>
      </c>
    </row>
    <row r="52" spans="2:11">
      <c r="B52" s="124" t="s">
        <v>1212</v>
      </c>
      <c r="C52" s="144" t="s">
        <v>1213</v>
      </c>
      <c r="D52" s="145" t="s">
        <v>219</v>
      </c>
      <c r="E52" s="146">
        <v>50</v>
      </c>
      <c r="H52" s="528"/>
      <c r="I52" s="529"/>
      <c r="J52" s="106">
        <f t="shared" si="4"/>
        <v>0</v>
      </c>
      <c r="K52" s="107">
        <f t="shared" si="5"/>
        <v>0</v>
      </c>
    </row>
    <row r="53" spans="2:11">
      <c r="B53" s="124" t="s">
        <v>1214</v>
      </c>
      <c r="C53" s="103" t="s">
        <v>1215</v>
      </c>
      <c r="D53" s="113" t="s">
        <v>219</v>
      </c>
      <c r="E53" s="107">
        <v>75</v>
      </c>
      <c r="H53" s="528"/>
      <c r="I53" s="529"/>
      <c r="J53" s="106">
        <f t="shared" si="4"/>
        <v>0</v>
      </c>
      <c r="K53" s="107">
        <f t="shared" si="5"/>
        <v>0</v>
      </c>
    </row>
    <row r="54" spans="2:11">
      <c r="B54" s="124" t="s">
        <v>1216</v>
      </c>
      <c r="C54" s="103" t="s">
        <v>1217</v>
      </c>
      <c r="D54" s="113" t="s">
        <v>219</v>
      </c>
      <c r="E54" s="107">
        <v>30</v>
      </c>
      <c r="H54" s="528"/>
      <c r="I54" s="529"/>
      <c r="J54" s="106">
        <f t="shared" si="4"/>
        <v>0</v>
      </c>
      <c r="K54" s="107">
        <f t="shared" si="5"/>
        <v>0</v>
      </c>
    </row>
    <row r="55" spans="2:11">
      <c r="B55" s="124" t="s">
        <v>1218</v>
      </c>
      <c r="C55" s="103" t="s">
        <v>1219</v>
      </c>
      <c r="D55" s="113" t="s">
        <v>219</v>
      </c>
      <c r="E55" s="107">
        <v>250</v>
      </c>
      <c r="H55" s="528"/>
      <c r="I55" s="529"/>
      <c r="J55" s="106">
        <f t="shared" si="4"/>
        <v>0</v>
      </c>
      <c r="K55" s="107">
        <f t="shared" si="5"/>
        <v>0</v>
      </c>
    </row>
    <row r="56" spans="2:11">
      <c r="B56" s="124" t="s">
        <v>1220</v>
      </c>
      <c r="C56" s="103" t="s">
        <v>1221</v>
      </c>
      <c r="D56" s="113" t="s">
        <v>219</v>
      </c>
      <c r="E56" s="107">
        <v>2500</v>
      </c>
      <c r="H56" s="528"/>
      <c r="I56" s="529"/>
      <c r="J56" s="106">
        <f t="shared" si="4"/>
        <v>0</v>
      </c>
      <c r="K56" s="107">
        <f t="shared" si="5"/>
        <v>0</v>
      </c>
    </row>
    <row r="57" spans="2:11">
      <c r="B57" s="124" t="s">
        <v>1222</v>
      </c>
      <c r="C57" s="103" t="s">
        <v>1223</v>
      </c>
      <c r="D57" s="113" t="s">
        <v>219</v>
      </c>
      <c r="E57" s="107">
        <v>1500</v>
      </c>
      <c r="H57" s="528"/>
      <c r="I57" s="529"/>
      <c r="J57" s="106">
        <f t="shared" si="4"/>
        <v>0</v>
      </c>
      <c r="K57" s="107">
        <f t="shared" si="5"/>
        <v>0</v>
      </c>
    </row>
    <row r="58" spans="2:11">
      <c r="B58" s="124" t="s">
        <v>1224</v>
      </c>
      <c r="C58" s="103" t="s">
        <v>1225</v>
      </c>
      <c r="D58" s="113" t="s">
        <v>219</v>
      </c>
      <c r="E58" s="107">
        <v>220</v>
      </c>
      <c r="H58" s="528"/>
      <c r="I58" s="529"/>
      <c r="J58" s="106">
        <f t="shared" si="4"/>
        <v>0</v>
      </c>
      <c r="K58" s="107">
        <f t="shared" si="5"/>
        <v>0</v>
      </c>
    </row>
    <row r="59" spans="2:11">
      <c r="B59" s="124" t="s">
        <v>1226</v>
      </c>
      <c r="C59" s="103" t="s">
        <v>1227</v>
      </c>
      <c r="D59" s="113" t="s">
        <v>219</v>
      </c>
      <c r="E59" s="107">
        <v>10</v>
      </c>
      <c r="H59" s="528"/>
      <c r="I59" s="529"/>
      <c r="J59" s="106">
        <f t="shared" si="4"/>
        <v>0</v>
      </c>
      <c r="K59" s="107">
        <f t="shared" si="5"/>
        <v>0</v>
      </c>
    </row>
    <row r="60" spans="2:11">
      <c r="B60" s="124" t="s">
        <v>1228</v>
      </c>
      <c r="C60" s="103" t="s">
        <v>1229</v>
      </c>
      <c r="D60" s="113" t="s">
        <v>219</v>
      </c>
      <c r="E60" s="107">
        <v>200</v>
      </c>
      <c r="H60" s="528"/>
      <c r="I60" s="529"/>
      <c r="J60" s="106">
        <f t="shared" si="4"/>
        <v>0</v>
      </c>
      <c r="K60" s="107">
        <f t="shared" si="5"/>
        <v>0</v>
      </c>
    </row>
    <row r="61" spans="2:11">
      <c r="B61" s="124" t="s">
        <v>1230</v>
      </c>
      <c r="C61" s="103" t="s">
        <v>1231</v>
      </c>
      <c r="D61" s="113" t="s">
        <v>219</v>
      </c>
      <c r="E61" s="107">
        <v>150</v>
      </c>
      <c r="H61" s="528"/>
      <c r="I61" s="529"/>
      <c r="J61" s="106">
        <f t="shared" si="4"/>
        <v>0</v>
      </c>
      <c r="K61" s="107">
        <f t="shared" si="5"/>
        <v>0</v>
      </c>
    </row>
    <row r="62" spans="2:11">
      <c r="B62" s="124" t="s">
        <v>1232</v>
      </c>
      <c r="C62" s="103" t="s">
        <v>1233</v>
      </c>
      <c r="D62" s="113" t="s">
        <v>219</v>
      </c>
      <c r="E62" s="107">
        <v>400</v>
      </c>
      <c r="H62" s="528"/>
      <c r="I62" s="529"/>
      <c r="J62" s="106">
        <f t="shared" si="4"/>
        <v>0</v>
      </c>
      <c r="K62" s="107">
        <f t="shared" si="5"/>
        <v>0</v>
      </c>
    </row>
    <row r="63" spans="2:11">
      <c r="B63" s="124" t="s">
        <v>1234</v>
      </c>
      <c r="C63" s="103" t="s">
        <v>1235</v>
      </c>
      <c r="D63" s="147" t="s">
        <v>1206</v>
      </c>
      <c r="E63" s="146">
        <v>1</v>
      </c>
      <c r="H63" s="528"/>
      <c r="I63" s="529"/>
      <c r="J63" s="106">
        <f t="shared" si="4"/>
        <v>0</v>
      </c>
      <c r="K63" s="107">
        <f t="shared" si="5"/>
        <v>0</v>
      </c>
    </row>
    <row r="64" spans="2:11">
      <c r="B64" s="124" t="s">
        <v>1236</v>
      </c>
      <c r="C64" s="103" t="s">
        <v>1237</v>
      </c>
      <c r="D64" s="147" t="s">
        <v>1206</v>
      </c>
      <c r="E64" s="146">
        <v>1</v>
      </c>
      <c r="H64" s="528"/>
      <c r="I64" s="529"/>
      <c r="J64" s="106">
        <f t="shared" si="4"/>
        <v>0</v>
      </c>
      <c r="K64" s="107">
        <f t="shared" si="5"/>
        <v>0</v>
      </c>
    </row>
    <row r="65" spans="2:11" ht="13.5" thickBot="1">
      <c r="B65" s="118"/>
      <c r="C65" s="148"/>
      <c r="D65" s="120"/>
      <c r="E65" s="121"/>
      <c r="H65" s="106"/>
      <c r="I65" s="107"/>
      <c r="J65" s="106"/>
      <c r="K65" s="107"/>
    </row>
    <row r="66" spans="2:11" s="100" customFormat="1" ht="18" customHeight="1" thickTop="1" thickBot="1">
      <c r="B66" s="96">
        <v>5</v>
      </c>
      <c r="C66" s="97" t="s">
        <v>1238</v>
      </c>
      <c r="D66" s="98"/>
      <c r="E66" s="99"/>
      <c r="H66" s="122"/>
      <c r="I66" s="123"/>
      <c r="J66" s="648">
        <f>SUM(J67:K73)</f>
        <v>0</v>
      </c>
      <c r="K66" s="649"/>
    </row>
    <row r="67" spans="2:11" ht="13.5" thickTop="1">
      <c r="B67" s="149" t="s">
        <v>1239</v>
      </c>
      <c r="C67" s="125" t="s">
        <v>1240</v>
      </c>
      <c r="D67" s="126" t="s">
        <v>219</v>
      </c>
      <c r="E67" s="127">
        <v>45</v>
      </c>
      <c r="H67" s="528"/>
      <c r="I67" s="529"/>
      <c r="J67" s="106">
        <f>E67*H67</f>
        <v>0</v>
      </c>
      <c r="K67" s="107">
        <f>E67*I67</f>
        <v>0</v>
      </c>
    </row>
    <row r="68" spans="2:11">
      <c r="B68" s="149" t="s">
        <v>1241</v>
      </c>
      <c r="C68" s="125" t="s">
        <v>1242</v>
      </c>
      <c r="D68" s="126" t="s">
        <v>219</v>
      </c>
      <c r="E68" s="127">
        <v>15</v>
      </c>
      <c r="H68" s="528"/>
      <c r="I68" s="529"/>
      <c r="J68" s="106">
        <f t="shared" ref="J68:J73" si="6">E68*H68</f>
        <v>0</v>
      </c>
      <c r="K68" s="107">
        <f t="shared" ref="K68:K73" si="7">E68*I68</f>
        <v>0</v>
      </c>
    </row>
    <row r="69" spans="2:11">
      <c r="B69" s="149" t="s">
        <v>1243</v>
      </c>
      <c r="C69" s="125" t="s">
        <v>1244</v>
      </c>
      <c r="D69" s="126" t="s">
        <v>219</v>
      </c>
      <c r="E69" s="127">
        <v>95</v>
      </c>
      <c r="H69" s="528"/>
      <c r="I69" s="529"/>
      <c r="J69" s="106">
        <f t="shared" si="6"/>
        <v>0</v>
      </c>
      <c r="K69" s="107">
        <f t="shared" si="7"/>
        <v>0</v>
      </c>
    </row>
    <row r="70" spans="2:11">
      <c r="B70" s="149" t="s">
        <v>1245</v>
      </c>
      <c r="C70" s="128" t="s">
        <v>1246</v>
      </c>
      <c r="D70" s="126" t="s">
        <v>805</v>
      </c>
      <c r="E70" s="127">
        <v>500</v>
      </c>
      <c r="H70" s="528"/>
      <c r="I70" s="529"/>
      <c r="J70" s="106">
        <f t="shared" si="6"/>
        <v>0</v>
      </c>
      <c r="K70" s="107">
        <f t="shared" si="7"/>
        <v>0</v>
      </c>
    </row>
    <row r="71" spans="2:11">
      <c r="B71" s="149" t="s">
        <v>1247</v>
      </c>
      <c r="C71" s="150" t="s">
        <v>1248</v>
      </c>
      <c r="D71" s="113" t="s">
        <v>805</v>
      </c>
      <c r="E71" s="129">
        <v>5</v>
      </c>
      <c r="H71" s="528"/>
      <c r="I71" s="529"/>
      <c r="J71" s="106">
        <f t="shared" si="6"/>
        <v>0</v>
      </c>
      <c r="K71" s="107">
        <f t="shared" si="7"/>
        <v>0</v>
      </c>
    </row>
    <row r="72" spans="2:11">
      <c r="B72" s="149" t="s">
        <v>1249</v>
      </c>
      <c r="C72" s="128" t="s">
        <v>1250</v>
      </c>
      <c r="D72" s="126" t="s">
        <v>805</v>
      </c>
      <c r="E72" s="127">
        <v>15</v>
      </c>
      <c r="H72" s="528"/>
      <c r="I72" s="529"/>
      <c r="J72" s="106">
        <f t="shared" si="6"/>
        <v>0</v>
      </c>
      <c r="K72" s="107">
        <f t="shared" si="7"/>
        <v>0</v>
      </c>
    </row>
    <row r="73" spans="2:11">
      <c r="B73" s="149" t="s">
        <v>1251</v>
      </c>
      <c r="C73" s="151" t="s">
        <v>1252</v>
      </c>
      <c r="D73" s="145" t="s">
        <v>1206</v>
      </c>
      <c r="E73" s="107">
        <v>1</v>
      </c>
      <c r="H73" s="528"/>
      <c r="I73" s="529"/>
      <c r="J73" s="106">
        <f t="shared" si="6"/>
        <v>0</v>
      </c>
      <c r="K73" s="107">
        <f t="shared" si="7"/>
        <v>0</v>
      </c>
    </row>
    <row r="74" spans="2:11" ht="13.5" thickBot="1">
      <c r="B74" s="118"/>
      <c r="C74" s="148"/>
      <c r="D74" s="120"/>
      <c r="E74" s="121"/>
      <c r="H74" s="106"/>
      <c r="I74" s="107"/>
      <c r="J74" s="106"/>
      <c r="K74" s="107"/>
    </row>
    <row r="75" spans="2:11" s="100" customFormat="1" ht="18" customHeight="1" thickTop="1" thickBot="1">
      <c r="B75" s="96">
        <v>6</v>
      </c>
      <c r="C75" s="97" t="s">
        <v>1253</v>
      </c>
      <c r="D75" s="98"/>
      <c r="E75" s="99"/>
      <c r="H75" s="122"/>
      <c r="I75" s="123"/>
      <c r="J75" s="648">
        <f>SUM(J76:K76)</f>
        <v>0</v>
      </c>
      <c r="K75" s="649"/>
    </row>
    <row r="76" spans="2:11" s="105" customFormat="1" ht="13.5" thickTop="1">
      <c r="B76" s="124"/>
      <c r="C76" s="103" t="s">
        <v>1254</v>
      </c>
      <c r="D76" s="113"/>
      <c r="E76" s="129"/>
      <c r="F76" s="104"/>
      <c r="H76" s="106"/>
      <c r="I76" s="107"/>
      <c r="J76" s="152">
        <f t="shared" ref="J76" si="8">E76*H76</f>
        <v>0</v>
      </c>
      <c r="K76" s="152">
        <f t="shared" ref="K76" si="9">E76*I76</f>
        <v>0</v>
      </c>
    </row>
    <row r="77" spans="2:11" s="105" customFormat="1" ht="15.75" customHeight="1" thickBot="1">
      <c r="B77" s="124"/>
      <c r="C77" s="153"/>
      <c r="D77" s="113"/>
      <c r="E77" s="129"/>
      <c r="F77" s="104"/>
      <c r="H77" s="106"/>
      <c r="I77" s="107"/>
      <c r="J77" s="152"/>
      <c r="K77" s="152"/>
    </row>
    <row r="78" spans="2:11" ht="13.5" hidden="1" customHeight="1" thickBot="1">
      <c r="B78" s="141"/>
      <c r="C78" s="119"/>
      <c r="D78" s="142"/>
      <c r="E78" s="143"/>
      <c r="H78" s="106">
        <v>0</v>
      </c>
      <c r="I78" s="107">
        <v>20600</v>
      </c>
      <c r="J78" s="152">
        <f t="shared" ref="J78" si="10">E78*H78</f>
        <v>0</v>
      </c>
      <c r="K78" s="154">
        <f t="shared" ref="K78" si="11">E78*I78</f>
        <v>0</v>
      </c>
    </row>
    <row r="79" spans="2:11" s="100" customFormat="1" ht="18" customHeight="1" thickTop="1" thickBot="1">
      <c r="B79" s="96">
        <v>7</v>
      </c>
      <c r="C79" s="97" t="s">
        <v>1255</v>
      </c>
      <c r="D79" s="98"/>
      <c r="E79" s="99"/>
      <c r="H79" s="122"/>
      <c r="I79" s="123"/>
      <c r="J79" s="648">
        <f>SUM(J80:K85)</f>
        <v>0</v>
      </c>
      <c r="K79" s="649"/>
    </row>
    <row r="80" spans="2:11" ht="39" thickTop="1">
      <c r="B80" s="149" t="s">
        <v>1256</v>
      </c>
      <c r="C80" s="128" t="s">
        <v>1257</v>
      </c>
      <c r="D80" s="113" t="s">
        <v>1206</v>
      </c>
      <c r="E80" s="107">
        <v>1</v>
      </c>
      <c r="H80" s="528"/>
      <c r="I80" s="529"/>
      <c r="J80" s="106">
        <f t="shared" ref="J80:J85" si="12">E80*H80</f>
        <v>0</v>
      </c>
      <c r="K80" s="107">
        <f t="shared" ref="K80:K85" si="13">E80*I80</f>
        <v>0</v>
      </c>
    </row>
    <row r="81" spans="1:11">
      <c r="B81" s="149" t="s">
        <v>1258</v>
      </c>
      <c r="C81" s="155" t="s">
        <v>1259</v>
      </c>
      <c r="D81" s="147" t="s">
        <v>1260</v>
      </c>
      <c r="E81" s="146">
        <v>15</v>
      </c>
      <c r="H81" s="528"/>
      <c r="I81" s="529"/>
      <c r="J81" s="106">
        <f t="shared" si="12"/>
        <v>0</v>
      </c>
      <c r="K81" s="107">
        <f t="shared" si="13"/>
        <v>0</v>
      </c>
    </row>
    <row r="82" spans="1:11" ht="12.95" customHeight="1">
      <c r="B82" s="149" t="s">
        <v>1261</v>
      </c>
      <c r="C82" s="103" t="s">
        <v>1262</v>
      </c>
      <c r="D82" s="113" t="s">
        <v>1206</v>
      </c>
      <c r="E82" s="129">
        <v>1</v>
      </c>
      <c r="H82" s="528"/>
      <c r="I82" s="529"/>
      <c r="J82" s="106">
        <f t="shared" si="12"/>
        <v>0</v>
      </c>
      <c r="K82" s="107">
        <f t="shared" si="13"/>
        <v>0</v>
      </c>
    </row>
    <row r="83" spans="1:11" ht="12.95" customHeight="1">
      <c r="B83" s="149" t="s">
        <v>1263</v>
      </c>
      <c r="C83" s="103" t="s">
        <v>1264</v>
      </c>
      <c r="D83" s="113" t="s">
        <v>1206</v>
      </c>
      <c r="E83" s="129">
        <v>1</v>
      </c>
      <c r="H83" s="528"/>
      <c r="I83" s="529"/>
      <c r="J83" s="106">
        <f t="shared" si="12"/>
        <v>0</v>
      </c>
      <c r="K83" s="107">
        <f t="shared" si="13"/>
        <v>0</v>
      </c>
    </row>
    <row r="84" spans="1:11" ht="12.95" customHeight="1">
      <c r="B84" s="149" t="s">
        <v>1265</v>
      </c>
      <c r="C84" s="155" t="s">
        <v>1266</v>
      </c>
      <c r="D84" s="147" t="s">
        <v>1206</v>
      </c>
      <c r="E84" s="146">
        <v>1</v>
      </c>
      <c r="H84" s="528"/>
      <c r="I84" s="529"/>
      <c r="J84" s="106">
        <f t="shared" si="12"/>
        <v>0</v>
      </c>
      <c r="K84" s="107">
        <f t="shared" si="13"/>
        <v>0</v>
      </c>
    </row>
    <row r="85" spans="1:11" ht="12.95" customHeight="1">
      <c r="B85" s="149" t="s">
        <v>1267</v>
      </c>
      <c r="C85" s="155" t="s">
        <v>1268</v>
      </c>
      <c r="D85" s="147" t="s">
        <v>1206</v>
      </c>
      <c r="E85" s="146">
        <v>1</v>
      </c>
      <c r="H85" s="528"/>
      <c r="I85" s="529"/>
      <c r="J85" s="106">
        <f t="shared" si="12"/>
        <v>0</v>
      </c>
      <c r="K85" s="107">
        <f t="shared" si="13"/>
        <v>0</v>
      </c>
    </row>
    <row r="86" spans="1:11" ht="13.5" thickBot="1">
      <c r="B86" s="118"/>
      <c r="C86" s="148"/>
      <c r="D86" s="120"/>
      <c r="E86" s="121"/>
      <c r="H86" s="106"/>
      <c r="I86" s="107"/>
      <c r="J86" s="106"/>
      <c r="K86" s="107"/>
    </row>
    <row r="87" spans="1:11" s="100" customFormat="1" ht="18" customHeight="1" thickTop="1" thickBot="1">
      <c r="B87" s="96">
        <v>8</v>
      </c>
      <c r="C87" s="97" t="s">
        <v>1269</v>
      </c>
      <c r="D87" s="98"/>
      <c r="E87" s="99"/>
      <c r="H87" s="122"/>
      <c r="I87" s="123"/>
      <c r="J87" s="648">
        <f>SUM(J88:K93)</f>
        <v>0</v>
      </c>
      <c r="K87" s="649"/>
    </row>
    <row r="88" spans="1:11" ht="13.5" thickTop="1">
      <c r="B88" s="156" t="s">
        <v>1270</v>
      </c>
      <c r="C88" s="157" t="s">
        <v>1271</v>
      </c>
      <c r="D88" s="158" t="s">
        <v>1206</v>
      </c>
      <c r="E88" s="159">
        <v>1</v>
      </c>
      <c r="H88" s="528"/>
      <c r="I88" s="529"/>
      <c r="J88" s="106">
        <f t="shared" ref="J88:J93" si="14">E88*H88</f>
        <v>0</v>
      </c>
      <c r="K88" s="107">
        <f t="shared" ref="K88:K93" si="15">E88*I88</f>
        <v>0</v>
      </c>
    </row>
    <row r="89" spans="1:11">
      <c r="B89" s="149" t="s">
        <v>1272</v>
      </c>
      <c r="C89" s="155" t="s">
        <v>1273</v>
      </c>
      <c r="D89" s="147" t="s">
        <v>1206</v>
      </c>
      <c r="E89" s="146">
        <v>1</v>
      </c>
      <c r="H89" s="528"/>
      <c r="I89" s="529"/>
      <c r="J89" s="106">
        <f t="shared" si="14"/>
        <v>0</v>
      </c>
      <c r="K89" s="107">
        <f t="shared" si="15"/>
        <v>0</v>
      </c>
    </row>
    <row r="90" spans="1:11">
      <c r="B90" s="149" t="s">
        <v>1274</v>
      </c>
      <c r="C90" s="155" t="s">
        <v>1275</v>
      </c>
      <c r="D90" s="147" t="s">
        <v>1206</v>
      </c>
      <c r="E90" s="146">
        <v>1</v>
      </c>
      <c r="H90" s="528"/>
      <c r="I90" s="529"/>
      <c r="J90" s="106">
        <f t="shared" si="14"/>
        <v>0</v>
      </c>
      <c r="K90" s="107">
        <f t="shared" si="15"/>
        <v>0</v>
      </c>
    </row>
    <row r="91" spans="1:11">
      <c r="B91" s="149" t="s">
        <v>1276</v>
      </c>
      <c r="C91" s="155" t="s">
        <v>1277</v>
      </c>
      <c r="D91" s="147" t="s">
        <v>1278</v>
      </c>
      <c r="E91" s="146">
        <v>24</v>
      </c>
      <c r="H91" s="528"/>
      <c r="I91" s="529"/>
      <c r="J91" s="106">
        <f t="shared" si="14"/>
        <v>0</v>
      </c>
      <c r="K91" s="107">
        <f t="shared" si="15"/>
        <v>0</v>
      </c>
    </row>
    <row r="92" spans="1:11" ht="12.95" customHeight="1">
      <c r="B92" s="149" t="s">
        <v>1279</v>
      </c>
      <c r="C92" s="155" t="s">
        <v>1280</v>
      </c>
      <c r="D92" s="147" t="s">
        <v>1278</v>
      </c>
      <c r="E92" s="146">
        <v>16</v>
      </c>
      <c r="H92" s="528"/>
      <c r="I92" s="529"/>
      <c r="J92" s="106">
        <f t="shared" si="14"/>
        <v>0</v>
      </c>
      <c r="K92" s="107">
        <f t="shared" si="15"/>
        <v>0</v>
      </c>
    </row>
    <row r="93" spans="1:11" ht="12.95" customHeight="1">
      <c r="B93" s="160" t="s">
        <v>1281</v>
      </c>
      <c r="C93" s="161" t="s">
        <v>1282</v>
      </c>
      <c r="D93" s="162" t="s">
        <v>1206</v>
      </c>
      <c r="E93" s="163">
        <v>1</v>
      </c>
      <c r="H93" s="528"/>
      <c r="I93" s="529"/>
      <c r="J93" s="106">
        <f t="shared" si="14"/>
        <v>0</v>
      </c>
      <c r="K93" s="107">
        <f t="shared" si="15"/>
        <v>0</v>
      </c>
    </row>
    <row r="94" spans="1:11" ht="12.95" customHeight="1" thickBot="1">
      <c r="B94" s="164"/>
      <c r="C94" s="165"/>
      <c r="D94" s="120"/>
      <c r="E94" s="166"/>
      <c r="H94" s="167"/>
      <c r="I94" s="167"/>
      <c r="J94" s="167"/>
      <c r="K94" s="167"/>
    </row>
    <row r="95" spans="1:11" ht="14.25" thickTop="1" thickBot="1">
      <c r="A95" s="100"/>
      <c r="B95" s="96"/>
      <c r="C95" s="97" t="s">
        <v>1283</v>
      </c>
      <c r="D95" s="98"/>
      <c r="E95" s="99"/>
      <c r="F95" s="100"/>
      <c r="G95" s="100"/>
      <c r="H95" s="122"/>
      <c r="I95" s="123"/>
      <c r="J95" s="648">
        <f>J87+J79+J75+J66+J49+J35+J22+J5</f>
        <v>0</v>
      </c>
      <c r="K95" s="649"/>
    </row>
    <row r="96" spans="1:11" ht="13.5" thickTop="1">
      <c r="B96" s="168" t="s">
        <v>56</v>
      </c>
      <c r="C96" s="169"/>
      <c r="D96" s="169"/>
      <c r="E96" s="170"/>
    </row>
    <row r="97" spans="2:5" ht="24.95" customHeight="1">
      <c r="B97" s="659" t="s">
        <v>1284</v>
      </c>
      <c r="C97" s="659"/>
      <c r="D97" s="659"/>
      <c r="E97" s="659"/>
    </row>
    <row r="98" spans="2:5">
      <c r="B98" s="659" t="s">
        <v>1285</v>
      </c>
      <c r="C98" s="659"/>
      <c r="D98" s="659"/>
      <c r="E98" s="659"/>
    </row>
    <row r="99" spans="2:5">
      <c r="B99" s="659" t="s">
        <v>1286</v>
      </c>
      <c r="C99" s="659"/>
      <c r="D99" s="659"/>
      <c r="E99" s="659"/>
    </row>
    <row r="100" spans="2:5">
      <c r="B100" s="659" t="s">
        <v>1287</v>
      </c>
      <c r="C100" s="659"/>
      <c r="D100" s="659"/>
      <c r="E100" s="659"/>
    </row>
    <row r="101" spans="2:5">
      <c r="B101" s="659" t="s">
        <v>1288</v>
      </c>
      <c r="C101" s="659"/>
      <c r="D101" s="659"/>
      <c r="E101" s="659"/>
    </row>
    <row r="102" spans="2:5" ht="24.95" customHeight="1">
      <c r="B102" s="659" t="s">
        <v>1289</v>
      </c>
      <c r="C102" s="659"/>
      <c r="D102" s="659"/>
      <c r="E102" s="659"/>
    </row>
    <row r="103" spans="2:5">
      <c r="B103" s="659" t="s">
        <v>1290</v>
      </c>
      <c r="C103" s="659"/>
      <c r="D103" s="659"/>
      <c r="E103" s="659"/>
    </row>
    <row r="104" spans="2:5" ht="24.95" customHeight="1">
      <c r="B104" s="659" t="s">
        <v>1291</v>
      </c>
      <c r="C104" s="659"/>
      <c r="D104" s="659"/>
      <c r="E104" s="659"/>
    </row>
  </sheetData>
  <mergeCells count="30">
    <mergeCell ref="B103:E103"/>
    <mergeCell ref="B104:E104"/>
    <mergeCell ref="J87:K87"/>
    <mergeCell ref="J95:K95"/>
    <mergeCell ref="B97:E97"/>
    <mergeCell ref="B98:E98"/>
    <mergeCell ref="B99:E99"/>
    <mergeCell ref="B100:E100"/>
    <mergeCell ref="B6:B12"/>
    <mergeCell ref="D6:D12"/>
    <mergeCell ref="E6:E12"/>
    <mergeCell ref="B101:E101"/>
    <mergeCell ref="B102:E102"/>
    <mergeCell ref="J79:K79"/>
    <mergeCell ref="B13:B16"/>
    <mergeCell ref="D13:D16"/>
    <mergeCell ref="E13:E16"/>
    <mergeCell ref="B17:B20"/>
    <mergeCell ref="D17:D20"/>
    <mergeCell ref="E17:E20"/>
    <mergeCell ref="J22:K22"/>
    <mergeCell ref="J35:K35"/>
    <mergeCell ref="J49:K49"/>
    <mergeCell ref="J66:K66"/>
    <mergeCell ref="J75:K75"/>
    <mergeCell ref="B2:B3"/>
    <mergeCell ref="C2:C3"/>
    <mergeCell ref="D2:D3"/>
    <mergeCell ref="E2:E3"/>
    <mergeCell ref="J5:K5"/>
  </mergeCells>
  <printOptions horizontalCentered="1"/>
  <pageMargins left="0.70866141732283472" right="0.70866141732283472" top="0.78740157480314965" bottom="0.78740157480314965" header="0.31496062992125984" footer="0.31496062992125984"/>
  <pageSetup paperSize="9" scale="84" orientation="portrait" r:id="rId1"/>
  <headerFooter>
    <oddHeader>&amp;L&amp;"Arial,Tučné"&amp;9Nemocnice Nymburk
ortopedie
&amp;"Arial,Obyčejné"SO 01: 1.PP&amp;R&amp;"Arial,Obyčejné"&amp;9Silnoproudá elektrotechnika&amp;"Arial,Tučné"
Specifikace / výkaz výměr</oddHeader>
    <oddFooter>&amp;R&amp;"Arial,Obyčejné"&amp;9Strana: &amp;P/&amp;N</oddFooter>
  </headerFooter>
  <rowBreaks count="1" manualBreakCount="1">
    <brk id="7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7D7D6-2084-4E5C-BCB8-ECE437557274}">
  <sheetPr>
    <tabColor theme="3" tint="0.499984740745262"/>
    <pageSetUpPr fitToPage="1"/>
  </sheetPr>
  <dimension ref="A1:G47"/>
  <sheetViews>
    <sheetView view="pageBreakPreview" zoomScaleNormal="100" zoomScaleSheetLayoutView="100" workbookViewId="0">
      <pane ySplit="4" topLeftCell="A13" activePane="bottomLeft" state="frozen"/>
      <selection pane="bottomLeft" activeCell="F19" sqref="F19"/>
    </sheetView>
  </sheetViews>
  <sheetFormatPr defaultRowHeight="12.75"/>
  <cols>
    <col min="1" max="1" width="6.7109375" style="223" customWidth="1"/>
    <col min="2" max="2" width="6.7109375" style="174" customWidth="1"/>
    <col min="3" max="3" width="60.7109375" style="174" customWidth="1"/>
    <col min="4" max="4" width="9.5703125" style="224" customWidth="1"/>
    <col min="5" max="6" width="10.7109375" style="174" customWidth="1"/>
    <col min="7" max="256" width="9.140625" style="174"/>
    <col min="257" max="258" width="6.7109375" style="174" customWidth="1"/>
    <col min="259" max="259" width="60.7109375" style="174" customWidth="1"/>
    <col min="260" max="260" width="9.5703125" style="174" customWidth="1"/>
    <col min="261" max="262" width="10.7109375" style="174" customWidth="1"/>
    <col min="263" max="512" width="9.140625" style="174"/>
    <col min="513" max="514" width="6.7109375" style="174" customWidth="1"/>
    <col min="515" max="515" width="60.7109375" style="174" customWidth="1"/>
    <col min="516" max="516" width="9.5703125" style="174" customWidth="1"/>
    <col min="517" max="518" width="10.7109375" style="174" customWidth="1"/>
    <col min="519" max="768" width="9.140625" style="174"/>
    <col min="769" max="770" width="6.7109375" style="174" customWidth="1"/>
    <col min="771" max="771" width="60.7109375" style="174" customWidth="1"/>
    <col min="772" max="772" width="9.5703125" style="174" customWidth="1"/>
    <col min="773" max="774" width="10.7109375" style="174" customWidth="1"/>
    <col min="775" max="1024" width="9.140625" style="174"/>
    <col min="1025" max="1026" width="6.7109375" style="174" customWidth="1"/>
    <col min="1027" max="1027" width="60.7109375" style="174" customWidth="1"/>
    <col min="1028" max="1028" width="9.5703125" style="174" customWidth="1"/>
    <col min="1029" max="1030" width="10.7109375" style="174" customWidth="1"/>
    <col min="1031" max="1280" width="9.140625" style="174"/>
    <col min="1281" max="1282" width="6.7109375" style="174" customWidth="1"/>
    <col min="1283" max="1283" width="60.7109375" style="174" customWidth="1"/>
    <col min="1284" max="1284" width="9.5703125" style="174" customWidth="1"/>
    <col min="1285" max="1286" width="10.7109375" style="174" customWidth="1"/>
    <col min="1287" max="1536" width="9.140625" style="174"/>
    <col min="1537" max="1538" width="6.7109375" style="174" customWidth="1"/>
    <col min="1539" max="1539" width="60.7109375" style="174" customWidth="1"/>
    <col min="1540" max="1540" width="9.5703125" style="174" customWidth="1"/>
    <col min="1541" max="1542" width="10.7109375" style="174" customWidth="1"/>
    <col min="1543" max="1792" width="9.140625" style="174"/>
    <col min="1793" max="1794" width="6.7109375" style="174" customWidth="1"/>
    <col min="1795" max="1795" width="60.7109375" style="174" customWidth="1"/>
    <col min="1796" max="1796" width="9.5703125" style="174" customWidth="1"/>
    <col min="1797" max="1798" width="10.7109375" style="174" customWidth="1"/>
    <col min="1799" max="2048" width="9.140625" style="174"/>
    <col min="2049" max="2050" width="6.7109375" style="174" customWidth="1"/>
    <col min="2051" max="2051" width="60.7109375" style="174" customWidth="1"/>
    <col min="2052" max="2052" width="9.5703125" style="174" customWidth="1"/>
    <col min="2053" max="2054" width="10.7109375" style="174" customWidth="1"/>
    <col min="2055" max="2304" width="9.140625" style="174"/>
    <col min="2305" max="2306" width="6.7109375" style="174" customWidth="1"/>
    <col min="2307" max="2307" width="60.7109375" style="174" customWidth="1"/>
    <col min="2308" max="2308" width="9.5703125" style="174" customWidth="1"/>
    <col min="2309" max="2310" width="10.7109375" style="174" customWidth="1"/>
    <col min="2311" max="2560" width="9.140625" style="174"/>
    <col min="2561" max="2562" width="6.7109375" style="174" customWidth="1"/>
    <col min="2563" max="2563" width="60.7109375" style="174" customWidth="1"/>
    <col min="2564" max="2564" width="9.5703125" style="174" customWidth="1"/>
    <col min="2565" max="2566" width="10.7109375" style="174" customWidth="1"/>
    <col min="2567" max="2816" width="9.140625" style="174"/>
    <col min="2817" max="2818" width="6.7109375" style="174" customWidth="1"/>
    <col min="2819" max="2819" width="60.7109375" style="174" customWidth="1"/>
    <col min="2820" max="2820" width="9.5703125" style="174" customWidth="1"/>
    <col min="2821" max="2822" width="10.7109375" style="174" customWidth="1"/>
    <col min="2823" max="3072" width="9.140625" style="174"/>
    <col min="3073" max="3074" width="6.7109375" style="174" customWidth="1"/>
    <col min="3075" max="3075" width="60.7109375" style="174" customWidth="1"/>
    <col min="3076" max="3076" width="9.5703125" style="174" customWidth="1"/>
    <col min="3077" max="3078" width="10.7109375" style="174" customWidth="1"/>
    <col min="3079" max="3328" width="9.140625" style="174"/>
    <col min="3329" max="3330" width="6.7109375" style="174" customWidth="1"/>
    <col min="3331" max="3331" width="60.7109375" style="174" customWidth="1"/>
    <col min="3332" max="3332" width="9.5703125" style="174" customWidth="1"/>
    <col min="3333" max="3334" width="10.7109375" style="174" customWidth="1"/>
    <col min="3335" max="3584" width="9.140625" style="174"/>
    <col min="3585" max="3586" width="6.7109375" style="174" customWidth="1"/>
    <col min="3587" max="3587" width="60.7109375" style="174" customWidth="1"/>
    <col min="3588" max="3588" width="9.5703125" style="174" customWidth="1"/>
    <col min="3589" max="3590" width="10.7109375" style="174" customWidth="1"/>
    <col min="3591" max="3840" width="9.140625" style="174"/>
    <col min="3841" max="3842" width="6.7109375" style="174" customWidth="1"/>
    <col min="3843" max="3843" width="60.7109375" style="174" customWidth="1"/>
    <col min="3844" max="3844" width="9.5703125" style="174" customWidth="1"/>
    <col min="3845" max="3846" width="10.7109375" style="174" customWidth="1"/>
    <col min="3847" max="4096" width="9.140625" style="174"/>
    <col min="4097" max="4098" width="6.7109375" style="174" customWidth="1"/>
    <col min="4099" max="4099" width="60.7109375" style="174" customWidth="1"/>
    <col min="4100" max="4100" width="9.5703125" style="174" customWidth="1"/>
    <col min="4101" max="4102" width="10.7109375" style="174" customWidth="1"/>
    <col min="4103" max="4352" width="9.140625" style="174"/>
    <col min="4353" max="4354" width="6.7109375" style="174" customWidth="1"/>
    <col min="4355" max="4355" width="60.7109375" style="174" customWidth="1"/>
    <col min="4356" max="4356" width="9.5703125" style="174" customWidth="1"/>
    <col min="4357" max="4358" width="10.7109375" style="174" customWidth="1"/>
    <col min="4359" max="4608" width="9.140625" style="174"/>
    <col min="4609" max="4610" width="6.7109375" style="174" customWidth="1"/>
    <col min="4611" max="4611" width="60.7109375" style="174" customWidth="1"/>
    <col min="4612" max="4612" width="9.5703125" style="174" customWidth="1"/>
    <col min="4613" max="4614" width="10.7109375" style="174" customWidth="1"/>
    <col min="4615" max="4864" width="9.140625" style="174"/>
    <col min="4865" max="4866" width="6.7109375" style="174" customWidth="1"/>
    <col min="4867" max="4867" width="60.7109375" style="174" customWidth="1"/>
    <col min="4868" max="4868" width="9.5703125" style="174" customWidth="1"/>
    <col min="4869" max="4870" width="10.7109375" style="174" customWidth="1"/>
    <col min="4871" max="5120" width="9.140625" style="174"/>
    <col min="5121" max="5122" width="6.7109375" style="174" customWidth="1"/>
    <col min="5123" max="5123" width="60.7109375" style="174" customWidth="1"/>
    <col min="5124" max="5124" width="9.5703125" style="174" customWidth="1"/>
    <col min="5125" max="5126" width="10.7109375" style="174" customWidth="1"/>
    <col min="5127" max="5376" width="9.140625" style="174"/>
    <col min="5377" max="5378" width="6.7109375" style="174" customWidth="1"/>
    <col min="5379" max="5379" width="60.7109375" style="174" customWidth="1"/>
    <col min="5380" max="5380" width="9.5703125" style="174" customWidth="1"/>
    <col min="5381" max="5382" width="10.7109375" style="174" customWidth="1"/>
    <col min="5383" max="5632" width="9.140625" style="174"/>
    <col min="5633" max="5634" width="6.7109375" style="174" customWidth="1"/>
    <col min="5635" max="5635" width="60.7109375" style="174" customWidth="1"/>
    <col min="5636" max="5636" width="9.5703125" style="174" customWidth="1"/>
    <col min="5637" max="5638" width="10.7109375" style="174" customWidth="1"/>
    <col min="5639" max="5888" width="9.140625" style="174"/>
    <col min="5889" max="5890" width="6.7109375" style="174" customWidth="1"/>
    <col min="5891" max="5891" width="60.7109375" style="174" customWidth="1"/>
    <col min="5892" max="5892" width="9.5703125" style="174" customWidth="1"/>
    <col min="5893" max="5894" width="10.7109375" style="174" customWidth="1"/>
    <col min="5895" max="6144" width="9.140625" style="174"/>
    <col min="6145" max="6146" width="6.7109375" style="174" customWidth="1"/>
    <col min="6147" max="6147" width="60.7109375" style="174" customWidth="1"/>
    <col min="6148" max="6148" width="9.5703125" style="174" customWidth="1"/>
    <col min="6149" max="6150" width="10.7109375" style="174" customWidth="1"/>
    <col min="6151" max="6400" width="9.140625" style="174"/>
    <col min="6401" max="6402" width="6.7109375" style="174" customWidth="1"/>
    <col min="6403" max="6403" width="60.7109375" style="174" customWidth="1"/>
    <col min="6404" max="6404" width="9.5703125" style="174" customWidth="1"/>
    <col min="6405" max="6406" width="10.7109375" style="174" customWidth="1"/>
    <col min="6407" max="6656" width="9.140625" style="174"/>
    <col min="6657" max="6658" width="6.7109375" style="174" customWidth="1"/>
    <col min="6659" max="6659" width="60.7109375" style="174" customWidth="1"/>
    <col min="6660" max="6660" width="9.5703125" style="174" customWidth="1"/>
    <col min="6661" max="6662" width="10.7109375" style="174" customWidth="1"/>
    <col min="6663" max="6912" width="9.140625" style="174"/>
    <col min="6913" max="6914" width="6.7109375" style="174" customWidth="1"/>
    <col min="6915" max="6915" width="60.7109375" style="174" customWidth="1"/>
    <col min="6916" max="6916" width="9.5703125" style="174" customWidth="1"/>
    <col min="6917" max="6918" width="10.7109375" style="174" customWidth="1"/>
    <col min="6919" max="7168" width="9.140625" style="174"/>
    <col min="7169" max="7170" width="6.7109375" style="174" customWidth="1"/>
    <col min="7171" max="7171" width="60.7109375" style="174" customWidth="1"/>
    <col min="7172" max="7172" width="9.5703125" style="174" customWidth="1"/>
    <col min="7173" max="7174" width="10.7109375" style="174" customWidth="1"/>
    <col min="7175" max="7424" width="9.140625" style="174"/>
    <col min="7425" max="7426" width="6.7109375" style="174" customWidth="1"/>
    <col min="7427" max="7427" width="60.7109375" style="174" customWidth="1"/>
    <col min="7428" max="7428" width="9.5703125" style="174" customWidth="1"/>
    <col min="7429" max="7430" width="10.7109375" style="174" customWidth="1"/>
    <col min="7431" max="7680" width="9.140625" style="174"/>
    <col min="7681" max="7682" width="6.7109375" style="174" customWidth="1"/>
    <col min="7683" max="7683" width="60.7109375" style="174" customWidth="1"/>
    <col min="7684" max="7684" width="9.5703125" style="174" customWidth="1"/>
    <col min="7685" max="7686" width="10.7109375" style="174" customWidth="1"/>
    <col min="7687" max="7936" width="9.140625" style="174"/>
    <col min="7937" max="7938" width="6.7109375" style="174" customWidth="1"/>
    <col min="7939" max="7939" width="60.7109375" style="174" customWidth="1"/>
    <col min="7940" max="7940" width="9.5703125" style="174" customWidth="1"/>
    <col min="7941" max="7942" width="10.7109375" style="174" customWidth="1"/>
    <col min="7943" max="8192" width="9.140625" style="174"/>
    <col min="8193" max="8194" width="6.7109375" style="174" customWidth="1"/>
    <col min="8195" max="8195" width="60.7109375" style="174" customWidth="1"/>
    <col min="8196" max="8196" width="9.5703125" style="174" customWidth="1"/>
    <col min="8197" max="8198" width="10.7109375" style="174" customWidth="1"/>
    <col min="8199" max="8448" width="9.140625" style="174"/>
    <col min="8449" max="8450" width="6.7109375" style="174" customWidth="1"/>
    <col min="8451" max="8451" width="60.7109375" style="174" customWidth="1"/>
    <col min="8452" max="8452" width="9.5703125" style="174" customWidth="1"/>
    <col min="8453" max="8454" width="10.7109375" style="174" customWidth="1"/>
    <col min="8455" max="8704" width="9.140625" style="174"/>
    <col min="8705" max="8706" width="6.7109375" style="174" customWidth="1"/>
    <col min="8707" max="8707" width="60.7109375" style="174" customWidth="1"/>
    <col min="8708" max="8708" width="9.5703125" style="174" customWidth="1"/>
    <col min="8709" max="8710" width="10.7109375" style="174" customWidth="1"/>
    <col min="8711" max="8960" width="9.140625" style="174"/>
    <col min="8961" max="8962" width="6.7109375" style="174" customWidth="1"/>
    <col min="8963" max="8963" width="60.7109375" style="174" customWidth="1"/>
    <col min="8964" max="8964" width="9.5703125" style="174" customWidth="1"/>
    <col min="8965" max="8966" width="10.7109375" style="174" customWidth="1"/>
    <col min="8967" max="9216" width="9.140625" style="174"/>
    <col min="9217" max="9218" width="6.7109375" style="174" customWidth="1"/>
    <col min="9219" max="9219" width="60.7109375" style="174" customWidth="1"/>
    <col min="9220" max="9220" width="9.5703125" style="174" customWidth="1"/>
    <col min="9221" max="9222" width="10.7109375" style="174" customWidth="1"/>
    <col min="9223" max="9472" width="9.140625" style="174"/>
    <col min="9473" max="9474" width="6.7109375" style="174" customWidth="1"/>
    <col min="9475" max="9475" width="60.7109375" style="174" customWidth="1"/>
    <col min="9476" max="9476" width="9.5703125" style="174" customWidth="1"/>
    <col min="9477" max="9478" width="10.7109375" style="174" customWidth="1"/>
    <col min="9479" max="9728" width="9.140625" style="174"/>
    <col min="9729" max="9730" width="6.7109375" style="174" customWidth="1"/>
    <col min="9731" max="9731" width="60.7109375" style="174" customWidth="1"/>
    <col min="9732" max="9732" width="9.5703125" style="174" customWidth="1"/>
    <col min="9733" max="9734" width="10.7109375" style="174" customWidth="1"/>
    <col min="9735" max="9984" width="9.140625" style="174"/>
    <col min="9985" max="9986" width="6.7109375" style="174" customWidth="1"/>
    <col min="9987" max="9987" width="60.7109375" style="174" customWidth="1"/>
    <col min="9988" max="9988" width="9.5703125" style="174" customWidth="1"/>
    <col min="9989" max="9990" width="10.7109375" style="174" customWidth="1"/>
    <col min="9991" max="10240" width="9.140625" style="174"/>
    <col min="10241" max="10242" width="6.7109375" style="174" customWidth="1"/>
    <col min="10243" max="10243" width="60.7109375" style="174" customWidth="1"/>
    <col min="10244" max="10244" width="9.5703125" style="174" customWidth="1"/>
    <col min="10245" max="10246" width="10.7109375" style="174" customWidth="1"/>
    <col min="10247" max="10496" width="9.140625" style="174"/>
    <col min="10497" max="10498" width="6.7109375" style="174" customWidth="1"/>
    <col min="10499" max="10499" width="60.7109375" style="174" customWidth="1"/>
    <col min="10500" max="10500" width="9.5703125" style="174" customWidth="1"/>
    <col min="10501" max="10502" width="10.7109375" style="174" customWidth="1"/>
    <col min="10503" max="10752" width="9.140625" style="174"/>
    <col min="10753" max="10754" width="6.7109375" style="174" customWidth="1"/>
    <col min="10755" max="10755" width="60.7109375" style="174" customWidth="1"/>
    <col min="10756" max="10756" width="9.5703125" style="174" customWidth="1"/>
    <col min="10757" max="10758" width="10.7109375" style="174" customWidth="1"/>
    <col min="10759" max="11008" width="9.140625" style="174"/>
    <col min="11009" max="11010" width="6.7109375" style="174" customWidth="1"/>
    <col min="11011" max="11011" width="60.7109375" style="174" customWidth="1"/>
    <col min="11012" max="11012" width="9.5703125" style="174" customWidth="1"/>
    <col min="11013" max="11014" width="10.7109375" style="174" customWidth="1"/>
    <col min="11015" max="11264" width="9.140625" style="174"/>
    <col min="11265" max="11266" width="6.7109375" style="174" customWidth="1"/>
    <col min="11267" max="11267" width="60.7109375" style="174" customWidth="1"/>
    <col min="11268" max="11268" width="9.5703125" style="174" customWidth="1"/>
    <col min="11269" max="11270" width="10.7109375" style="174" customWidth="1"/>
    <col min="11271" max="11520" width="9.140625" style="174"/>
    <col min="11521" max="11522" width="6.7109375" style="174" customWidth="1"/>
    <col min="11523" max="11523" width="60.7109375" style="174" customWidth="1"/>
    <col min="11524" max="11524" width="9.5703125" style="174" customWidth="1"/>
    <col min="11525" max="11526" width="10.7109375" style="174" customWidth="1"/>
    <col min="11527" max="11776" width="9.140625" style="174"/>
    <col min="11777" max="11778" width="6.7109375" style="174" customWidth="1"/>
    <col min="11779" max="11779" width="60.7109375" style="174" customWidth="1"/>
    <col min="11780" max="11780" width="9.5703125" style="174" customWidth="1"/>
    <col min="11781" max="11782" width="10.7109375" style="174" customWidth="1"/>
    <col min="11783" max="12032" width="9.140625" style="174"/>
    <col min="12033" max="12034" width="6.7109375" style="174" customWidth="1"/>
    <col min="12035" max="12035" width="60.7109375" style="174" customWidth="1"/>
    <col min="12036" max="12036" width="9.5703125" style="174" customWidth="1"/>
    <col min="12037" max="12038" width="10.7109375" style="174" customWidth="1"/>
    <col min="12039" max="12288" width="9.140625" style="174"/>
    <col min="12289" max="12290" width="6.7109375" style="174" customWidth="1"/>
    <col min="12291" max="12291" width="60.7109375" style="174" customWidth="1"/>
    <col min="12292" max="12292" width="9.5703125" style="174" customWidth="1"/>
    <col min="12293" max="12294" width="10.7109375" style="174" customWidth="1"/>
    <col min="12295" max="12544" width="9.140625" style="174"/>
    <col min="12545" max="12546" width="6.7109375" style="174" customWidth="1"/>
    <col min="12547" max="12547" width="60.7109375" style="174" customWidth="1"/>
    <col min="12548" max="12548" width="9.5703125" style="174" customWidth="1"/>
    <col min="12549" max="12550" width="10.7109375" style="174" customWidth="1"/>
    <col min="12551" max="12800" width="9.140625" style="174"/>
    <col min="12801" max="12802" width="6.7109375" style="174" customWidth="1"/>
    <col min="12803" max="12803" width="60.7109375" style="174" customWidth="1"/>
    <col min="12804" max="12804" width="9.5703125" style="174" customWidth="1"/>
    <col min="12805" max="12806" width="10.7109375" style="174" customWidth="1"/>
    <col min="12807" max="13056" width="9.140625" style="174"/>
    <col min="13057" max="13058" width="6.7109375" style="174" customWidth="1"/>
    <col min="13059" max="13059" width="60.7109375" style="174" customWidth="1"/>
    <col min="13060" max="13060" width="9.5703125" style="174" customWidth="1"/>
    <col min="13061" max="13062" width="10.7109375" style="174" customWidth="1"/>
    <col min="13063" max="13312" width="9.140625" style="174"/>
    <col min="13313" max="13314" width="6.7109375" style="174" customWidth="1"/>
    <col min="13315" max="13315" width="60.7109375" style="174" customWidth="1"/>
    <col min="13316" max="13316" width="9.5703125" style="174" customWidth="1"/>
    <col min="13317" max="13318" width="10.7109375" style="174" customWidth="1"/>
    <col min="13319" max="13568" width="9.140625" style="174"/>
    <col min="13569" max="13570" width="6.7109375" style="174" customWidth="1"/>
    <col min="13571" max="13571" width="60.7109375" style="174" customWidth="1"/>
    <col min="13572" max="13572" width="9.5703125" style="174" customWidth="1"/>
    <col min="13573" max="13574" width="10.7109375" style="174" customWidth="1"/>
    <col min="13575" max="13824" width="9.140625" style="174"/>
    <col min="13825" max="13826" width="6.7109375" style="174" customWidth="1"/>
    <col min="13827" max="13827" width="60.7109375" style="174" customWidth="1"/>
    <col min="13828" max="13828" width="9.5703125" style="174" customWidth="1"/>
    <col min="13829" max="13830" width="10.7109375" style="174" customWidth="1"/>
    <col min="13831" max="14080" width="9.140625" style="174"/>
    <col min="14081" max="14082" width="6.7109375" style="174" customWidth="1"/>
    <col min="14083" max="14083" width="60.7109375" style="174" customWidth="1"/>
    <col min="14084" max="14084" width="9.5703125" style="174" customWidth="1"/>
    <col min="14085" max="14086" width="10.7109375" style="174" customWidth="1"/>
    <col min="14087" max="14336" width="9.140625" style="174"/>
    <col min="14337" max="14338" width="6.7109375" style="174" customWidth="1"/>
    <col min="14339" max="14339" width="60.7109375" style="174" customWidth="1"/>
    <col min="14340" max="14340" width="9.5703125" style="174" customWidth="1"/>
    <col min="14341" max="14342" width="10.7109375" style="174" customWidth="1"/>
    <col min="14343" max="14592" width="9.140625" style="174"/>
    <col min="14593" max="14594" width="6.7109375" style="174" customWidth="1"/>
    <col min="14595" max="14595" width="60.7109375" style="174" customWidth="1"/>
    <col min="14596" max="14596" width="9.5703125" style="174" customWidth="1"/>
    <col min="14597" max="14598" width="10.7109375" style="174" customWidth="1"/>
    <col min="14599" max="14848" width="9.140625" style="174"/>
    <col min="14849" max="14850" width="6.7109375" style="174" customWidth="1"/>
    <col min="14851" max="14851" width="60.7109375" style="174" customWidth="1"/>
    <col min="14852" max="14852" width="9.5703125" style="174" customWidth="1"/>
    <col min="14853" max="14854" width="10.7109375" style="174" customWidth="1"/>
    <col min="14855" max="15104" width="9.140625" style="174"/>
    <col min="15105" max="15106" width="6.7109375" style="174" customWidth="1"/>
    <col min="15107" max="15107" width="60.7109375" style="174" customWidth="1"/>
    <col min="15108" max="15108" width="9.5703125" style="174" customWidth="1"/>
    <col min="15109" max="15110" width="10.7109375" style="174" customWidth="1"/>
    <col min="15111" max="15360" width="9.140625" style="174"/>
    <col min="15361" max="15362" width="6.7109375" style="174" customWidth="1"/>
    <col min="15363" max="15363" width="60.7109375" style="174" customWidth="1"/>
    <col min="15364" max="15364" width="9.5703125" style="174" customWidth="1"/>
    <col min="15365" max="15366" width="10.7109375" style="174" customWidth="1"/>
    <col min="15367" max="15616" width="9.140625" style="174"/>
    <col min="15617" max="15618" width="6.7109375" style="174" customWidth="1"/>
    <col min="15619" max="15619" width="60.7109375" style="174" customWidth="1"/>
    <col min="15620" max="15620" width="9.5703125" style="174" customWidth="1"/>
    <col min="15621" max="15622" width="10.7109375" style="174" customWidth="1"/>
    <col min="15623" max="15872" width="9.140625" style="174"/>
    <col min="15873" max="15874" width="6.7109375" style="174" customWidth="1"/>
    <col min="15875" max="15875" width="60.7109375" style="174" customWidth="1"/>
    <col min="15876" max="15876" width="9.5703125" style="174" customWidth="1"/>
    <col min="15877" max="15878" width="10.7109375" style="174" customWidth="1"/>
    <col min="15879" max="16128" width="9.140625" style="174"/>
    <col min="16129" max="16130" width="6.7109375" style="174" customWidth="1"/>
    <col min="16131" max="16131" width="60.7109375" style="174" customWidth="1"/>
    <col min="16132" max="16132" width="9.5703125" style="174" customWidth="1"/>
    <col min="16133" max="16134" width="10.7109375" style="174" customWidth="1"/>
    <col min="16135" max="16384" width="9.140625" style="174"/>
  </cols>
  <sheetData>
    <row r="1" spans="1:7" ht="15">
      <c r="A1" s="662" t="s">
        <v>1292</v>
      </c>
      <c r="B1" s="662"/>
      <c r="C1" s="171" t="s">
        <v>1293</v>
      </c>
      <c r="D1" s="172" t="s">
        <v>1294</v>
      </c>
      <c r="E1" s="173" t="s">
        <v>89</v>
      </c>
      <c r="F1" s="663" t="s">
        <v>1295</v>
      </c>
      <c r="G1" s="663"/>
    </row>
    <row r="2" spans="1:7" ht="54">
      <c r="A2" s="175"/>
      <c r="B2" s="176"/>
      <c r="C2" s="177" t="s">
        <v>1296</v>
      </c>
      <c r="D2" s="178"/>
      <c r="E2" s="173"/>
      <c r="F2" s="173"/>
      <c r="G2" s="173"/>
    </row>
    <row r="3" spans="1:7" ht="15">
      <c r="A3" s="179"/>
      <c r="B3" s="180"/>
      <c r="C3" s="181"/>
      <c r="D3" s="182" t="s">
        <v>1297</v>
      </c>
      <c r="E3" s="173" t="s">
        <v>1298</v>
      </c>
      <c r="F3" s="173" t="s">
        <v>1299</v>
      </c>
      <c r="G3" s="183" t="s">
        <v>1283</v>
      </c>
    </row>
    <row r="4" spans="1:7" ht="15.75" thickBot="1">
      <c r="A4" s="184" t="s">
        <v>118</v>
      </c>
      <c r="B4" s="185" t="s">
        <v>129</v>
      </c>
      <c r="C4" s="186">
        <v>3</v>
      </c>
      <c r="D4" s="187">
        <v>4</v>
      </c>
      <c r="E4" s="188">
        <v>5</v>
      </c>
      <c r="F4" s="188">
        <v>7</v>
      </c>
      <c r="G4" s="188">
        <v>8</v>
      </c>
    </row>
    <row r="5" spans="1:7">
      <c r="A5" s="189"/>
      <c r="B5" s="190"/>
      <c r="C5" s="191"/>
      <c r="D5" s="190"/>
      <c r="E5" s="192"/>
      <c r="F5" s="191"/>
    </row>
    <row r="6" spans="1:7" ht="32.25" customHeight="1">
      <c r="A6" s="193"/>
      <c r="B6" s="194"/>
      <c r="C6" s="660" t="s">
        <v>1300</v>
      </c>
      <c r="D6" s="661"/>
      <c r="E6" s="661"/>
      <c r="F6" s="661"/>
      <c r="G6" s="661"/>
    </row>
    <row r="7" spans="1:7" ht="17.25" customHeight="1">
      <c r="A7" s="195"/>
      <c r="B7" s="196"/>
      <c r="C7" s="660" t="s">
        <v>1301</v>
      </c>
      <c r="D7" s="661"/>
      <c r="E7" s="661"/>
      <c r="F7" s="661"/>
      <c r="G7" s="661"/>
    </row>
    <row r="8" spans="1:7" ht="42" customHeight="1">
      <c r="A8" s="195"/>
      <c r="B8" s="196"/>
      <c r="C8" s="660" t="s">
        <v>1302</v>
      </c>
      <c r="D8" s="661"/>
      <c r="E8" s="661"/>
      <c r="F8" s="661"/>
      <c r="G8" s="661"/>
    </row>
    <row r="9" spans="1:7" ht="27.75" customHeight="1">
      <c r="A9" s="195"/>
      <c r="B9" s="196"/>
      <c r="C9" s="660" t="s">
        <v>1303</v>
      </c>
      <c r="D9" s="661"/>
      <c r="E9" s="661"/>
      <c r="F9" s="661"/>
      <c r="G9" s="661"/>
    </row>
    <row r="10" spans="1:7" ht="53.25" customHeight="1">
      <c r="A10" s="195"/>
      <c r="B10" s="196"/>
      <c r="C10" s="660" t="s">
        <v>1304</v>
      </c>
      <c r="D10" s="661"/>
      <c r="E10" s="661"/>
      <c r="F10" s="661"/>
      <c r="G10" s="661"/>
    </row>
    <row r="11" spans="1:7" ht="16.899999999999999" customHeight="1">
      <c r="A11" s="197"/>
      <c r="B11" s="198"/>
      <c r="C11" s="660" t="s">
        <v>1305</v>
      </c>
      <c r="D11" s="661"/>
      <c r="E11" s="661"/>
      <c r="F11" s="661"/>
      <c r="G11" s="661"/>
    </row>
    <row r="12" spans="1:7" ht="15">
      <c r="A12" s="199"/>
      <c r="B12" s="200"/>
      <c r="C12" s="201"/>
      <c r="D12" s="202"/>
      <c r="E12" s="203"/>
      <c r="F12" s="204"/>
      <c r="G12" s="204"/>
    </row>
    <row r="13" spans="1:7" ht="15.75">
      <c r="A13" s="205">
        <v>1</v>
      </c>
      <c r="B13" s="206"/>
      <c r="C13" s="207" t="s">
        <v>1306</v>
      </c>
      <c r="D13" s="208"/>
      <c r="E13" s="209"/>
      <c r="F13" s="210"/>
      <c r="G13" s="210"/>
    </row>
    <row r="14" spans="1:7">
      <c r="A14" s="205"/>
      <c r="B14" s="206"/>
      <c r="C14" s="211" t="s">
        <v>1307</v>
      </c>
      <c r="D14" s="208"/>
      <c r="E14" s="209"/>
      <c r="F14" s="210"/>
      <c r="G14" s="210"/>
    </row>
    <row r="15" spans="1:7" ht="25.5">
      <c r="A15" s="205"/>
      <c r="B15" s="206">
        <v>1</v>
      </c>
      <c r="C15" s="211" t="s">
        <v>1308</v>
      </c>
      <c r="D15" s="212" t="s">
        <v>138</v>
      </c>
      <c r="E15" s="213">
        <v>1</v>
      </c>
      <c r="F15" s="214"/>
      <c r="G15" s="210">
        <f>E15*F15</f>
        <v>0</v>
      </c>
    </row>
    <row r="16" spans="1:7" ht="38.25">
      <c r="A16" s="205"/>
      <c r="B16" s="206">
        <v>2</v>
      </c>
      <c r="C16" s="211" t="s">
        <v>1309</v>
      </c>
      <c r="D16" s="212" t="s">
        <v>138</v>
      </c>
      <c r="E16" s="213">
        <v>2</v>
      </c>
      <c r="F16" s="214"/>
      <c r="G16" s="210">
        <f t="shared" ref="G16:G45" si="0">E16*F16</f>
        <v>0</v>
      </c>
    </row>
    <row r="17" spans="1:7">
      <c r="A17" s="205"/>
      <c r="B17" s="206">
        <v>3</v>
      </c>
      <c r="C17" s="211" t="s">
        <v>1310</v>
      </c>
      <c r="D17" s="212" t="s">
        <v>138</v>
      </c>
      <c r="E17" s="213">
        <v>1</v>
      </c>
      <c r="F17" s="214"/>
      <c r="G17" s="210">
        <f t="shared" si="0"/>
        <v>0</v>
      </c>
    </row>
    <row r="18" spans="1:7">
      <c r="A18" s="205"/>
      <c r="B18" s="206">
        <v>4</v>
      </c>
      <c r="C18" s="211" t="s">
        <v>1311</v>
      </c>
      <c r="D18" s="212" t="s">
        <v>138</v>
      </c>
      <c r="E18" s="213">
        <v>1</v>
      </c>
      <c r="F18" s="214"/>
      <c r="G18" s="210">
        <f t="shared" si="0"/>
        <v>0</v>
      </c>
    </row>
    <row r="19" spans="1:7">
      <c r="A19" s="205"/>
      <c r="B19" s="206">
        <v>5</v>
      </c>
      <c r="C19" s="211" t="s">
        <v>1312</v>
      </c>
      <c r="D19" s="212" t="s">
        <v>805</v>
      </c>
      <c r="E19" s="213">
        <v>1</v>
      </c>
      <c r="F19" s="214"/>
      <c r="G19" s="210">
        <f t="shared" si="0"/>
        <v>0</v>
      </c>
    </row>
    <row r="20" spans="1:7" ht="25.5">
      <c r="A20" s="205"/>
      <c r="B20" s="206">
        <v>6</v>
      </c>
      <c r="C20" s="211" t="s">
        <v>1313</v>
      </c>
      <c r="D20" s="212" t="s">
        <v>138</v>
      </c>
      <c r="E20" s="213">
        <v>20</v>
      </c>
      <c r="F20" s="214"/>
      <c r="G20" s="210">
        <f t="shared" si="0"/>
        <v>0</v>
      </c>
    </row>
    <row r="21" spans="1:7" ht="25.5">
      <c r="A21" s="205"/>
      <c r="B21" s="206">
        <v>7</v>
      </c>
      <c r="C21" s="211" t="s">
        <v>1314</v>
      </c>
      <c r="D21" s="212" t="s">
        <v>805</v>
      </c>
      <c r="E21" s="213">
        <v>17</v>
      </c>
      <c r="F21" s="214"/>
      <c r="G21" s="210">
        <f t="shared" si="0"/>
        <v>0</v>
      </c>
    </row>
    <row r="22" spans="1:7">
      <c r="A22" s="205"/>
      <c r="B22" s="206">
        <v>8</v>
      </c>
      <c r="C22" s="211" t="s">
        <v>1315</v>
      </c>
      <c r="D22" s="212" t="s">
        <v>805</v>
      </c>
      <c r="E22" s="213">
        <v>43</v>
      </c>
      <c r="F22" s="214"/>
      <c r="G22" s="210">
        <f t="shared" si="0"/>
        <v>0</v>
      </c>
    </row>
    <row r="23" spans="1:7" ht="25.5">
      <c r="A23" s="205"/>
      <c r="B23" s="206">
        <v>9</v>
      </c>
      <c r="C23" s="211" t="s">
        <v>1316</v>
      </c>
      <c r="D23" s="212" t="s">
        <v>805</v>
      </c>
      <c r="E23" s="213">
        <v>20</v>
      </c>
      <c r="F23" s="214"/>
      <c r="G23" s="210">
        <f t="shared" si="0"/>
        <v>0</v>
      </c>
    </row>
    <row r="24" spans="1:7">
      <c r="A24" s="205"/>
      <c r="B24" s="206">
        <v>10</v>
      </c>
      <c r="C24" s="211" t="s">
        <v>1317</v>
      </c>
      <c r="D24" s="212" t="s">
        <v>138</v>
      </c>
      <c r="E24" s="213">
        <v>52</v>
      </c>
      <c r="F24" s="214"/>
      <c r="G24" s="210">
        <f t="shared" si="0"/>
        <v>0</v>
      </c>
    </row>
    <row r="25" spans="1:7">
      <c r="A25" s="205"/>
      <c r="B25" s="206">
        <v>11</v>
      </c>
      <c r="C25" s="211" t="s">
        <v>1318</v>
      </c>
      <c r="D25" s="212" t="s">
        <v>138</v>
      </c>
      <c r="E25" s="213">
        <v>1</v>
      </c>
      <c r="F25" s="214"/>
      <c r="G25" s="210">
        <f t="shared" si="0"/>
        <v>0</v>
      </c>
    </row>
    <row r="26" spans="1:7">
      <c r="A26" s="205"/>
      <c r="B26" s="206">
        <v>12</v>
      </c>
      <c r="C26" s="211" t="s">
        <v>1319</v>
      </c>
      <c r="D26" s="212" t="s">
        <v>138</v>
      </c>
      <c r="E26" s="213">
        <v>1</v>
      </c>
      <c r="F26" s="214"/>
      <c r="G26" s="210">
        <f t="shared" si="0"/>
        <v>0</v>
      </c>
    </row>
    <row r="27" spans="1:7">
      <c r="A27" s="205"/>
      <c r="B27" s="206">
        <v>13</v>
      </c>
      <c r="C27" s="211" t="s">
        <v>1320</v>
      </c>
      <c r="D27" s="212" t="s">
        <v>138</v>
      </c>
      <c r="E27" s="213">
        <v>11</v>
      </c>
      <c r="F27" s="214"/>
      <c r="G27" s="210">
        <f t="shared" si="0"/>
        <v>0</v>
      </c>
    </row>
    <row r="28" spans="1:7" ht="25.5">
      <c r="A28" s="205"/>
      <c r="B28" s="206">
        <v>14</v>
      </c>
      <c r="C28" s="211" t="s">
        <v>1321</v>
      </c>
      <c r="D28" s="212" t="s">
        <v>219</v>
      </c>
      <c r="E28" s="213">
        <v>10500</v>
      </c>
      <c r="F28" s="214"/>
      <c r="G28" s="210">
        <f t="shared" si="0"/>
        <v>0</v>
      </c>
    </row>
    <row r="29" spans="1:7">
      <c r="A29" s="205"/>
      <c r="B29" s="206">
        <v>15</v>
      </c>
      <c r="C29" s="211" t="s">
        <v>1322</v>
      </c>
      <c r="D29" s="212" t="s">
        <v>219</v>
      </c>
      <c r="E29" s="213">
        <v>950</v>
      </c>
      <c r="F29" s="214"/>
      <c r="G29" s="210">
        <f t="shared" si="0"/>
        <v>0</v>
      </c>
    </row>
    <row r="30" spans="1:7">
      <c r="A30" s="205"/>
      <c r="B30" s="206">
        <v>16</v>
      </c>
      <c r="C30" s="211" t="s">
        <v>1323</v>
      </c>
      <c r="D30" s="212" t="s">
        <v>219</v>
      </c>
      <c r="E30" s="213">
        <v>2500</v>
      </c>
      <c r="F30" s="214"/>
      <c r="G30" s="210">
        <f t="shared" si="0"/>
        <v>0</v>
      </c>
    </row>
    <row r="31" spans="1:7" ht="12.4" customHeight="1">
      <c r="A31" s="205"/>
      <c r="B31" s="206">
        <v>17</v>
      </c>
      <c r="C31" s="211" t="s">
        <v>1324</v>
      </c>
      <c r="D31" s="212" t="s">
        <v>219</v>
      </c>
      <c r="E31" s="213">
        <v>2000</v>
      </c>
      <c r="F31" s="214"/>
      <c r="G31" s="210">
        <f t="shared" si="0"/>
        <v>0</v>
      </c>
    </row>
    <row r="32" spans="1:7" ht="12.4" customHeight="1">
      <c r="A32" s="205"/>
      <c r="B32" s="206">
        <v>18</v>
      </c>
      <c r="C32" s="211" t="s">
        <v>1325</v>
      </c>
      <c r="D32" s="212" t="s">
        <v>219</v>
      </c>
      <c r="E32" s="213">
        <v>1000</v>
      </c>
      <c r="F32" s="214"/>
      <c r="G32" s="210">
        <f t="shared" si="0"/>
        <v>0</v>
      </c>
    </row>
    <row r="33" spans="1:7" ht="25.5">
      <c r="A33" s="205"/>
      <c r="B33" s="206">
        <v>19</v>
      </c>
      <c r="C33" s="211" t="s">
        <v>1326</v>
      </c>
      <c r="D33" s="212" t="s">
        <v>138</v>
      </c>
      <c r="E33" s="213">
        <v>550</v>
      </c>
      <c r="F33" s="214"/>
      <c r="G33" s="210">
        <f t="shared" si="0"/>
        <v>0</v>
      </c>
    </row>
    <row r="34" spans="1:7" ht="25.5">
      <c r="A34" s="205"/>
      <c r="B34" s="206">
        <v>20</v>
      </c>
      <c r="C34" s="211" t="s">
        <v>1327</v>
      </c>
      <c r="D34" s="212" t="s">
        <v>138</v>
      </c>
      <c r="E34" s="213">
        <v>550</v>
      </c>
      <c r="F34" s="214"/>
      <c r="G34" s="210">
        <f t="shared" si="0"/>
        <v>0</v>
      </c>
    </row>
    <row r="35" spans="1:7" ht="25.5">
      <c r="A35" s="205"/>
      <c r="B35" s="206">
        <v>21</v>
      </c>
      <c r="C35" s="211" t="s">
        <v>1328</v>
      </c>
      <c r="D35" s="212" t="s">
        <v>138</v>
      </c>
      <c r="E35" s="213">
        <v>33</v>
      </c>
      <c r="F35" s="214"/>
      <c r="G35" s="210">
        <f t="shared" si="0"/>
        <v>0</v>
      </c>
    </row>
    <row r="36" spans="1:7" ht="25.5">
      <c r="A36" s="205"/>
      <c r="B36" s="206">
        <v>22</v>
      </c>
      <c r="C36" s="211" t="s">
        <v>1329</v>
      </c>
      <c r="D36" s="212" t="s">
        <v>138</v>
      </c>
      <c r="E36" s="213">
        <v>18</v>
      </c>
      <c r="F36" s="214"/>
      <c r="G36" s="210">
        <f t="shared" si="0"/>
        <v>0</v>
      </c>
    </row>
    <row r="37" spans="1:7" ht="25.5">
      <c r="A37" s="205"/>
      <c r="B37" s="206">
        <v>23</v>
      </c>
      <c r="C37" s="211" t="s">
        <v>1330</v>
      </c>
      <c r="D37" s="212" t="s">
        <v>138</v>
      </c>
      <c r="E37" s="213">
        <v>12</v>
      </c>
      <c r="F37" s="214"/>
      <c r="G37" s="210">
        <f t="shared" si="0"/>
        <v>0</v>
      </c>
    </row>
    <row r="38" spans="1:7" ht="25.5">
      <c r="A38" s="205"/>
      <c r="B38" s="206">
        <v>24</v>
      </c>
      <c r="C38" s="211" t="s">
        <v>1331</v>
      </c>
      <c r="D38" s="212" t="s">
        <v>138</v>
      </c>
      <c r="E38" s="213">
        <v>90</v>
      </c>
      <c r="F38" s="214"/>
      <c r="G38" s="210">
        <f t="shared" si="0"/>
        <v>0</v>
      </c>
    </row>
    <row r="39" spans="1:7">
      <c r="A39" s="205"/>
      <c r="B39" s="206">
        <v>25</v>
      </c>
      <c r="C39" s="211" t="s">
        <v>1332</v>
      </c>
      <c r="D39" s="212" t="s">
        <v>805</v>
      </c>
      <c r="E39" s="213">
        <v>1</v>
      </c>
      <c r="F39" s="214"/>
      <c r="G39" s="210">
        <f t="shared" si="0"/>
        <v>0</v>
      </c>
    </row>
    <row r="40" spans="1:7">
      <c r="A40" s="205"/>
      <c r="B40" s="206">
        <v>26</v>
      </c>
      <c r="C40" s="211" t="s">
        <v>1333</v>
      </c>
      <c r="D40" s="212" t="s">
        <v>805</v>
      </c>
      <c r="E40" s="213">
        <v>1</v>
      </c>
      <c r="F40" s="214"/>
      <c r="G40" s="210">
        <f t="shared" si="0"/>
        <v>0</v>
      </c>
    </row>
    <row r="41" spans="1:7">
      <c r="A41" s="205"/>
      <c r="B41" s="206">
        <v>27</v>
      </c>
      <c r="C41" s="211" t="s">
        <v>1334</v>
      </c>
      <c r="D41" s="212" t="s">
        <v>805</v>
      </c>
      <c r="E41" s="213">
        <v>1</v>
      </c>
      <c r="F41" s="214"/>
      <c r="G41" s="210">
        <f t="shared" si="0"/>
        <v>0</v>
      </c>
    </row>
    <row r="42" spans="1:7">
      <c r="A42" s="205"/>
      <c r="B42" s="206">
        <v>28</v>
      </c>
      <c r="C42" s="211" t="s">
        <v>1111</v>
      </c>
      <c r="D42" s="212" t="s">
        <v>805</v>
      </c>
      <c r="E42" s="213">
        <v>1</v>
      </c>
      <c r="F42" s="214"/>
      <c r="G42" s="210">
        <f t="shared" si="0"/>
        <v>0</v>
      </c>
    </row>
    <row r="43" spans="1:7">
      <c r="A43" s="205"/>
      <c r="B43" s="206">
        <v>29</v>
      </c>
      <c r="C43" s="211" t="s">
        <v>1335</v>
      </c>
      <c r="D43" s="212" t="s">
        <v>805</v>
      </c>
      <c r="E43" s="213">
        <v>1</v>
      </c>
      <c r="F43" s="214"/>
      <c r="G43" s="210">
        <f t="shared" si="0"/>
        <v>0</v>
      </c>
    </row>
    <row r="44" spans="1:7" ht="12.75" customHeight="1">
      <c r="A44" s="205"/>
      <c r="B44" s="206">
        <v>30</v>
      </c>
      <c r="C44" s="211" t="s">
        <v>1336</v>
      </c>
      <c r="D44" s="212" t="s">
        <v>805</v>
      </c>
      <c r="E44" s="213">
        <v>1</v>
      </c>
      <c r="F44" s="214"/>
      <c r="G44" s="210">
        <f t="shared" si="0"/>
        <v>0</v>
      </c>
    </row>
    <row r="45" spans="1:7">
      <c r="A45" s="205"/>
      <c r="B45" s="206">
        <v>31</v>
      </c>
      <c r="C45" s="211" t="s">
        <v>1337</v>
      </c>
      <c r="D45" s="212" t="s">
        <v>805</v>
      </c>
      <c r="E45" s="213">
        <v>1</v>
      </c>
      <c r="F45" s="214"/>
      <c r="G45" s="210">
        <f t="shared" si="0"/>
        <v>0</v>
      </c>
    </row>
    <row r="46" spans="1:7" ht="13.5" thickBot="1">
      <c r="A46" s="205"/>
      <c r="B46" s="215"/>
      <c r="C46" s="211"/>
      <c r="D46" s="216"/>
      <c r="E46" s="217"/>
      <c r="F46" s="216"/>
      <c r="G46" s="210"/>
    </row>
    <row r="47" spans="1:7" ht="16.5" thickBot="1">
      <c r="A47" s="218"/>
      <c r="B47" s="219"/>
      <c r="C47" s="220" t="s">
        <v>1338</v>
      </c>
      <c r="D47" s="221"/>
      <c r="E47" s="222"/>
      <c r="F47" s="219"/>
      <c r="G47" s="219">
        <f>SUM(G15:G46)</f>
        <v>0</v>
      </c>
    </row>
  </sheetData>
  <mergeCells count="8">
    <mergeCell ref="C10:G10"/>
    <mergeCell ref="C11:G11"/>
    <mergeCell ref="A1:B1"/>
    <mergeCell ref="F1:G1"/>
    <mergeCell ref="C6:G6"/>
    <mergeCell ref="C7:G7"/>
    <mergeCell ref="C8:G8"/>
    <mergeCell ref="C9:G9"/>
  </mergeCells>
  <pageMargins left="0.70866141732283472" right="0.70866141732283472" top="0.78740157480314965" bottom="0.78740157480314965" header="0.31496062992125984" footer="0.31496062992125984"/>
  <pageSetup paperSize="9" scale="77"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51E8A-1293-4923-AA29-8639A041089B}">
  <sheetPr>
    <tabColor theme="3" tint="0.89999084444715716"/>
    <pageSetUpPr fitToPage="1"/>
  </sheetPr>
  <dimension ref="A1:G46"/>
  <sheetViews>
    <sheetView view="pageBreakPreview" zoomScaleNormal="100" zoomScaleSheetLayoutView="100" workbookViewId="0">
      <pane ySplit="3" topLeftCell="A4" activePane="bottomLeft" state="frozen"/>
      <selection pane="bottomLeft" activeCell="F20" sqref="F20"/>
    </sheetView>
  </sheetViews>
  <sheetFormatPr defaultRowHeight="12.75"/>
  <cols>
    <col min="1" max="1" width="6.7109375" style="223" customWidth="1"/>
    <col min="2" max="2" width="6.7109375" style="174" customWidth="1"/>
    <col min="3" max="3" width="59.85546875" style="174" customWidth="1"/>
    <col min="4" max="4" width="9.5703125" style="224" customWidth="1"/>
    <col min="5" max="5" width="10.7109375" style="174" customWidth="1"/>
    <col min="6" max="6" width="9.85546875" style="174" customWidth="1"/>
    <col min="7" max="256" width="9.140625" style="174"/>
    <col min="257" max="258" width="6.7109375" style="174" customWidth="1"/>
    <col min="259" max="259" width="59.85546875" style="174" customWidth="1"/>
    <col min="260" max="260" width="9.5703125" style="174" customWidth="1"/>
    <col min="261" max="261" width="10.7109375" style="174" customWidth="1"/>
    <col min="262" max="262" width="9.85546875" style="174" customWidth="1"/>
    <col min="263" max="512" width="9.140625" style="174"/>
    <col min="513" max="514" width="6.7109375" style="174" customWidth="1"/>
    <col min="515" max="515" width="59.85546875" style="174" customWidth="1"/>
    <col min="516" max="516" width="9.5703125" style="174" customWidth="1"/>
    <col min="517" max="517" width="10.7109375" style="174" customWidth="1"/>
    <col min="518" max="518" width="9.85546875" style="174" customWidth="1"/>
    <col min="519" max="768" width="9.140625" style="174"/>
    <col min="769" max="770" width="6.7109375" style="174" customWidth="1"/>
    <col min="771" max="771" width="59.85546875" style="174" customWidth="1"/>
    <col min="772" max="772" width="9.5703125" style="174" customWidth="1"/>
    <col min="773" max="773" width="10.7109375" style="174" customWidth="1"/>
    <col min="774" max="774" width="9.85546875" style="174" customWidth="1"/>
    <col min="775" max="1024" width="9.140625" style="174"/>
    <col min="1025" max="1026" width="6.7109375" style="174" customWidth="1"/>
    <col min="1027" max="1027" width="59.85546875" style="174" customWidth="1"/>
    <col min="1028" max="1028" width="9.5703125" style="174" customWidth="1"/>
    <col min="1029" max="1029" width="10.7109375" style="174" customWidth="1"/>
    <col min="1030" max="1030" width="9.85546875" style="174" customWidth="1"/>
    <col min="1031" max="1280" width="9.140625" style="174"/>
    <col min="1281" max="1282" width="6.7109375" style="174" customWidth="1"/>
    <col min="1283" max="1283" width="59.85546875" style="174" customWidth="1"/>
    <col min="1284" max="1284" width="9.5703125" style="174" customWidth="1"/>
    <col min="1285" max="1285" width="10.7109375" style="174" customWidth="1"/>
    <col min="1286" max="1286" width="9.85546875" style="174" customWidth="1"/>
    <col min="1287" max="1536" width="9.140625" style="174"/>
    <col min="1537" max="1538" width="6.7109375" style="174" customWidth="1"/>
    <col min="1539" max="1539" width="59.85546875" style="174" customWidth="1"/>
    <col min="1540" max="1540" width="9.5703125" style="174" customWidth="1"/>
    <col min="1541" max="1541" width="10.7109375" style="174" customWidth="1"/>
    <col min="1542" max="1542" width="9.85546875" style="174" customWidth="1"/>
    <col min="1543" max="1792" width="9.140625" style="174"/>
    <col min="1793" max="1794" width="6.7109375" style="174" customWidth="1"/>
    <col min="1795" max="1795" width="59.85546875" style="174" customWidth="1"/>
    <col min="1796" max="1796" width="9.5703125" style="174" customWidth="1"/>
    <col min="1797" max="1797" width="10.7109375" style="174" customWidth="1"/>
    <col min="1798" max="1798" width="9.85546875" style="174" customWidth="1"/>
    <col min="1799" max="2048" width="9.140625" style="174"/>
    <col min="2049" max="2050" width="6.7109375" style="174" customWidth="1"/>
    <col min="2051" max="2051" width="59.85546875" style="174" customWidth="1"/>
    <col min="2052" max="2052" width="9.5703125" style="174" customWidth="1"/>
    <col min="2053" max="2053" width="10.7109375" style="174" customWidth="1"/>
    <col min="2054" max="2054" width="9.85546875" style="174" customWidth="1"/>
    <col min="2055" max="2304" width="9.140625" style="174"/>
    <col min="2305" max="2306" width="6.7109375" style="174" customWidth="1"/>
    <col min="2307" max="2307" width="59.85546875" style="174" customWidth="1"/>
    <col min="2308" max="2308" width="9.5703125" style="174" customWidth="1"/>
    <col min="2309" max="2309" width="10.7109375" style="174" customWidth="1"/>
    <col min="2310" max="2310" width="9.85546875" style="174" customWidth="1"/>
    <col min="2311" max="2560" width="9.140625" style="174"/>
    <col min="2561" max="2562" width="6.7109375" style="174" customWidth="1"/>
    <col min="2563" max="2563" width="59.85546875" style="174" customWidth="1"/>
    <col min="2564" max="2564" width="9.5703125" style="174" customWidth="1"/>
    <col min="2565" max="2565" width="10.7109375" style="174" customWidth="1"/>
    <col min="2566" max="2566" width="9.85546875" style="174" customWidth="1"/>
    <col min="2567" max="2816" width="9.140625" style="174"/>
    <col min="2817" max="2818" width="6.7109375" style="174" customWidth="1"/>
    <col min="2819" max="2819" width="59.85546875" style="174" customWidth="1"/>
    <col min="2820" max="2820" width="9.5703125" style="174" customWidth="1"/>
    <col min="2821" max="2821" width="10.7109375" style="174" customWidth="1"/>
    <col min="2822" max="2822" width="9.85546875" style="174" customWidth="1"/>
    <col min="2823" max="3072" width="9.140625" style="174"/>
    <col min="3073" max="3074" width="6.7109375" style="174" customWidth="1"/>
    <col min="3075" max="3075" width="59.85546875" style="174" customWidth="1"/>
    <col min="3076" max="3076" width="9.5703125" style="174" customWidth="1"/>
    <col min="3077" max="3077" width="10.7109375" style="174" customWidth="1"/>
    <col min="3078" max="3078" width="9.85546875" style="174" customWidth="1"/>
    <col min="3079" max="3328" width="9.140625" style="174"/>
    <col min="3329" max="3330" width="6.7109375" style="174" customWidth="1"/>
    <col min="3331" max="3331" width="59.85546875" style="174" customWidth="1"/>
    <col min="3332" max="3332" width="9.5703125" style="174" customWidth="1"/>
    <col min="3333" max="3333" width="10.7109375" style="174" customWidth="1"/>
    <col min="3334" max="3334" width="9.85546875" style="174" customWidth="1"/>
    <col min="3335" max="3584" width="9.140625" style="174"/>
    <col min="3585" max="3586" width="6.7109375" style="174" customWidth="1"/>
    <col min="3587" max="3587" width="59.85546875" style="174" customWidth="1"/>
    <col min="3588" max="3588" width="9.5703125" style="174" customWidth="1"/>
    <col min="3589" max="3589" width="10.7109375" style="174" customWidth="1"/>
    <col min="3590" max="3590" width="9.85546875" style="174" customWidth="1"/>
    <col min="3591" max="3840" width="9.140625" style="174"/>
    <col min="3841" max="3842" width="6.7109375" style="174" customWidth="1"/>
    <col min="3843" max="3843" width="59.85546875" style="174" customWidth="1"/>
    <col min="3844" max="3844" width="9.5703125" style="174" customWidth="1"/>
    <col min="3845" max="3845" width="10.7109375" style="174" customWidth="1"/>
    <col min="3846" max="3846" width="9.85546875" style="174" customWidth="1"/>
    <col min="3847" max="4096" width="9.140625" style="174"/>
    <col min="4097" max="4098" width="6.7109375" style="174" customWidth="1"/>
    <col min="4099" max="4099" width="59.85546875" style="174" customWidth="1"/>
    <col min="4100" max="4100" width="9.5703125" style="174" customWidth="1"/>
    <col min="4101" max="4101" width="10.7109375" style="174" customWidth="1"/>
    <col min="4102" max="4102" width="9.85546875" style="174" customWidth="1"/>
    <col min="4103" max="4352" width="9.140625" style="174"/>
    <col min="4353" max="4354" width="6.7109375" style="174" customWidth="1"/>
    <col min="4355" max="4355" width="59.85546875" style="174" customWidth="1"/>
    <col min="4356" max="4356" width="9.5703125" style="174" customWidth="1"/>
    <col min="4357" max="4357" width="10.7109375" style="174" customWidth="1"/>
    <col min="4358" max="4358" width="9.85546875" style="174" customWidth="1"/>
    <col min="4359" max="4608" width="9.140625" style="174"/>
    <col min="4609" max="4610" width="6.7109375" style="174" customWidth="1"/>
    <col min="4611" max="4611" width="59.85546875" style="174" customWidth="1"/>
    <col min="4612" max="4612" width="9.5703125" style="174" customWidth="1"/>
    <col min="4613" max="4613" width="10.7109375" style="174" customWidth="1"/>
    <col min="4614" max="4614" width="9.85546875" style="174" customWidth="1"/>
    <col min="4615" max="4864" width="9.140625" style="174"/>
    <col min="4865" max="4866" width="6.7109375" style="174" customWidth="1"/>
    <col min="4867" max="4867" width="59.85546875" style="174" customWidth="1"/>
    <col min="4868" max="4868" width="9.5703125" style="174" customWidth="1"/>
    <col min="4869" max="4869" width="10.7109375" style="174" customWidth="1"/>
    <col min="4870" max="4870" width="9.85546875" style="174" customWidth="1"/>
    <col min="4871" max="5120" width="9.140625" style="174"/>
    <col min="5121" max="5122" width="6.7109375" style="174" customWidth="1"/>
    <col min="5123" max="5123" width="59.85546875" style="174" customWidth="1"/>
    <col min="5124" max="5124" width="9.5703125" style="174" customWidth="1"/>
    <col min="5125" max="5125" width="10.7109375" style="174" customWidth="1"/>
    <col min="5126" max="5126" width="9.85546875" style="174" customWidth="1"/>
    <col min="5127" max="5376" width="9.140625" style="174"/>
    <col min="5377" max="5378" width="6.7109375" style="174" customWidth="1"/>
    <col min="5379" max="5379" width="59.85546875" style="174" customWidth="1"/>
    <col min="5380" max="5380" width="9.5703125" style="174" customWidth="1"/>
    <col min="5381" max="5381" width="10.7109375" style="174" customWidth="1"/>
    <col min="5382" max="5382" width="9.85546875" style="174" customWidth="1"/>
    <col min="5383" max="5632" width="9.140625" style="174"/>
    <col min="5633" max="5634" width="6.7109375" style="174" customWidth="1"/>
    <col min="5635" max="5635" width="59.85546875" style="174" customWidth="1"/>
    <col min="5636" max="5636" width="9.5703125" style="174" customWidth="1"/>
    <col min="5637" max="5637" width="10.7109375" style="174" customWidth="1"/>
    <col min="5638" max="5638" width="9.85546875" style="174" customWidth="1"/>
    <col min="5639" max="5888" width="9.140625" style="174"/>
    <col min="5889" max="5890" width="6.7109375" style="174" customWidth="1"/>
    <col min="5891" max="5891" width="59.85546875" style="174" customWidth="1"/>
    <col min="5892" max="5892" width="9.5703125" style="174" customWidth="1"/>
    <col min="5893" max="5893" width="10.7109375" style="174" customWidth="1"/>
    <col min="5894" max="5894" width="9.85546875" style="174" customWidth="1"/>
    <col min="5895" max="6144" width="9.140625" style="174"/>
    <col min="6145" max="6146" width="6.7109375" style="174" customWidth="1"/>
    <col min="6147" max="6147" width="59.85546875" style="174" customWidth="1"/>
    <col min="6148" max="6148" width="9.5703125" style="174" customWidth="1"/>
    <col min="6149" max="6149" width="10.7109375" style="174" customWidth="1"/>
    <col min="6150" max="6150" width="9.85546875" style="174" customWidth="1"/>
    <col min="6151" max="6400" width="9.140625" style="174"/>
    <col min="6401" max="6402" width="6.7109375" style="174" customWidth="1"/>
    <col min="6403" max="6403" width="59.85546875" style="174" customWidth="1"/>
    <col min="6404" max="6404" width="9.5703125" style="174" customWidth="1"/>
    <col min="6405" max="6405" width="10.7109375" style="174" customWidth="1"/>
    <col min="6406" max="6406" width="9.85546875" style="174" customWidth="1"/>
    <col min="6407" max="6656" width="9.140625" style="174"/>
    <col min="6657" max="6658" width="6.7109375" style="174" customWidth="1"/>
    <col min="6659" max="6659" width="59.85546875" style="174" customWidth="1"/>
    <col min="6660" max="6660" width="9.5703125" style="174" customWidth="1"/>
    <col min="6661" max="6661" width="10.7109375" style="174" customWidth="1"/>
    <col min="6662" max="6662" width="9.85546875" style="174" customWidth="1"/>
    <col min="6663" max="6912" width="9.140625" style="174"/>
    <col min="6913" max="6914" width="6.7109375" style="174" customWidth="1"/>
    <col min="6915" max="6915" width="59.85546875" style="174" customWidth="1"/>
    <col min="6916" max="6916" width="9.5703125" style="174" customWidth="1"/>
    <col min="6917" max="6917" width="10.7109375" style="174" customWidth="1"/>
    <col min="6918" max="6918" width="9.85546875" style="174" customWidth="1"/>
    <col min="6919" max="7168" width="9.140625" style="174"/>
    <col min="7169" max="7170" width="6.7109375" style="174" customWidth="1"/>
    <col min="7171" max="7171" width="59.85546875" style="174" customWidth="1"/>
    <col min="7172" max="7172" width="9.5703125" style="174" customWidth="1"/>
    <col min="7173" max="7173" width="10.7109375" style="174" customWidth="1"/>
    <col min="7174" max="7174" width="9.85546875" style="174" customWidth="1"/>
    <col min="7175" max="7424" width="9.140625" style="174"/>
    <col min="7425" max="7426" width="6.7109375" style="174" customWidth="1"/>
    <col min="7427" max="7427" width="59.85546875" style="174" customWidth="1"/>
    <col min="7428" max="7428" width="9.5703125" style="174" customWidth="1"/>
    <col min="7429" max="7429" width="10.7109375" style="174" customWidth="1"/>
    <col min="7430" max="7430" width="9.85546875" style="174" customWidth="1"/>
    <col min="7431" max="7680" width="9.140625" style="174"/>
    <col min="7681" max="7682" width="6.7109375" style="174" customWidth="1"/>
    <col min="7683" max="7683" width="59.85546875" style="174" customWidth="1"/>
    <col min="7684" max="7684" width="9.5703125" style="174" customWidth="1"/>
    <col min="7685" max="7685" width="10.7109375" style="174" customWidth="1"/>
    <col min="7686" max="7686" width="9.85546875" style="174" customWidth="1"/>
    <col min="7687" max="7936" width="9.140625" style="174"/>
    <col min="7937" max="7938" width="6.7109375" style="174" customWidth="1"/>
    <col min="7939" max="7939" width="59.85546875" style="174" customWidth="1"/>
    <col min="7940" max="7940" width="9.5703125" style="174" customWidth="1"/>
    <col min="7941" max="7941" width="10.7109375" style="174" customWidth="1"/>
    <col min="7942" max="7942" width="9.85546875" style="174" customWidth="1"/>
    <col min="7943" max="8192" width="9.140625" style="174"/>
    <col min="8193" max="8194" width="6.7109375" style="174" customWidth="1"/>
    <col min="8195" max="8195" width="59.85546875" style="174" customWidth="1"/>
    <col min="8196" max="8196" width="9.5703125" style="174" customWidth="1"/>
    <col min="8197" max="8197" width="10.7109375" style="174" customWidth="1"/>
    <col min="8198" max="8198" width="9.85546875" style="174" customWidth="1"/>
    <col min="8199" max="8448" width="9.140625" style="174"/>
    <col min="8449" max="8450" width="6.7109375" style="174" customWidth="1"/>
    <col min="8451" max="8451" width="59.85546875" style="174" customWidth="1"/>
    <col min="8452" max="8452" width="9.5703125" style="174" customWidth="1"/>
    <col min="8453" max="8453" width="10.7109375" style="174" customWidth="1"/>
    <col min="8454" max="8454" width="9.85546875" style="174" customWidth="1"/>
    <col min="8455" max="8704" width="9.140625" style="174"/>
    <col min="8705" max="8706" width="6.7109375" style="174" customWidth="1"/>
    <col min="8707" max="8707" width="59.85546875" style="174" customWidth="1"/>
    <col min="8708" max="8708" width="9.5703125" style="174" customWidth="1"/>
    <col min="8709" max="8709" width="10.7109375" style="174" customWidth="1"/>
    <col min="8710" max="8710" width="9.85546875" style="174" customWidth="1"/>
    <col min="8711" max="8960" width="9.140625" style="174"/>
    <col min="8961" max="8962" width="6.7109375" style="174" customWidth="1"/>
    <col min="8963" max="8963" width="59.85546875" style="174" customWidth="1"/>
    <col min="8964" max="8964" width="9.5703125" style="174" customWidth="1"/>
    <col min="8965" max="8965" width="10.7109375" style="174" customWidth="1"/>
    <col min="8966" max="8966" width="9.85546875" style="174" customWidth="1"/>
    <col min="8967" max="9216" width="9.140625" style="174"/>
    <col min="9217" max="9218" width="6.7109375" style="174" customWidth="1"/>
    <col min="9219" max="9219" width="59.85546875" style="174" customWidth="1"/>
    <col min="9220" max="9220" width="9.5703125" style="174" customWidth="1"/>
    <col min="9221" max="9221" width="10.7109375" style="174" customWidth="1"/>
    <col min="9222" max="9222" width="9.85546875" style="174" customWidth="1"/>
    <col min="9223" max="9472" width="9.140625" style="174"/>
    <col min="9473" max="9474" width="6.7109375" style="174" customWidth="1"/>
    <col min="9475" max="9475" width="59.85546875" style="174" customWidth="1"/>
    <col min="9476" max="9476" width="9.5703125" style="174" customWidth="1"/>
    <col min="9477" max="9477" width="10.7109375" style="174" customWidth="1"/>
    <col min="9478" max="9478" width="9.85546875" style="174" customWidth="1"/>
    <col min="9479" max="9728" width="9.140625" style="174"/>
    <col min="9729" max="9730" width="6.7109375" style="174" customWidth="1"/>
    <col min="9731" max="9731" width="59.85546875" style="174" customWidth="1"/>
    <col min="9732" max="9732" width="9.5703125" style="174" customWidth="1"/>
    <col min="9733" max="9733" width="10.7109375" style="174" customWidth="1"/>
    <col min="9734" max="9734" width="9.85546875" style="174" customWidth="1"/>
    <col min="9735" max="9984" width="9.140625" style="174"/>
    <col min="9985" max="9986" width="6.7109375" style="174" customWidth="1"/>
    <col min="9987" max="9987" width="59.85546875" style="174" customWidth="1"/>
    <col min="9988" max="9988" width="9.5703125" style="174" customWidth="1"/>
    <col min="9989" max="9989" width="10.7109375" style="174" customWidth="1"/>
    <col min="9990" max="9990" width="9.85546875" style="174" customWidth="1"/>
    <col min="9991" max="10240" width="9.140625" style="174"/>
    <col min="10241" max="10242" width="6.7109375" style="174" customWidth="1"/>
    <col min="10243" max="10243" width="59.85546875" style="174" customWidth="1"/>
    <col min="10244" max="10244" width="9.5703125" style="174" customWidth="1"/>
    <col min="10245" max="10245" width="10.7109375" style="174" customWidth="1"/>
    <col min="10246" max="10246" width="9.85546875" style="174" customWidth="1"/>
    <col min="10247" max="10496" width="9.140625" style="174"/>
    <col min="10497" max="10498" width="6.7109375" style="174" customWidth="1"/>
    <col min="10499" max="10499" width="59.85546875" style="174" customWidth="1"/>
    <col min="10500" max="10500" width="9.5703125" style="174" customWidth="1"/>
    <col min="10501" max="10501" width="10.7109375" style="174" customWidth="1"/>
    <col min="10502" max="10502" width="9.85546875" style="174" customWidth="1"/>
    <col min="10503" max="10752" width="9.140625" style="174"/>
    <col min="10753" max="10754" width="6.7109375" style="174" customWidth="1"/>
    <col min="10755" max="10755" width="59.85546875" style="174" customWidth="1"/>
    <col min="10756" max="10756" width="9.5703125" style="174" customWidth="1"/>
    <col min="10757" max="10757" width="10.7109375" style="174" customWidth="1"/>
    <col min="10758" max="10758" width="9.85546875" style="174" customWidth="1"/>
    <col min="10759" max="11008" width="9.140625" style="174"/>
    <col min="11009" max="11010" width="6.7109375" style="174" customWidth="1"/>
    <col min="11011" max="11011" width="59.85546875" style="174" customWidth="1"/>
    <col min="11012" max="11012" width="9.5703125" style="174" customWidth="1"/>
    <col min="11013" max="11013" width="10.7109375" style="174" customWidth="1"/>
    <col min="11014" max="11014" width="9.85546875" style="174" customWidth="1"/>
    <col min="11015" max="11264" width="9.140625" style="174"/>
    <col min="11265" max="11266" width="6.7109375" style="174" customWidth="1"/>
    <col min="11267" max="11267" width="59.85546875" style="174" customWidth="1"/>
    <col min="11268" max="11268" width="9.5703125" style="174" customWidth="1"/>
    <col min="11269" max="11269" width="10.7109375" style="174" customWidth="1"/>
    <col min="11270" max="11270" width="9.85546875" style="174" customWidth="1"/>
    <col min="11271" max="11520" width="9.140625" style="174"/>
    <col min="11521" max="11522" width="6.7109375" style="174" customWidth="1"/>
    <col min="11523" max="11523" width="59.85546875" style="174" customWidth="1"/>
    <col min="11524" max="11524" width="9.5703125" style="174" customWidth="1"/>
    <col min="11525" max="11525" width="10.7109375" style="174" customWidth="1"/>
    <col min="11526" max="11526" width="9.85546875" style="174" customWidth="1"/>
    <col min="11527" max="11776" width="9.140625" style="174"/>
    <col min="11777" max="11778" width="6.7109375" style="174" customWidth="1"/>
    <col min="11779" max="11779" width="59.85546875" style="174" customWidth="1"/>
    <col min="11780" max="11780" width="9.5703125" style="174" customWidth="1"/>
    <col min="11781" max="11781" width="10.7109375" style="174" customWidth="1"/>
    <col min="11782" max="11782" width="9.85546875" style="174" customWidth="1"/>
    <col min="11783" max="12032" width="9.140625" style="174"/>
    <col min="12033" max="12034" width="6.7109375" style="174" customWidth="1"/>
    <col min="12035" max="12035" width="59.85546875" style="174" customWidth="1"/>
    <col min="12036" max="12036" width="9.5703125" style="174" customWidth="1"/>
    <col min="12037" max="12037" width="10.7109375" style="174" customWidth="1"/>
    <col min="12038" max="12038" width="9.85546875" style="174" customWidth="1"/>
    <col min="12039" max="12288" width="9.140625" style="174"/>
    <col min="12289" max="12290" width="6.7109375" style="174" customWidth="1"/>
    <col min="12291" max="12291" width="59.85546875" style="174" customWidth="1"/>
    <col min="12292" max="12292" width="9.5703125" style="174" customWidth="1"/>
    <col min="12293" max="12293" width="10.7109375" style="174" customWidth="1"/>
    <col min="12294" max="12294" width="9.85546875" style="174" customWidth="1"/>
    <col min="12295" max="12544" width="9.140625" style="174"/>
    <col min="12545" max="12546" width="6.7109375" style="174" customWidth="1"/>
    <col min="12547" max="12547" width="59.85546875" style="174" customWidth="1"/>
    <col min="12548" max="12548" width="9.5703125" style="174" customWidth="1"/>
    <col min="12549" max="12549" width="10.7109375" style="174" customWidth="1"/>
    <col min="12550" max="12550" width="9.85546875" style="174" customWidth="1"/>
    <col min="12551" max="12800" width="9.140625" style="174"/>
    <col min="12801" max="12802" width="6.7109375" style="174" customWidth="1"/>
    <col min="12803" max="12803" width="59.85546875" style="174" customWidth="1"/>
    <col min="12804" max="12804" width="9.5703125" style="174" customWidth="1"/>
    <col min="12805" max="12805" width="10.7109375" style="174" customWidth="1"/>
    <col min="12806" max="12806" width="9.85546875" style="174" customWidth="1"/>
    <col min="12807" max="13056" width="9.140625" style="174"/>
    <col min="13057" max="13058" width="6.7109375" style="174" customWidth="1"/>
    <col min="13059" max="13059" width="59.85546875" style="174" customWidth="1"/>
    <col min="13060" max="13060" width="9.5703125" style="174" customWidth="1"/>
    <col min="13061" max="13061" width="10.7109375" style="174" customWidth="1"/>
    <col min="13062" max="13062" width="9.85546875" style="174" customWidth="1"/>
    <col min="13063" max="13312" width="9.140625" style="174"/>
    <col min="13313" max="13314" width="6.7109375" style="174" customWidth="1"/>
    <col min="13315" max="13315" width="59.85546875" style="174" customWidth="1"/>
    <col min="13316" max="13316" width="9.5703125" style="174" customWidth="1"/>
    <col min="13317" max="13317" width="10.7109375" style="174" customWidth="1"/>
    <col min="13318" max="13318" width="9.85546875" style="174" customWidth="1"/>
    <col min="13319" max="13568" width="9.140625" style="174"/>
    <col min="13569" max="13570" width="6.7109375" style="174" customWidth="1"/>
    <col min="13571" max="13571" width="59.85546875" style="174" customWidth="1"/>
    <col min="13572" max="13572" width="9.5703125" style="174" customWidth="1"/>
    <col min="13573" max="13573" width="10.7109375" style="174" customWidth="1"/>
    <col min="13574" max="13574" width="9.85546875" style="174" customWidth="1"/>
    <col min="13575" max="13824" width="9.140625" style="174"/>
    <col min="13825" max="13826" width="6.7109375" style="174" customWidth="1"/>
    <col min="13827" max="13827" width="59.85546875" style="174" customWidth="1"/>
    <col min="13828" max="13828" width="9.5703125" style="174" customWidth="1"/>
    <col min="13829" max="13829" width="10.7109375" style="174" customWidth="1"/>
    <col min="13830" max="13830" width="9.85546875" style="174" customWidth="1"/>
    <col min="13831" max="14080" width="9.140625" style="174"/>
    <col min="14081" max="14082" width="6.7109375" style="174" customWidth="1"/>
    <col min="14083" max="14083" width="59.85546875" style="174" customWidth="1"/>
    <col min="14084" max="14084" width="9.5703125" style="174" customWidth="1"/>
    <col min="14085" max="14085" width="10.7109375" style="174" customWidth="1"/>
    <col min="14086" max="14086" width="9.85546875" style="174" customWidth="1"/>
    <col min="14087" max="14336" width="9.140625" style="174"/>
    <col min="14337" max="14338" width="6.7109375" style="174" customWidth="1"/>
    <col min="14339" max="14339" width="59.85546875" style="174" customWidth="1"/>
    <col min="14340" max="14340" width="9.5703125" style="174" customWidth="1"/>
    <col min="14341" max="14341" width="10.7109375" style="174" customWidth="1"/>
    <col min="14342" max="14342" width="9.85546875" style="174" customWidth="1"/>
    <col min="14343" max="14592" width="9.140625" style="174"/>
    <col min="14593" max="14594" width="6.7109375" style="174" customWidth="1"/>
    <col min="14595" max="14595" width="59.85546875" style="174" customWidth="1"/>
    <col min="14596" max="14596" width="9.5703125" style="174" customWidth="1"/>
    <col min="14597" max="14597" width="10.7109375" style="174" customWidth="1"/>
    <col min="14598" max="14598" width="9.85546875" style="174" customWidth="1"/>
    <col min="14599" max="14848" width="9.140625" style="174"/>
    <col min="14849" max="14850" width="6.7109375" style="174" customWidth="1"/>
    <col min="14851" max="14851" width="59.85546875" style="174" customWidth="1"/>
    <col min="14852" max="14852" width="9.5703125" style="174" customWidth="1"/>
    <col min="14853" max="14853" width="10.7109375" style="174" customWidth="1"/>
    <col min="14854" max="14854" width="9.85546875" style="174" customWidth="1"/>
    <col min="14855" max="15104" width="9.140625" style="174"/>
    <col min="15105" max="15106" width="6.7109375" style="174" customWidth="1"/>
    <col min="15107" max="15107" width="59.85546875" style="174" customWidth="1"/>
    <col min="15108" max="15108" width="9.5703125" style="174" customWidth="1"/>
    <col min="15109" max="15109" width="10.7109375" style="174" customWidth="1"/>
    <col min="15110" max="15110" width="9.85546875" style="174" customWidth="1"/>
    <col min="15111" max="15360" width="9.140625" style="174"/>
    <col min="15361" max="15362" width="6.7109375" style="174" customWidth="1"/>
    <col min="15363" max="15363" width="59.85546875" style="174" customWidth="1"/>
    <col min="15364" max="15364" width="9.5703125" style="174" customWidth="1"/>
    <col min="15365" max="15365" width="10.7109375" style="174" customWidth="1"/>
    <col min="15366" max="15366" width="9.85546875" style="174" customWidth="1"/>
    <col min="15367" max="15616" width="9.140625" style="174"/>
    <col min="15617" max="15618" width="6.7109375" style="174" customWidth="1"/>
    <col min="15619" max="15619" width="59.85546875" style="174" customWidth="1"/>
    <col min="15620" max="15620" width="9.5703125" style="174" customWidth="1"/>
    <col min="15621" max="15621" width="10.7109375" style="174" customWidth="1"/>
    <col min="15622" max="15622" width="9.85546875" style="174" customWidth="1"/>
    <col min="15623" max="15872" width="9.140625" style="174"/>
    <col min="15873" max="15874" width="6.7109375" style="174" customWidth="1"/>
    <col min="15875" max="15875" width="59.85546875" style="174" customWidth="1"/>
    <col min="15876" max="15876" width="9.5703125" style="174" customWidth="1"/>
    <col min="15877" max="15877" width="10.7109375" style="174" customWidth="1"/>
    <col min="15878" max="15878" width="9.85546875" style="174" customWidth="1"/>
    <col min="15879" max="16128" width="9.140625" style="174"/>
    <col min="16129" max="16130" width="6.7109375" style="174" customWidth="1"/>
    <col min="16131" max="16131" width="59.85546875" style="174" customWidth="1"/>
    <col min="16132" max="16132" width="9.5703125" style="174" customWidth="1"/>
    <col min="16133" max="16133" width="10.7109375" style="174" customWidth="1"/>
    <col min="16134" max="16134" width="9.85546875" style="174" customWidth="1"/>
    <col min="16135" max="16384" width="9.140625" style="174"/>
  </cols>
  <sheetData>
    <row r="1" spans="1:7" ht="15">
      <c r="A1" s="662" t="s">
        <v>1292</v>
      </c>
      <c r="B1" s="662"/>
      <c r="C1" s="171" t="s">
        <v>1293</v>
      </c>
      <c r="D1" s="172" t="s">
        <v>1294</v>
      </c>
      <c r="E1" s="173" t="s">
        <v>89</v>
      </c>
      <c r="F1" s="663" t="s">
        <v>1295</v>
      </c>
      <c r="G1" s="663"/>
    </row>
    <row r="2" spans="1:7" ht="54">
      <c r="A2" s="175"/>
      <c r="B2" s="176"/>
      <c r="C2" s="177" t="s">
        <v>1340</v>
      </c>
      <c r="D2" s="178"/>
      <c r="E2" s="173"/>
      <c r="F2" s="173"/>
      <c r="G2" s="173"/>
    </row>
    <row r="3" spans="1:7" ht="15">
      <c r="A3" s="179"/>
      <c r="B3" s="180"/>
      <c r="C3" s="181"/>
      <c r="D3" s="182" t="s">
        <v>1297</v>
      </c>
      <c r="E3" s="173" t="s">
        <v>1298</v>
      </c>
      <c r="F3" s="173" t="s">
        <v>1299</v>
      </c>
      <c r="G3" s="183" t="s">
        <v>1283</v>
      </c>
    </row>
    <row r="4" spans="1:7" ht="15.75" thickBot="1">
      <c r="A4" s="184" t="s">
        <v>118</v>
      </c>
      <c r="B4" s="185" t="s">
        <v>129</v>
      </c>
      <c r="C4" s="186">
        <v>3</v>
      </c>
      <c r="D4" s="187">
        <v>4</v>
      </c>
      <c r="E4" s="188">
        <v>5</v>
      </c>
      <c r="F4" s="188">
        <v>7</v>
      </c>
      <c r="G4" s="188">
        <v>8</v>
      </c>
    </row>
    <row r="5" spans="1:7">
      <c r="A5" s="189"/>
      <c r="B5" s="190"/>
      <c r="C5" s="191"/>
      <c r="D5" s="190"/>
      <c r="E5" s="192"/>
    </row>
    <row r="6" spans="1:7" ht="32.25" customHeight="1">
      <c r="A6" s="193"/>
      <c r="B6" s="194"/>
      <c r="C6" s="660" t="s">
        <v>1300</v>
      </c>
      <c r="D6" s="661"/>
      <c r="E6" s="661"/>
      <c r="F6" s="661"/>
      <c r="G6" s="661"/>
    </row>
    <row r="7" spans="1:7" ht="17.25" customHeight="1">
      <c r="A7" s="195"/>
      <c r="B7" s="196"/>
      <c r="C7" s="660" t="s">
        <v>1301</v>
      </c>
      <c r="D7" s="661"/>
      <c r="E7" s="661"/>
      <c r="F7" s="661"/>
      <c r="G7" s="661"/>
    </row>
    <row r="8" spans="1:7" ht="42" customHeight="1">
      <c r="A8" s="195"/>
      <c r="B8" s="196"/>
      <c r="C8" s="660" t="s">
        <v>1302</v>
      </c>
      <c r="D8" s="661"/>
      <c r="E8" s="661"/>
      <c r="F8" s="661"/>
      <c r="G8" s="661"/>
    </row>
    <row r="9" spans="1:7" ht="27.75" customHeight="1">
      <c r="A9" s="195"/>
      <c r="B9" s="196"/>
      <c r="C9" s="660" t="s">
        <v>1303</v>
      </c>
      <c r="D9" s="661"/>
      <c r="E9" s="661"/>
      <c r="F9" s="661"/>
      <c r="G9" s="661"/>
    </row>
    <row r="10" spans="1:7" ht="53.25" customHeight="1">
      <c r="A10" s="195"/>
      <c r="B10" s="196"/>
      <c r="C10" s="660" t="s">
        <v>1304</v>
      </c>
      <c r="D10" s="661"/>
      <c r="E10" s="661"/>
      <c r="F10" s="661"/>
      <c r="G10" s="661"/>
    </row>
    <row r="11" spans="1:7" ht="21.6" customHeight="1">
      <c r="A11" s="197"/>
      <c r="B11" s="198"/>
      <c r="C11" s="664" t="s">
        <v>1305</v>
      </c>
      <c r="D11" s="665"/>
      <c r="E11" s="665"/>
      <c r="F11" s="665"/>
      <c r="G11" s="665"/>
    </row>
    <row r="12" spans="1:7" ht="15">
      <c r="A12" s="199"/>
      <c r="B12" s="200"/>
      <c r="C12" s="201"/>
      <c r="D12" s="202"/>
      <c r="E12" s="203"/>
      <c r="F12" s="225"/>
      <c r="G12" s="225"/>
    </row>
    <row r="13" spans="1:7" ht="15.75">
      <c r="A13" s="226">
        <v>1</v>
      </c>
      <c r="B13" s="227"/>
      <c r="C13" s="228" t="s">
        <v>1341</v>
      </c>
      <c r="D13" s="229"/>
      <c r="E13" s="230"/>
      <c r="F13" s="231"/>
      <c r="G13" s="231"/>
    </row>
    <row r="14" spans="1:7">
      <c r="A14" s="205"/>
      <c r="B14" s="206"/>
      <c r="C14" s="211"/>
      <c r="D14" s="208"/>
      <c r="E14" s="209"/>
      <c r="F14" s="225"/>
      <c r="G14" s="225"/>
    </row>
    <row r="15" spans="1:7" ht="51">
      <c r="A15" s="205"/>
      <c r="B15" s="206">
        <v>1</v>
      </c>
      <c r="C15" s="211" t="s">
        <v>1342</v>
      </c>
      <c r="D15" s="212" t="s">
        <v>138</v>
      </c>
      <c r="E15" s="213">
        <v>1</v>
      </c>
      <c r="F15" s="232"/>
      <c r="G15" s="225">
        <f t="shared" ref="G15:G44" si="0">E15*F15</f>
        <v>0</v>
      </c>
    </row>
    <row r="16" spans="1:7">
      <c r="A16" s="205"/>
      <c r="B16" s="206">
        <v>2</v>
      </c>
      <c r="C16" s="211" t="s">
        <v>1343</v>
      </c>
      <c r="D16" s="212" t="s">
        <v>138</v>
      </c>
      <c r="E16" s="213">
        <v>1</v>
      </c>
      <c r="F16" s="232"/>
      <c r="G16" s="225">
        <f t="shared" si="0"/>
        <v>0</v>
      </c>
    </row>
    <row r="17" spans="1:7" ht="38.25">
      <c r="A17" s="205"/>
      <c r="B17" s="206">
        <v>3</v>
      </c>
      <c r="C17" s="211" t="s">
        <v>1344</v>
      </c>
      <c r="D17" s="212" t="s">
        <v>138</v>
      </c>
      <c r="E17" s="213">
        <v>1</v>
      </c>
      <c r="F17" s="232"/>
      <c r="G17" s="225">
        <f t="shared" si="0"/>
        <v>0</v>
      </c>
    </row>
    <row r="18" spans="1:7">
      <c r="A18" s="205"/>
      <c r="B18" s="206">
        <v>4</v>
      </c>
      <c r="C18" s="211" t="s">
        <v>1345</v>
      </c>
      <c r="D18" s="212" t="s">
        <v>138</v>
      </c>
      <c r="E18" s="213">
        <v>1</v>
      </c>
      <c r="F18" s="232"/>
      <c r="G18" s="225">
        <f t="shared" si="0"/>
        <v>0</v>
      </c>
    </row>
    <row r="19" spans="1:7">
      <c r="A19" s="205"/>
      <c r="B19" s="206">
        <v>5</v>
      </c>
      <c r="C19" s="211" t="s">
        <v>1346</v>
      </c>
      <c r="D19" s="212" t="s">
        <v>138</v>
      </c>
      <c r="E19" s="213">
        <v>59</v>
      </c>
      <c r="F19" s="232"/>
      <c r="G19" s="225">
        <f t="shared" si="0"/>
        <v>0</v>
      </c>
    </row>
    <row r="20" spans="1:7">
      <c r="A20" s="205"/>
      <c r="B20" s="206">
        <v>6</v>
      </c>
      <c r="C20" s="211" t="s">
        <v>1347</v>
      </c>
      <c r="D20" s="212" t="s">
        <v>805</v>
      </c>
      <c r="E20" s="213">
        <v>29</v>
      </c>
      <c r="F20" s="232"/>
      <c r="G20" s="225">
        <f t="shared" si="0"/>
        <v>0</v>
      </c>
    </row>
    <row r="21" spans="1:7">
      <c r="A21" s="205"/>
      <c r="B21" s="206">
        <v>7</v>
      </c>
      <c r="C21" s="211" t="s">
        <v>1348</v>
      </c>
      <c r="D21" s="212" t="s">
        <v>805</v>
      </c>
      <c r="E21" s="213">
        <v>4</v>
      </c>
      <c r="F21" s="232"/>
      <c r="G21" s="225">
        <f t="shared" si="0"/>
        <v>0</v>
      </c>
    </row>
    <row r="22" spans="1:7">
      <c r="A22" s="205"/>
      <c r="B22" s="206">
        <v>8</v>
      </c>
      <c r="C22" s="211" t="s">
        <v>1349</v>
      </c>
      <c r="D22" s="212" t="s">
        <v>805</v>
      </c>
      <c r="E22" s="213">
        <v>3</v>
      </c>
      <c r="F22" s="232"/>
      <c r="G22" s="225">
        <f t="shared" si="0"/>
        <v>0</v>
      </c>
    </row>
    <row r="23" spans="1:7">
      <c r="A23" s="205"/>
      <c r="B23" s="206">
        <v>9</v>
      </c>
      <c r="C23" s="211" t="s">
        <v>1350</v>
      </c>
      <c r="D23" s="212" t="s">
        <v>805</v>
      </c>
      <c r="E23" s="213">
        <v>95</v>
      </c>
      <c r="F23" s="232"/>
      <c r="G23" s="225">
        <f t="shared" si="0"/>
        <v>0</v>
      </c>
    </row>
    <row r="24" spans="1:7">
      <c r="A24" s="205"/>
      <c r="B24" s="206">
        <v>10</v>
      </c>
      <c r="C24" s="211" t="s">
        <v>1351</v>
      </c>
      <c r="D24" s="212" t="s">
        <v>219</v>
      </c>
      <c r="E24" s="213">
        <v>30</v>
      </c>
      <c r="F24" s="232"/>
      <c r="G24" s="225">
        <f t="shared" si="0"/>
        <v>0</v>
      </c>
    </row>
    <row r="25" spans="1:7" ht="25.5">
      <c r="A25" s="205"/>
      <c r="B25" s="206">
        <v>11</v>
      </c>
      <c r="C25" s="211" t="s">
        <v>1352</v>
      </c>
      <c r="D25" s="212" t="s">
        <v>219</v>
      </c>
      <c r="E25" s="213">
        <v>30</v>
      </c>
      <c r="F25" s="232"/>
      <c r="G25" s="225">
        <f t="shared" si="0"/>
        <v>0</v>
      </c>
    </row>
    <row r="26" spans="1:7">
      <c r="A26" s="205"/>
      <c r="B26" s="206">
        <v>12</v>
      </c>
      <c r="C26" s="211" t="s">
        <v>1353</v>
      </c>
      <c r="D26" s="212" t="s">
        <v>219</v>
      </c>
      <c r="E26" s="213">
        <v>150</v>
      </c>
      <c r="F26" s="232"/>
      <c r="G26" s="225">
        <f t="shared" si="0"/>
        <v>0</v>
      </c>
    </row>
    <row r="27" spans="1:7" ht="25.5">
      <c r="A27" s="205"/>
      <c r="B27" s="206">
        <v>13</v>
      </c>
      <c r="C27" s="211" t="s">
        <v>1354</v>
      </c>
      <c r="D27" s="212" t="s">
        <v>219</v>
      </c>
      <c r="E27" s="213">
        <v>950</v>
      </c>
      <c r="F27" s="232"/>
      <c r="G27" s="225">
        <f t="shared" si="0"/>
        <v>0</v>
      </c>
    </row>
    <row r="28" spans="1:7" ht="51">
      <c r="A28" s="205"/>
      <c r="B28" s="206">
        <v>14</v>
      </c>
      <c r="C28" s="211" t="s">
        <v>1355</v>
      </c>
      <c r="D28" s="212" t="s">
        <v>138</v>
      </c>
      <c r="E28" s="213">
        <v>1</v>
      </c>
      <c r="F28" s="232"/>
      <c r="G28" s="225">
        <f t="shared" si="0"/>
        <v>0</v>
      </c>
    </row>
    <row r="29" spans="1:7" ht="51">
      <c r="A29" s="205"/>
      <c r="B29" s="206">
        <v>15</v>
      </c>
      <c r="C29" s="211" t="s">
        <v>1356</v>
      </c>
      <c r="D29" s="212" t="s">
        <v>138</v>
      </c>
      <c r="E29" s="213">
        <v>1</v>
      </c>
      <c r="F29" s="232"/>
      <c r="G29" s="225">
        <f t="shared" si="0"/>
        <v>0</v>
      </c>
    </row>
    <row r="30" spans="1:7">
      <c r="A30" s="205"/>
      <c r="B30" s="206">
        <v>16</v>
      </c>
      <c r="C30" s="211" t="s">
        <v>1357</v>
      </c>
      <c r="D30" s="212" t="s">
        <v>138</v>
      </c>
      <c r="E30" s="213">
        <v>9</v>
      </c>
      <c r="F30" s="232"/>
      <c r="G30" s="225">
        <f t="shared" si="0"/>
        <v>0</v>
      </c>
    </row>
    <row r="31" spans="1:7">
      <c r="A31" s="205"/>
      <c r="B31" s="206">
        <v>17</v>
      </c>
      <c r="C31" s="211" t="s">
        <v>1358</v>
      </c>
      <c r="D31" s="212" t="s">
        <v>138</v>
      </c>
      <c r="E31" s="213">
        <v>23</v>
      </c>
      <c r="F31" s="232"/>
      <c r="G31" s="225">
        <f t="shared" si="0"/>
        <v>0</v>
      </c>
    </row>
    <row r="32" spans="1:7">
      <c r="A32" s="205"/>
      <c r="B32" s="206">
        <v>18</v>
      </c>
      <c r="C32" s="211" t="s">
        <v>1359</v>
      </c>
      <c r="D32" s="212" t="s">
        <v>138</v>
      </c>
      <c r="E32" s="213">
        <v>1</v>
      </c>
      <c r="F32" s="232"/>
      <c r="G32" s="225">
        <f t="shared" si="0"/>
        <v>0</v>
      </c>
    </row>
    <row r="33" spans="1:7">
      <c r="A33" s="205"/>
      <c r="B33" s="206">
        <v>19</v>
      </c>
      <c r="C33" s="211" t="s">
        <v>1360</v>
      </c>
      <c r="D33" s="212" t="s">
        <v>219</v>
      </c>
      <c r="E33" s="213">
        <v>400</v>
      </c>
      <c r="F33" s="232"/>
      <c r="G33" s="225">
        <f t="shared" si="0"/>
        <v>0</v>
      </c>
    </row>
    <row r="34" spans="1:7">
      <c r="A34" s="205"/>
      <c r="B34" s="206">
        <v>20</v>
      </c>
      <c r="C34" s="211" t="s">
        <v>1323</v>
      </c>
      <c r="D34" s="212" t="s">
        <v>219</v>
      </c>
      <c r="E34" s="213">
        <v>50</v>
      </c>
      <c r="F34" s="232"/>
      <c r="G34" s="225">
        <f t="shared" si="0"/>
        <v>0</v>
      </c>
    </row>
    <row r="35" spans="1:7">
      <c r="A35" s="205"/>
      <c r="B35" s="206">
        <v>21</v>
      </c>
      <c r="C35" s="211" t="s">
        <v>1325</v>
      </c>
      <c r="D35" s="212" t="s">
        <v>219</v>
      </c>
      <c r="E35" s="213">
        <v>25</v>
      </c>
      <c r="F35" s="232"/>
      <c r="G35" s="225">
        <f t="shared" si="0"/>
        <v>0</v>
      </c>
    </row>
    <row r="36" spans="1:7" ht="25.5">
      <c r="A36" s="205"/>
      <c r="B36" s="206">
        <v>22</v>
      </c>
      <c r="C36" s="211" t="s">
        <v>1361</v>
      </c>
      <c r="D36" s="212" t="s">
        <v>138</v>
      </c>
      <c r="E36" s="213">
        <v>2000</v>
      </c>
      <c r="F36" s="232"/>
      <c r="G36" s="225">
        <f t="shared" si="0"/>
        <v>0</v>
      </c>
    </row>
    <row r="37" spans="1:7" ht="25.5">
      <c r="A37" s="205"/>
      <c r="B37" s="206">
        <v>23</v>
      </c>
      <c r="C37" s="211" t="s">
        <v>1362</v>
      </c>
      <c r="D37" s="212" t="s">
        <v>138</v>
      </c>
      <c r="E37" s="213">
        <v>400</v>
      </c>
      <c r="F37" s="232"/>
      <c r="G37" s="225">
        <f t="shared" si="0"/>
        <v>0</v>
      </c>
    </row>
    <row r="38" spans="1:7">
      <c r="A38" s="205"/>
      <c r="B38" s="206">
        <v>24</v>
      </c>
      <c r="C38" s="211" t="s">
        <v>1332</v>
      </c>
      <c r="D38" s="212" t="s">
        <v>805</v>
      </c>
      <c r="E38" s="213">
        <v>1</v>
      </c>
      <c r="F38" s="232"/>
      <c r="G38" s="225">
        <f t="shared" si="0"/>
        <v>0</v>
      </c>
    </row>
    <row r="39" spans="1:7">
      <c r="A39" s="205"/>
      <c r="B39" s="206">
        <v>25</v>
      </c>
      <c r="C39" s="211" t="s">
        <v>1333</v>
      </c>
      <c r="D39" s="212" t="s">
        <v>805</v>
      </c>
      <c r="E39" s="213">
        <v>1</v>
      </c>
      <c r="F39" s="232"/>
      <c r="G39" s="225">
        <f t="shared" si="0"/>
        <v>0</v>
      </c>
    </row>
    <row r="40" spans="1:7">
      <c r="A40" s="205"/>
      <c r="B40" s="206">
        <v>26</v>
      </c>
      <c r="C40" s="211" t="s">
        <v>1334</v>
      </c>
      <c r="D40" s="212" t="s">
        <v>805</v>
      </c>
      <c r="E40" s="213">
        <v>1</v>
      </c>
      <c r="F40" s="232"/>
      <c r="G40" s="225">
        <f t="shared" si="0"/>
        <v>0</v>
      </c>
    </row>
    <row r="41" spans="1:7">
      <c r="A41" s="205"/>
      <c r="B41" s="206">
        <v>27</v>
      </c>
      <c r="C41" s="211" t="s">
        <v>1111</v>
      </c>
      <c r="D41" s="212" t="s">
        <v>805</v>
      </c>
      <c r="E41" s="213">
        <v>1</v>
      </c>
      <c r="F41" s="232"/>
      <c r="G41" s="225">
        <f t="shared" si="0"/>
        <v>0</v>
      </c>
    </row>
    <row r="42" spans="1:7">
      <c r="A42" s="205"/>
      <c r="B42" s="206">
        <v>28</v>
      </c>
      <c r="C42" s="211" t="s">
        <v>1335</v>
      </c>
      <c r="D42" s="212" t="s">
        <v>805</v>
      </c>
      <c r="E42" s="213">
        <v>1</v>
      </c>
      <c r="F42" s="232"/>
      <c r="G42" s="225">
        <f t="shared" si="0"/>
        <v>0</v>
      </c>
    </row>
    <row r="43" spans="1:7" ht="12.75" customHeight="1">
      <c r="A43" s="205"/>
      <c r="B43" s="206">
        <v>29</v>
      </c>
      <c r="C43" s="211" t="s">
        <v>1336</v>
      </c>
      <c r="D43" s="212" t="s">
        <v>805</v>
      </c>
      <c r="E43" s="213">
        <v>1</v>
      </c>
      <c r="F43" s="232"/>
      <c r="G43" s="225">
        <f t="shared" si="0"/>
        <v>0</v>
      </c>
    </row>
    <row r="44" spans="1:7">
      <c r="A44" s="205"/>
      <c r="B44" s="206">
        <v>30</v>
      </c>
      <c r="C44" s="211" t="s">
        <v>1337</v>
      </c>
      <c r="D44" s="212" t="s">
        <v>805</v>
      </c>
      <c r="E44" s="213">
        <v>1</v>
      </c>
      <c r="F44" s="232"/>
      <c r="G44" s="225">
        <f t="shared" si="0"/>
        <v>0</v>
      </c>
    </row>
    <row r="45" spans="1:7" ht="13.5" thickBot="1">
      <c r="A45" s="205"/>
      <c r="B45" s="215"/>
      <c r="C45" s="211"/>
      <c r="D45" s="216"/>
      <c r="E45" s="217"/>
      <c r="F45" s="225"/>
      <c r="G45" s="225"/>
    </row>
    <row r="46" spans="1:7" ht="16.5" thickBot="1">
      <c r="A46" s="218"/>
      <c r="B46" s="219"/>
      <c r="C46" s="220" t="s">
        <v>1363</v>
      </c>
      <c r="D46" s="221"/>
      <c r="E46" s="222"/>
      <c r="F46" s="233"/>
      <c r="G46" s="233">
        <f>SUM(G15:G45)</f>
        <v>0</v>
      </c>
    </row>
  </sheetData>
  <mergeCells count="8">
    <mergeCell ref="C10:G10"/>
    <mergeCell ref="C11:G11"/>
    <mergeCell ref="A1:B1"/>
    <mergeCell ref="F1:G1"/>
    <mergeCell ref="C6:G6"/>
    <mergeCell ref="C7:G7"/>
    <mergeCell ref="C8:G8"/>
    <mergeCell ref="C9:G9"/>
  </mergeCells>
  <pageMargins left="0.70866141732283472" right="0.70866141732283472" top="0.78740157480314965" bottom="0.78740157480314965" header="0.31496062992125984" footer="0.31496062992125984"/>
  <pageSetup paperSize="9" scale="7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E19B7-D66A-4FC4-A1DD-B76A4B8EDA32}">
  <sheetPr codeName="List13155">
    <tabColor rgb="FF92D050"/>
    <pageSetUpPr fitToPage="1"/>
  </sheetPr>
  <dimension ref="A1:R1779"/>
  <sheetViews>
    <sheetView view="pageBreakPreview" zoomScaleNormal="100" zoomScaleSheetLayoutView="100" workbookViewId="0">
      <pane ySplit="3" topLeftCell="A4" activePane="bottomLeft" state="frozen"/>
      <selection pane="bottomLeft" activeCell="F14" sqref="F14"/>
    </sheetView>
  </sheetViews>
  <sheetFormatPr defaultRowHeight="11.25"/>
  <cols>
    <col min="1" max="1" width="12.28515625" style="287" customWidth="1"/>
    <col min="2" max="2" width="57.7109375" style="288" customWidth="1"/>
    <col min="3" max="3" width="7.5703125" style="288" customWidth="1"/>
    <col min="4" max="4" width="9.140625" style="288"/>
    <col min="5" max="5" width="10.28515625" style="288" customWidth="1"/>
    <col min="6" max="6" width="17.42578125" style="289" customWidth="1"/>
    <col min="7" max="7" width="19.7109375" style="289" customWidth="1"/>
    <col min="8" max="256" width="9.140625" style="240"/>
    <col min="257" max="257" width="12.28515625" style="240" customWidth="1"/>
    <col min="258" max="258" width="57.7109375" style="240" customWidth="1"/>
    <col min="259" max="259" width="7.5703125" style="240" customWidth="1"/>
    <col min="260" max="260" width="9.140625" style="240"/>
    <col min="261" max="261" width="10.28515625" style="240" customWidth="1"/>
    <col min="262" max="262" width="17.42578125" style="240" customWidth="1"/>
    <col min="263" max="263" width="19.7109375" style="240" customWidth="1"/>
    <col min="264" max="512" width="9.140625" style="240"/>
    <col min="513" max="513" width="12.28515625" style="240" customWidth="1"/>
    <col min="514" max="514" width="57.7109375" style="240" customWidth="1"/>
    <col min="515" max="515" width="7.5703125" style="240" customWidth="1"/>
    <col min="516" max="516" width="9.140625" style="240"/>
    <col min="517" max="517" width="10.28515625" style="240" customWidth="1"/>
    <col min="518" max="518" width="17.42578125" style="240" customWidth="1"/>
    <col min="519" max="519" width="19.7109375" style="240" customWidth="1"/>
    <col min="520" max="768" width="9.140625" style="240"/>
    <col min="769" max="769" width="12.28515625" style="240" customWidth="1"/>
    <col min="770" max="770" width="57.7109375" style="240" customWidth="1"/>
    <col min="771" max="771" width="7.5703125" style="240" customWidth="1"/>
    <col min="772" max="772" width="9.140625" style="240"/>
    <col min="773" max="773" width="10.28515625" style="240" customWidth="1"/>
    <col min="774" max="774" width="17.42578125" style="240" customWidth="1"/>
    <col min="775" max="775" width="19.7109375" style="240" customWidth="1"/>
    <col min="776" max="1024" width="9.140625" style="240"/>
    <col min="1025" max="1025" width="12.28515625" style="240" customWidth="1"/>
    <col min="1026" max="1026" width="57.7109375" style="240" customWidth="1"/>
    <col min="1027" max="1027" width="7.5703125" style="240" customWidth="1"/>
    <col min="1028" max="1028" width="9.140625" style="240"/>
    <col min="1029" max="1029" width="10.28515625" style="240" customWidth="1"/>
    <col min="1030" max="1030" width="17.42578125" style="240" customWidth="1"/>
    <col min="1031" max="1031" width="19.7109375" style="240" customWidth="1"/>
    <col min="1032" max="1280" width="9.140625" style="240"/>
    <col min="1281" max="1281" width="12.28515625" style="240" customWidth="1"/>
    <col min="1282" max="1282" width="57.7109375" style="240" customWidth="1"/>
    <col min="1283" max="1283" width="7.5703125" style="240" customWidth="1"/>
    <col min="1284" max="1284" width="9.140625" style="240"/>
    <col min="1285" max="1285" width="10.28515625" style="240" customWidth="1"/>
    <col min="1286" max="1286" width="17.42578125" style="240" customWidth="1"/>
    <col min="1287" max="1287" width="19.7109375" style="240" customWidth="1"/>
    <col min="1288" max="1536" width="9.140625" style="240"/>
    <col min="1537" max="1537" width="12.28515625" style="240" customWidth="1"/>
    <col min="1538" max="1538" width="57.7109375" style="240" customWidth="1"/>
    <col min="1539" max="1539" width="7.5703125" style="240" customWidth="1"/>
    <col min="1540" max="1540" width="9.140625" style="240"/>
    <col min="1541" max="1541" width="10.28515625" style="240" customWidth="1"/>
    <col min="1542" max="1542" width="17.42578125" style="240" customWidth="1"/>
    <col min="1543" max="1543" width="19.7109375" style="240" customWidth="1"/>
    <col min="1544" max="1792" width="9.140625" style="240"/>
    <col min="1793" max="1793" width="12.28515625" style="240" customWidth="1"/>
    <col min="1794" max="1794" width="57.7109375" style="240" customWidth="1"/>
    <col min="1795" max="1795" width="7.5703125" style="240" customWidth="1"/>
    <col min="1796" max="1796" width="9.140625" style="240"/>
    <col min="1797" max="1797" width="10.28515625" style="240" customWidth="1"/>
    <col min="1798" max="1798" width="17.42578125" style="240" customWidth="1"/>
    <col min="1799" max="1799" width="19.7109375" style="240" customWidth="1"/>
    <col min="1800" max="2048" width="9.140625" style="240"/>
    <col min="2049" max="2049" width="12.28515625" style="240" customWidth="1"/>
    <col min="2050" max="2050" width="57.7109375" style="240" customWidth="1"/>
    <col min="2051" max="2051" width="7.5703125" style="240" customWidth="1"/>
    <col min="2052" max="2052" width="9.140625" style="240"/>
    <col min="2053" max="2053" width="10.28515625" style="240" customWidth="1"/>
    <col min="2054" max="2054" width="17.42578125" style="240" customWidth="1"/>
    <col min="2055" max="2055" width="19.7109375" style="240" customWidth="1"/>
    <col min="2056" max="2304" width="9.140625" style="240"/>
    <col min="2305" max="2305" width="12.28515625" style="240" customWidth="1"/>
    <col min="2306" max="2306" width="57.7109375" style="240" customWidth="1"/>
    <col min="2307" max="2307" width="7.5703125" style="240" customWidth="1"/>
    <col min="2308" max="2308" width="9.140625" style="240"/>
    <col min="2309" max="2309" width="10.28515625" style="240" customWidth="1"/>
    <col min="2310" max="2310" width="17.42578125" style="240" customWidth="1"/>
    <col min="2311" max="2311" width="19.7109375" style="240" customWidth="1"/>
    <col min="2312" max="2560" width="9.140625" style="240"/>
    <col min="2561" max="2561" width="12.28515625" style="240" customWidth="1"/>
    <col min="2562" max="2562" width="57.7109375" style="240" customWidth="1"/>
    <col min="2563" max="2563" width="7.5703125" style="240" customWidth="1"/>
    <col min="2564" max="2564" width="9.140625" style="240"/>
    <col min="2565" max="2565" width="10.28515625" style="240" customWidth="1"/>
    <col min="2566" max="2566" width="17.42578125" style="240" customWidth="1"/>
    <col min="2567" max="2567" width="19.7109375" style="240" customWidth="1"/>
    <col min="2568" max="2816" width="9.140625" style="240"/>
    <col min="2817" max="2817" width="12.28515625" style="240" customWidth="1"/>
    <col min="2818" max="2818" width="57.7109375" style="240" customWidth="1"/>
    <col min="2819" max="2819" width="7.5703125" style="240" customWidth="1"/>
    <col min="2820" max="2820" width="9.140625" style="240"/>
    <col min="2821" max="2821" width="10.28515625" style="240" customWidth="1"/>
    <col min="2822" max="2822" width="17.42578125" style="240" customWidth="1"/>
    <col min="2823" max="2823" width="19.7109375" style="240" customWidth="1"/>
    <col min="2824" max="3072" width="9.140625" style="240"/>
    <col min="3073" max="3073" width="12.28515625" style="240" customWidth="1"/>
    <col min="3074" max="3074" width="57.7109375" style="240" customWidth="1"/>
    <col min="3075" max="3075" width="7.5703125" style="240" customWidth="1"/>
    <col min="3076" max="3076" width="9.140625" style="240"/>
    <col min="3077" max="3077" width="10.28515625" style="240" customWidth="1"/>
    <col min="3078" max="3078" width="17.42578125" style="240" customWidth="1"/>
    <col min="3079" max="3079" width="19.7109375" style="240" customWidth="1"/>
    <col min="3080" max="3328" width="9.140625" style="240"/>
    <col min="3329" max="3329" width="12.28515625" style="240" customWidth="1"/>
    <col min="3330" max="3330" width="57.7109375" style="240" customWidth="1"/>
    <col min="3331" max="3331" width="7.5703125" style="240" customWidth="1"/>
    <col min="3332" max="3332" width="9.140625" style="240"/>
    <col min="3333" max="3333" width="10.28515625" style="240" customWidth="1"/>
    <col min="3334" max="3334" width="17.42578125" style="240" customWidth="1"/>
    <col min="3335" max="3335" width="19.7109375" style="240" customWidth="1"/>
    <col min="3336" max="3584" width="9.140625" style="240"/>
    <col min="3585" max="3585" width="12.28515625" style="240" customWidth="1"/>
    <col min="3586" max="3586" width="57.7109375" style="240" customWidth="1"/>
    <col min="3587" max="3587" width="7.5703125" style="240" customWidth="1"/>
    <col min="3588" max="3588" width="9.140625" style="240"/>
    <col min="3589" max="3589" width="10.28515625" style="240" customWidth="1"/>
    <col min="3590" max="3590" width="17.42578125" style="240" customWidth="1"/>
    <col min="3591" max="3591" width="19.7109375" style="240" customWidth="1"/>
    <col min="3592" max="3840" width="9.140625" style="240"/>
    <col min="3841" max="3841" width="12.28515625" style="240" customWidth="1"/>
    <col min="3842" max="3842" width="57.7109375" style="240" customWidth="1"/>
    <col min="3843" max="3843" width="7.5703125" style="240" customWidth="1"/>
    <col min="3844" max="3844" width="9.140625" style="240"/>
    <col min="3845" max="3845" width="10.28515625" style="240" customWidth="1"/>
    <col min="3846" max="3846" width="17.42578125" style="240" customWidth="1"/>
    <col min="3847" max="3847" width="19.7109375" style="240" customWidth="1"/>
    <col min="3848" max="4096" width="9.140625" style="240"/>
    <col min="4097" max="4097" width="12.28515625" style="240" customWidth="1"/>
    <col min="4098" max="4098" width="57.7109375" style="240" customWidth="1"/>
    <col min="4099" max="4099" width="7.5703125" style="240" customWidth="1"/>
    <col min="4100" max="4100" width="9.140625" style="240"/>
    <col min="4101" max="4101" width="10.28515625" style="240" customWidth="1"/>
    <col min="4102" max="4102" width="17.42578125" style="240" customWidth="1"/>
    <col min="4103" max="4103" width="19.7109375" style="240" customWidth="1"/>
    <col min="4104" max="4352" width="9.140625" style="240"/>
    <col min="4353" max="4353" width="12.28515625" style="240" customWidth="1"/>
    <col min="4354" max="4354" width="57.7109375" style="240" customWidth="1"/>
    <col min="4355" max="4355" width="7.5703125" style="240" customWidth="1"/>
    <col min="4356" max="4356" width="9.140625" style="240"/>
    <col min="4357" max="4357" width="10.28515625" style="240" customWidth="1"/>
    <col min="4358" max="4358" width="17.42578125" style="240" customWidth="1"/>
    <col min="4359" max="4359" width="19.7109375" style="240" customWidth="1"/>
    <col min="4360" max="4608" width="9.140625" style="240"/>
    <col min="4609" max="4609" width="12.28515625" style="240" customWidth="1"/>
    <col min="4610" max="4610" width="57.7109375" style="240" customWidth="1"/>
    <col min="4611" max="4611" width="7.5703125" style="240" customWidth="1"/>
    <col min="4612" max="4612" width="9.140625" style="240"/>
    <col min="4613" max="4613" width="10.28515625" style="240" customWidth="1"/>
    <col min="4614" max="4614" width="17.42578125" style="240" customWidth="1"/>
    <col min="4615" max="4615" width="19.7109375" style="240" customWidth="1"/>
    <col min="4616" max="4864" width="9.140625" style="240"/>
    <col min="4865" max="4865" width="12.28515625" style="240" customWidth="1"/>
    <col min="4866" max="4866" width="57.7109375" style="240" customWidth="1"/>
    <col min="4867" max="4867" width="7.5703125" style="240" customWidth="1"/>
    <col min="4868" max="4868" width="9.140625" style="240"/>
    <col min="4869" max="4869" width="10.28515625" style="240" customWidth="1"/>
    <col min="4870" max="4870" width="17.42578125" style="240" customWidth="1"/>
    <col min="4871" max="4871" width="19.7109375" style="240" customWidth="1"/>
    <col min="4872" max="5120" width="9.140625" style="240"/>
    <col min="5121" max="5121" width="12.28515625" style="240" customWidth="1"/>
    <col min="5122" max="5122" width="57.7109375" style="240" customWidth="1"/>
    <col min="5123" max="5123" width="7.5703125" style="240" customWidth="1"/>
    <col min="5124" max="5124" width="9.140625" style="240"/>
    <col min="5125" max="5125" width="10.28515625" style="240" customWidth="1"/>
    <col min="5126" max="5126" width="17.42578125" style="240" customWidth="1"/>
    <col min="5127" max="5127" width="19.7109375" style="240" customWidth="1"/>
    <col min="5128" max="5376" width="9.140625" style="240"/>
    <col min="5377" max="5377" width="12.28515625" style="240" customWidth="1"/>
    <col min="5378" max="5378" width="57.7109375" style="240" customWidth="1"/>
    <col min="5379" max="5379" width="7.5703125" style="240" customWidth="1"/>
    <col min="5380" max="5380" width="9.140625" style="240"/>
    <col min="5381" max="5381" width="10.28515625" style="240" customWidth="1"/>
    <col min="5382" max="5382" width="17.42578125" style="240" customWidth="1"/>
    <col min="5383" max="5383" width="19.7109375" style="240" customWidth="1"/>
    <col min="5384" max="5632" width="9.140625" style="240"/>
    <col min="5633" max="5633" width="12.28515625" style="240" customWidth="1"/>
    <col min="5634" max="5634" width="57.7109375" style="240" customWidth="1"/>
    <col min="5635" max="5635" width="7.5703125" style="240" customWidth="1"/>
    <col min="5636" max="5636" width="9.140625" style="240"/>
    <col min="5637" max="5637" width="10.28515625" style="240" customWidth="1"/>
    <col min="5638" max="5638" width="17.42578125" style="240" customWidth="1"/>
    <col min="5639" max="5639" width="19.7109375" style="240" customWidth="1"/>
    <col min="5640" max="5888" width="9.140625" style="240"/>
    <col min="5889" max="5889" width="12.28515625" style="240" customWidth="1"/>
    <col min="5890" max="5890" width="57.7109375" style="240" customWidth="1"/>
    <col min="5891" max="5891" width="7.5703125" style="240" customWidth="1"/>
    <col min="5892" max="5892" width="9.140625" style="240"/>
    <col min="5893" max="5893" width="10.28515625" style="240" customWidth="1"/>
    <col min="5894" max="5894" width="17.42578125" style="240" customWidth="1"/>
    <col min="5895" max="5895" width="19.7109375" style="240" customWidth="1"/>
    <col min="5896" max="6144" width="9.140625" style="240"/>
    <col min="6145" max="6145" width="12.28515625" style="240" customWidth="1"/>
    <col min="6146" max="6146" width="57.7109375" style="240" customWidth="1"/>
    <col min="6147" max="6147" width="7.5703125" style="240" customWidth="1"/>
    <col min="6148" max="6148" width="9.140625" style="240"/>
    <col min="6149" max="6149" width="10.28515625" style="240" customWidth="1"/>
    <col min="6150" max="6150" width="17.42578125" style="240" customWidth="1"/>
    <col min="6151" max="6151" width="19.7109375" style="240" customWidth="1"/>
    <col min="6152" max="6400" width="9.140625" style="240"/>
    <col min="6401" max="6401" width="12.28515625" style="240" customWidth="1"/>
    <col min="6402" max="6402" width="57.7109375" style="240" customWidth="1"/>
    <col min="6403" max="6403" width="7.5703125" style="240" customWidth="1"/>
    <col min="6404" max="6404" width="9.140625" style="240"/>
    <col min="6405" max="6405" width="10.28515625" style="240" customWidth="1"/>
    <col min="6406" max="6406" width="17.42578125" style="240" customWidth="1"/>
    <col min="6407" max="6407" width="19.7109375" style="240" customWidth="1"/>
    <col min="6408" max="6656" width="9.140625" style="240"/>
    <col min="6657" max="6657" width="12.28515625" style="240" customWidth="1"/>
    <col min="6658" max="6658" width="57.7109375" style="240" customWidth="1"/>
    <col min="6659" max="6659" width="7.5703125" style="240" customWidth="1"/>
    <col min="6660" max="6660" width="9.140625" style="240"/>
    <col min="6661" max="6661" width="10.28515625" style="240" customWidth="1"/>
    <col min="6662" max="6662" width="17.42578125" style="240" customWidth="1"/>
    <col min="6663" max="6663" width="19.7109375" style="240" customWidth="1"/>
    <col min="6664" max="6912" width="9.140625" style="240"/>
    <col min="6913" max="6913" width="12.28515625" style="240" customWidth="1"/>
    <col min="6914" max="6914" width="57.7109375" style="240" customWidth="1"/>
    <col min="6915" max="6915" width="7.5703125" style="240" customWidth="1"/>
    <col min="6916" max="6916" width="9.140625" style="240"/>
    <col min="6917" max="6917" width="10.28515625" style="240" customWidth="1"/>
    <col min="6918" max="6918" width="17.42578125" style="240" customWidth="1"/>
    <col min="6919" max="6919" width="19.7109375" style="240" customWidth="1"/>
    <col min="6920" max="7168" width="9.140625" style="240"/>
    <col min="7169" max="7169" width="12.28515625" style="240" customWidth="1"/>
    <col min="7170" max="7170" width="57.7109375" style="240" customWidth="1"/>
    <col min="7171" max="7171" width="7.5703125" style="240" customWidth="1"/>
    <col min="7172" max="7172" width="9.140625" style="240"/>
    <col min="7173" max="7173" width="10.28515625" style="240" customWidth="1"/>
    <col min="7174" max="7174" width="17.42578125" style="240" customWidth="1"/>
    <col min="7175" max="7175" width="19.7109375" style="240" customWidth="1"/>
    <col min="7176" max="7424" width="9.140625" style="240"/>
    <col min="7425" max="7425" width="12.28515625" style="240" customWidth="1"/>
    <col min="7426" max="7426" width="57.7109375" style="240" customWidth="1"/>
    <col min="7427" max="7427" width="7.5703125" style="240" customWidth="1"/>
    <col min="7428" max="7428" width="9.140625" style="240"/>
    <col min="7429" max="7429" width="10.28515625" style="240" customWidth="1"/>
    <col min="7430" max="7430" width="17.42578125" style="240" customWidth="1"/>
    <col min="7431" max="7431" width="19.7109375" style="240" customWidth="1"/>
    <col min="7432" max="7680" width="9.140625" style="240"/>
    <col min="7681" max="7681" width="12.28515625" style="240" customWidth="1"/>
    <col min="7682" max="7682" width="57.7109375" style="240" customWidth="1"/>
    <col min="7683" max="7683" width="7.5703125" style="240" customWidth="1"/>
    <col min="7684" max="7684" width="9.140625" style="240"/>
    <col min="7685" max="7685" width="10.28515625" style="240" customWidth="1"/>
    <col min="7686" max="7686" width="17.42578125" style="240" customWidth="1"/>
    <col min="7687" max="7687" width="19.7109375" style="240" customWidth="1"/>
    <col min="7688" max="7936" width="9.140625" style="240"/>
    <col min="7937" max="7937" width="12.28515625" style="240" customWidth="1"/>
    <col min="7938" max="7938" width="57.7109375" style="240" customWidth="1"/>
    <col min="7939" max="7939" width="7.5703125" style="240" customWidth="1"/>
    <col min="7940" max="7940" width="9.140625" style="240"/>
    <col min="7941" max="7941" width="10.28515625" style="240" customWidth="1"/>
    <col min="7942" max="7942" width="17.42578125" style="240" customWidth="1"/>
    <col min="7943" max="7943" width="19.7109375" style="240" customWidth="1"/>
    <col min="7944" max="8192" width="9.140625" style="240"/>
    <col min="8193" max="8193" width="12.28515625" style="240" customWidth="1"/>
    <col min="8194" max="8194" width="57.7109375" style="240" customWidth="1"/>
    <col min="8195" max="8195" width="7.5703125" style="240" customWidth="1"/>
    <col min="8196" max="8196" width="9.140625" style="240"/>
    <col min="8197" max="8197" width="10.28515625" style="240" customWidth="1"/>
    <col min="8198" max="8198" width="17.42578125" style="240" customWidth="1"/>
    <col min="8199" max="8199" width="19.7109375" style="240" customWidth="1"/>
    <col min="8200" max="8448" width="9.140625" style="240"/>
    <col min="8449" max="8449" width="12.28515625" style="240" customWidth="1"/>
    <col min="8450" max="8450" width="57.7109375" style="240" customWidth="1"/>
    <col min="8451" max="8451" width="7.5703125" style="240" customWidth="1"/>
    <col min="8452" max="8452" width="9.140625" style="240"/>
    <col min="8453" max="8453" width="10.28515625" style="240" customWidth="1"/>
    <col min="8454" max="8454" width="17.42578125" style="240" customWidth="1"/>
    <col min="8455" max="8455" width="19.7109375" style="240" customWidth="1"/>
    <col min="8456" max="8704" width="9.140625" style="240"/>
    <col min="8705" max="8705" width="12.28515625" style="240" customWidth="1"/>
    <col min="8706" max="8706" width="57.7109375" style="240" customWidth="1"/>
    <col min="8707" max="8707" width="7.5703125" style="240" customWidth="1"/>
    <col min="8708" max="8708" width="9.140625" style="240"/>
    <col min="8709" max="8709" width="10.28515625" style="240" customWidth="1"/>
    <col min="8710" max="8710" width="17.42578125" style="240" customWidth="1"/>
    <col min="8711" max="8711" width="19.7109375" style="240" customWidth="1"/>
    <col min="8712" max="8960" width="9.140625" style="240"/>
    <col min="8961" max="8961" width="12.28515625" style="240" customWidth="1"/>
    <col min="8962" max="8962" width="57.7109375" style="240" customWidth="1"/>
    <col min="8963" max="8963" width="7.5703125" style="240" customWidth="1"/>
    <col min="8964" max="8964" width="9.140625" style="240"/>
    <col min="8965" max="8965" width="10.28515625" style="240" customWidth="1"/>
    <col min="8966" max="8966" width="17.42578125" style="240" customWidth="1"/>
    <col min="8967" max="8967" width="19.7109375" style="240" customWidth="1"/>
    <col min="8968" max="9216" width="9.140625" style="240"/>
    <col min="9217" max="9217" width="12.28515625" style="240" customWidth="1"/>
    <col min="9218" max="9218" width="57.7109375" style="240" customWidth="1"/>
    <col min="9219" max="9219" width="7.5703125" style="240" customWidth="1"/>
    <col min="9220" max="9220" width="9.140625" style="240"/>
    <col min="9221" max="9221" width="10.28515625" style="240" customWidth="1"/>
    <col min="9222" max="9222" width="17.42578125" style="240" customWidth="1"/>
    <col min="9223" max="9223" width="19.7109375" style="240" customWidth="1"/>
    <col min="9224" max="9472" width="9.140625" style="240"/>
    <col min="9473" max="9473" width="12.28515625" style="240" customWidth="1"/>
    <col min="9474" max="9474" width="57.7109375" style="240" customWidth="1"/>
    <col min="9475" max="9475" width="7.5703125" style="240" customWidth="1"/>
    <col min="9476" max="9476" width="9.140625" style="240"/>
    <col min="9477" max="9477" width="10.28515625" style="240" customWidth="1"/>
    <col min="9478" max="9478" width="17.42578125" style="240" customWidth="1"/>
    <col min="9479" max="9479" width="19.7109375" style="240" customWidth="1"/>
    <col min="9480" max="9728" width="9.140625" style="240"/>
    <col min="9729" max="9729" width="12.28515625" style="240" customWidth="1"/>
    <col min="9730" max="9730" width="57.7109375" style="240" customWidth="1"/>
    <col min="9731" max="9731" width="7.5703125" style="240" customWidth="1"/>
    <col min="9732" max="9732" width="9.140625" style="240"/>
    <col min="9733" max="9733" width="10.28515625" style="240" customWidth="1"/>
    <col min="9734" max="9734" width="17.42578125" style="240" customWidth="1"/>
    <col min="9735" max="9735" width="19.7109375" style="240" customWidth="1"/>
    <col min="9736" max="9984" width="9.140625" style="240"/>
    <col min="9985" max="9985" width="12.28515625" style="240" customWidth="1"/>
    <col min="9986" max="9986" width="57.7109375" style="240" customWidth="1"/>
    <col min="9987" max="9987" width="7.5703125" style="240" customWidth="1"/>
    <col min="9988" max="9988" width="9.140625" style="240"/>
    <col min="9989" max="9989" width="10.28515625" style="240" customWidth="1"/>
    <col min="9990" max="9990" width="17.42578125" style="240" customWidth="1"/>
    <col min="9991" max="9991" width="19.7109375" style="240" customWidth="1"/>
    <col min="9992" max="10240" width="9.140625" style="240"/>
    <col min="10241" max="10241" width="12.28515625" style="240" customWidth="1"/>
    <col min="10242" max="10242" width="57.7109375" style="240" customWidth="1"/>
    <col min="10243" max="10243" width="7.5703125" style="240" customWidth="1"/>
    <col min="10244" max="10244" width="9.140625" style="240"/>
    <col min="10245" max="10245" width="10.28515625" style="240" customWidth="1"/>
    <col min="10246" max="10246" width="17.42578125" style="240" customWidth="1"/>
    <col min="10247" max="10247" width="19.7109375" style="240" customWidth="1"/>
    <col min="10248" max="10496" width="9.140625" style="240"/>
    <col min="10497" max="10497" width="12.28515625" style="240" customWidth="1"/>
    <col min="10498" max="10498" width="57.7109375" style="240" customWidth="1"/>
    <col min="10499" max="10499" width="7.5703125" style="240" customWidth="1"/>
    <col min="10500" max="10500" width="9.140625" style="240"/>
    <col min="10501" max="10501" width="10.28515625" style="240" customWidth="1"/>
    <col min="10502" max="10502" width="17.42578125" style="240" customWidth="1"/>
    <col min="10503" max="10503" width="19.7109375" style="240" customWidth="1"/>
    <col min="10504" max="10752" width="9.140625" style="240"/>
    <col min="10753" max="10753" width="12.28515625" style="240" customWidth="1"/>
    <col min="10754" max="10754" width="57.7109375" style="240" customWidth="1"/>
    <col min="10755" max="10755" width="7.5703125" style="240" customWidth="1"/>
    <col min="10756" max="10756" width="9.140625" style="240"/>
    <col min="10757" max="10757" width="10.28515625" style="240" customWidth="1"/>
    <col min="10758" max="10758" width="17.42578125" style="240" customWidth="1"/>
    <col min="10759" max="10759" width="19.7109375" style="240" customWidth="1"/>
    <col min="10760" max="11008" width="9.140625" style="240"/>
    <col min="11009" max="11009" width="12.28515625" style="240" customWidth="1"/>
    <col min="11010" max="11010" width="57.7109375" style="240" customWidth="1"/>
    <col min="11011" max="11011" width="7.5703125" style="240" customWidth="1"/>
    <col min="11012" max="11012" width="9.140625" style="240"/>
    <col min="11013" max="11013" width="10.28515625" style="240" customWidth="1"/>
    <col min="11014" max="11014" width="17.42578125" style="240" customWidth="1"/>
    <col min="11015" max="11015" width="19.7109375" style="240" customWidth="1"/>
    <col min="11016" max="11264" width="9.140625" style="240"/>
    <col min="11265" max="11265" width="12.28515625" style="240" customWidth="1"/>
    <col min="11266" max="11266" width="57.7109375" style="240" customWidth="1"/>
    <col min="11267" max="11267" width="7.5703125" style="240" customWidth="1"/>
    <col min="11268" max="11268" width="9.140625" style="240"/>
    <col min="11269" max="11269" width="10.28515625" style="240" customWidth="1"/>
    <col min="11270" max="11270" width="17.42578125" style="240" customWidth="1"/>
    <col min="11271" max="11271" width="19.7109375" style="240" customWidth="1"/>
    <col min="11272" max="11520" width="9.140625" style="240"/>
    <col min="11521" max="11521" width="12.28515625" style="240" customWidth="1"/>
    <col min="11522" max="11522" width="57.7109375" style="240" customWidth="1"/>
    <col min="11523" max="11523" width="7.5703125" style="240" customWidth="1"/>
    <col min="11524" max="11524" width="9.140625" style="240"/>
    <col min="11525" max="11525" width="10.28515625" style="240" customWidth="1"/>
    <col min="11526" max="11526" width="17.42578125" style="240" customWidth="1"/>
    <col min="11527" max="11527" width="19.7109375" style="240" customWidth="1"/>
    <col min="11528" max="11776" width="9.140625" style="240"/>
    <col min="11777" max="11777" width="12.28515625" style="240" customWidth="1"/>
    <col min="11778" max="11778" width="57.7109375" style="240" customWidth="1"/>
    <col min="11779" max="11779" width="7.5703125" style="240" customWidth="1"/>
    <col min="11780" max="11780" width="9.140625" style="240"/>
    <col min="11781" max="11781" width="10.28515625" style="240" customWidth="1"/>
    <col min="11782" max="11782" width="17.42578125" style="240" customWidth="1"/>
    <col min="11783" max="11783" width="19.7109375" style="240" customWidth="1"/>
    <col min="11784" max="12032" width="9.140625" style="240"/>
    <col min="12033" max="12033" width="12.28515625" style="240" customWidth="1"/>
    <col min="12034" max="12034" width="57.7109375" style="240" customWidth="1"/>
    <col min="12035" max="12035" width="7.5703125" style="240" customWidth="1"/>
    <col min="12036" max="12036" width="9.140625" style="240"/>
    <col min="12037" max="12037" width="10.28515625" style="240" customWidth="1"/>
    <col min="12038" max="12038" width="17.42578125" style="240" customWidth="1"/>
    <col min="12039" max="12039" width="19.7109375" style="240" customWidth="1"/>
    <col min="12040" max="12288" width="9.140625" style="240"/>
    <col min="12289" max="12289" width="12.28515625" style="240" customWidth="1"/>
    <col min="12290" max="12290" width="57.7109375" style="240" customWidth="1"/>
    <col min="12291" max="12291" width="7.5703125" style="240" customWidth="1"/>
    <col min="12292" max="12292" width="9.140625" style="240"/>
    <col min="12293" max="12293" width="10.28515625" style="240" customWidth="1"/>
    <col min="12294" max="12294" width="17.42578125" style="240" customWidth="1"/>
    <col min="12295" max="12295" width="19.7109375" style="240" customWidth="1"/>
    <col min="12296" max="12544" width="9.140625" style="240"/>
    <col min="12545" max="12545" width="12.28515625" style="240" customWidth="1"/>
    <col min="12546" max="12546" width="57.7109375" style="240" customWidth="1"/>
    <col min="12547" max="12547" width="7.5703125" style="240" customWidth="1"/>
    <col min="12548" max="12548" width="9.140625" style="240"/>
    <col min="12549" max="12549" width="10.28515625" style="240" customWidth="1"/>
    <col min="12550" max="12550" width="17.42578125" style="240" customWidth="1"/>
    <col min="12551" max="12551" width="19.7109375" style="240" customWidth="1"/>
    <col min="12552" max="12800" width="9.140625" style="240"/>
    <col min="12801" max="12801" width="12.28515625" style="240" customWidth="1"/>
    <col min="12802" max="12802" width="57.7109375" style="240" customWidth="1"/>
    <col min="12803" max="12803" width="7.5703125" style="240" customWidth="1"/>
    <col min="12804" max="12804" width="9.140625" style="240"/>
    <col min="12805" max="12805" width="10.28515625" style="240" customWidth="1"/>
    <col min="12806" max="12806" width="17.42578125" style="240" customWidth="1"/>
    <col min="12807" max="12807" width="19.7109375" style="240" customWidth="1"/>
    <col min="12808" max="13056" width="9.140625" style="240"/>
    <col min="13057" max="13057" width="12.28515625" style="240" customWidth="1"/>
    <col min="13058" max="13058" width="57.7109375" style="240" customWidth="1"/>
    <col min="13059" max="13059" width="7.5703125" style="240" customWidth="1"/>
    <col min="13060" max="13060" width="9.140625" style="240"/>
    <col min="13061" max="13061" width="10.28515625" style="240" customWidth="1"/>
    <col min="13062" max="13062" width="17.42578125" style="240" customWidth="1"/>
    <col min="13063" max="13063" width="19.7109375" style="240" customWidth="1"/>
    <col min="13064" max="13312" width="9.140625" style="240"/>
    <col min="13313" max="13313" width="12.28515625" style="240" customWidth="1"/>
    <col min="13314" max="13314" width="57.7109375" style="240" customWidth="1"/>
    <col min="13315" max="13315" width="7.5703125" style="240" customWidth="1"/>
    <col min="13316" max="13316" width="9.140625" style="240"/>
    <col min="13317" max="13317" width="10.28515625" style="240" customWidth="1"/>
    <col min="13318" max="13318" width="17.42578125" style="240" customWidth="1"/>
    <col min="13319" max="13319" width="19.7109375" style="240" customWidth="1"/>
    <col min="13320" max="13568" width="9.140625" style="240"/>
    <col min="13569" max="13569" width="12.28515625" style="240" customWidth="1"/>
    <col min="13570" max="13570" width="57.7109375" style="240" customWidth="1"/>
    <col min="13571" max="13571" width="7.5703125" style="240" customWidth="1"/>
    <col min="13572" max="13572" width="9.140625" style="240"/>
    <col min="13573" max="13573" width="10.28515625" style="240" customWidth="1"/>
    <col min="13574" max="13574" width="17.42578125" style="240" customWidth="1"/>
    <col min="13575" max="13575" width="19.7109375" style="240" customWidth="1"/>
    <col min="13576" max="13824" width="9.140625" style="240"/>
    <col min="13825" max="13825" width="12.28515625" style="240" customWidth="1"/>
    <col min="13826" max="13826" width="57.7109375" style="240" customWidth="1"/>
    <col min="13827" max="13827" width="7.5703125" style="240" customWidth="1"/>
    <col min="13828" max="13828" width="9.140625" style="240"/>
    <col min="13829" max="13829" width="10.28515625" style="240" customWidth="1"/>
    <col min="13830" max="13830" width="17.42578125" style="240" customWidth="1"/>
    <col min="13831" max="13831" width="19.7109375" style="240" customWidth="1"/>
    <col min="13832" max="14080" width="9.140625" style="240"/>
    <col min="14081" max="14081" width="12.28515625" style="240" customWidth="1"/>
    <col min="14082" max="14082" width="57.7109375" style="240" customWidth="1"/>
    <col min="14083" max="14083" width="7.5703125" style="240" customWidth="1"/>
    <col min="14084" max="14084" width="9.140625" style="240"/>
    <col min="14085" max="14085" width="10.28515625" style="240" customWidth="1"/>
    <col min="14086" max="14086" width="17.42578125" style="240" customWidth="1"/>
    <col min="14087" max="14087" width="19.7109375" style="240" customWidth="1"/>
    <col min="14088" max="14336" width="9.140625" style="240"/>
    <col min="14337" max="14337" width="12.28515625" style="240" customWidth="1"/>
    <col min="14338" max="14338" width="57.7109375" style="240" customWidth="1"/>
    <col min="14339" max="14339" width="7.5703125" style="240" customWidth="1"/>
    <col min="14340" max="14340" width="9.140625" style="240"/>
    <col min="14341" max="14341" width="10.28515625" style="240" customWidth="1"/>
    <col min="14342" max="14342" width="17.42578125" style="240" customWidth="1"/>
    <col min="14343" max="14343" width="19.7109375" style="240" customWidth="1"/>
    <col min="14344" max="14592" width="9.140625" style="240"/>
    <col min="14593" max="14593" width="12.28515625" style="240" customWidth="1"/>
    <col min="14594" max="14594" width="57.7109375" style="240" customWidth="1"/>
    <col min="14595" max="14595" width="7.5703125" style="240" customWidth="1"/>
    <col min="14596" max="14596" width="9.140625" style="240"/>
    <col min="14597" max="14597" width="10.28515625" style="240" customWidth="1"/>
    <col min="14598" max="14598" width="17.42578125" style="240" customWidth="1"/>
    <col min="14599" max="14599" width="19.7109375" style="240" customWidth="1"/>
    <col min="14600" max="14848" width="9.140625" style="240"/>
    <col min="14849" max="14849" width="12.28515625" style="240" customWidth="1"/>
    <col min="14850" max="14850" width="57.7109375" style="240" customWidth="1"/>
    <col min="14851" max="14851" width="7.5703125" style="240" customWidth="1"/>
    <col min="14852" max="14852" width="9.140625" style="240"/>
    <col min="14853" max="14853" width="10.28515625" style="240" customWidth="1"/>
    <col min="14854" max="14854" width="17.42578125" style="240" customWidth="1"/>
    <col min="14855" max="14855" width="19.7109375" style="240" customWidth="1"/>
    <col min="14856" max="15104" width="9.140625" style="240"/>
    <col min="15105" max="15105" width="12.28515625" style="240" customWidth="1"/>
    <col min="15106" max="15106" width="57.7109375" style="240" customWidth="1"/>
    <col min="15107" max="15107" width="7.5703125" style="240" customWidth="1"/>
    <col min="15108" max="15108" width="9.140625" style="240"/>
    <col min="15109" max="15109" width="10.28515625" style="240" customWidth="1"/>
    <col min="15110" max="15110" width="17.42578125" style="240" customWidth="1"/>
    <col min="15111" max="15111" width="19.7109375" style="240" customWidth="1"/>
    <col min="15112" max="15360" width="9.140625" style="240"/>
    <col min="15361" max="15361" width="12.28515625" style="240" customWidth="1"/>
    <col min="15362" max="15362" width="57.7109375" style="240" customWidth="1"/>
    <col min="15363" max="15363" width="7.5703125" style="240" customWidth="1"/>
    <col min="15364" max="15364" width="9.140625" style="240"/>
    <col min="15365" max="15365" width="10.28515625" style="240" customWidth="1"/>
    <col min="15366" max="15366" width="17.42578125" style="240" customWidth="1"/>
    <col min="15367" max="15367" width="19.7109375" style="240" customWidth="1"/>
    <col min="15368" max="15616" width="9.140625" style="240"/>
    <col min="15617" max="15617" width="12.28515625" style="240" customWidth="1"/>
    <col min="15618" max="15618" width="57.7109375" style="240" customWidth="1"/>
    <col min="15619" max="15619" width="7.5703125" style="240" customWidth="1"/>
    <col min="15620" max="15620" width="9.140625" style="240"/>
    <col min="15621" max="15621" width="10.28515625" style="240" customWidth="1"/>
    <col min="15622" max="15622" width="17.42578125" style="240" customWidth="1"/>
    <col min="15623" max="15623" width="19.7109375" style="240" customWidth="1"/>
    <col min="15624" max="15872" width="9.140625" style="240"/>
    <col min="15873" max="15873" width="12.28515625" style="240" customWidth="1"/>
    <col min="15874" max="15874" width="57.7109375" style="240" customWidth="1"/>
    <col min="15875" max="15875" width="7.5703125" style="240" customWidth="1"/>
    <col min="15876" max="15876" width="9.140625" style="240"/>
    <col min="15877" max="15877" width="10.28515625" style="240" customWidth="1"/>
    <col min="15878" max="15878" width="17.42578125" style="240" customWidth="1"/>
    <col min="15879" max="15879" width="19.7109375" style="240" customWidth="1"/>
    <col min="15880" max="16128" width="9.140625" style="240"/>
    <col min="16129" max="16129" width="12.28515625" style="240" customWidth="1"/>
    <col min="16130" max="16130" width="57.7109375" style="240" customWidth="1"/>
    <col min="16131" max="16131" width="7.5703125" style="240" customWidth="1"/>
    <col min="16132" max="16132" width="9.140625" style="240"/>
    <col min="16133" max="16133" width="10.28515625" style="240" customWidth="1"/>
    <col min="16134" max="16134" width="17.42578125" style="240" customWidth="1"/>
    <col min="16135" max="16135" width="19.7109375" style="240" customWidth="1"/>
    <col min="16136" max="16384" width="9.140625" style="240"/>
  </cols>
  <sheetData>
    <row r="1" spans="1:18" ht="42" customHeight="1">
      <c r="A1" s="234" t="s">
        <v>1364</v>
      </c>
      <c r="B1" s="235"/>
      <c r="C1" s="235"/>
      <c r="D1" s="235"/>
      <c r="E1" s="236"/>
      <c r="F1" s="237"/>
      <c r="G1" s="238"/>
      <c r="H1" s="239"/>
      <c r="I1" s="239"/>
      <c r="J1" s="239"/>
      <c r="K1" s="239"/>
      <c r="L1" s="239"/>
      <c r="M1" s="239"/>
      <c r="N1" s="239"/>
      <c r="O1" s="239"/>
      <c r="P1" s="239"/>
      <c r="Q1" s="239"/>
      <c r="R1" s="239"/>
    </row>
    <row r="2" spans="1:18" ht="20.25" customHeight="1">
      <c r="A2" s="241" t="s">
        <v>1365</v>
      </c>
      <c r="B2" s="242"/>
      <c r="C2" s="242"/>
      <c r="D2" s="242"/>
      <c r="E2" s="243"/>
      <c r="F2" s="242"/>
      <c r="G2" s="244"/>
      <c r="H2" s="239"/>
      <c r="I2" s="239"/>
      <c r="J2" s="239"/>
      <c r="K2" s="239"/>
      <c r="L2" s="239"/>
      <c r="M2" s="239"/>
      <c r="N2" s="239"/>
      <c r="O2" s="239"/>
      <c r="P2" s="239"/>
      <c r="Q2" s="239"/>
      <c r="R2" s="239"/>
    </row>
    <row r="3" spans="1:18" ht="24" customHeight="1">
      <c r="A3" s="245" t="s">
        <v>1366</v>
      </c>
      <c r="B3" s="246" t="s">
        <v>1367</v>
      </c>
      <c r="C3" s="246" t="s">
        <v>88</v>
      </c>
      <c r="D3" s="246" t="s">
        <v>1368</v>
      </c>
      <c r="E3" s="246" t="s">
        <v>1369</v>
      </c>
      <c r="F3" s="247" t="s">
        <v>1370</v>
      </c>
      <c r="G3" s="246" t="s">
        <v>1140</v>
      </c>
    </row>
    <row r="4" spans="1:18" ht="24" customHeight="1">
      <c r="A4" s="248" t="s">
        <v>1371</v>
      </c>
      <c r="B4" s="249"/>
      <c r="C4" s="249"/>
      <c r="D4" s="249"/>
      <c r="E4" s="250"/>
      <c r="F4" s="251"/>
      <c r="G4" s="252"/>
    </row>
    <row r="5" spans="1:18" ht="38.25" customHeight="1">
      <c r="A5" s="669" t="s">
        <v>1372</v>
      </c>
      <c r="B5" s="670"/>
      <c r="C5" s="670"/>
      <c r="D5" s="670"/>
      <c r="E5" s="671"/>
      <c r="F5" s="253"/>
      <c r="G5" s="252"/>
    </row>
    <row r="6" spans="1:18" ht="30">
      <c r="A6" s="254" t="s">
        <v>118</v>
      </c>
      <c r="B6" s="255" t="s">
        <v>1373</v>
      </c>
      <c r="C6" s="256" t="s">
        <v>805</v>
      </c>
      <c r="D6" s="257">
        <v>9</v>
      </c>
      <c r="E6" s="258"/>
      <c r="F6" s="539"/>
      <c r="G6" s="252">
        <f t="shared" ref="G6:G11" si="0">F6*D6</f>
        <v>0</v>
      </c>
    </row>
    <row r="7" spans="1:18" ht="30">
      <c r="A7" s="254" t="s">
        <v>129</v>
      </c>
      <c r="B7" s="255" t="s">
        <v>1374</v>
      </c>
      <c r="C7" s="256" t="s">
        <v>805</v>
      </c>
      <c r="D7" s="257">
        <v>2</v>
      </c>
      <c r="E7" s="258"/>
      <c r="F7" s="539"/>
      <c r="G7" s="252">
        <f t="shared" si="0"/>
        <v>0</v>
      </c>
    </row>
    <row r="8" spans="1:18" ht="18.75">
      <c r="A8" s="254" t="s">
        <v>135</v>
      </c>
      <c r="B8" s="255" t="s">
        <v>1375</v>
      </c>
      <c r="C8" s="256" t="s">
        <v>805</v>
      </c>
      <c r="D8" s="257">
        <v>1</v>
      </c>
      <c r="E8" s="258"/>
      <c r="F8" s="539"/>
      <c r="G8" s="252">
        <f t="shared" si="0"/>
        <v>0</v>
      </c>
    </row>
    <row r="9" spans="1:18" ht="18.75">
      <c r="A9" s="254" t="s">
        <v>142</v>
      </c>
      <c r="B9" s="255" t="s">
        <v>1376</v>
      </c>
      <c r="C9" s="256" t="s">
        <v>805</v>
      </c>
      <c r="D9" s="257">
        <v>10</v>
      </c>
      <c r="E9" s="258"/>
      <c r="F9" s="539"/>
      <c r="G9" s="252">
        <f t="shared" si="0"/>
        <v>0</v>
      </c>
    </row>
    <row r="10" spans="1:18" ht="45">
      <c r="A10" s="254" t="s">
        <v>139</v>
      </c>
      <c r="B10" s="255" t="s">
        <v>1377</v>
      </c>
      <c r="C10" s="256" t="s">
        <v>805</v>
      </c>
      <c r="D10" s="257">
        <v>2</v>
      </c>
      <c r="E10" s="259" t="s">
        <v>1378</v>
      </c>
      <c r="F10" s="539"/>
      <c r="G10" s="252">
        <f t="shared" si="0"/>
        <v>0</v>
      </c>
    </row>
    <row r="11" spans="1:18" ht="45">
      <c r="A11" s="254" t="s">
        <v>154</v>
      </c>
      <c r="B11" s="255" t="s">
        <v>1379</v>
      </c>
      <c r="C11" s="256" t="s">
        <v>805</v>
      </c>
      <c r="D11" s="257">
        <v>4</v>
      </c>
      <c r="E11" s="259" t="s">
        <v>1380</v>
      </c>
      <c r="F11" s="539"/>
      <c r="G11" s="252">
        <f t="shared" si="0"/>
        <v>0</v>
      </c>
    </row>
    <row r="12" spans="1:18" ht="18.75">
      <c r="A12" s="254"/>
      <c r="B12" s="255"/>
      <c r="C12" s="256"/>
      <c r="D12" s="257"/>
      <c r="E12" s="259"/>
      <c r="F12" s="539"/>
      <c r="G12" s="252"/>
    </row>
    <row r="13" spans="1:18" ht="30">
      <c r="A13" s="254" t="s">
        <v>169</v>
      </c>
      <c r="B13" s="255" t="s">
        <v>1381</v>
      </c>
      <c r="C13" s="256" t="s">
        <v>805</v>
      </c>
      <c r="D13" s="257">
        <v>2</v>
      </c>
      <c r="E13" s="259"/>
      <c r="F13" s="539"/>
      <c r="G13" s="252">
        <f>F13*D13</f>
        <v>0</v>
      </c>
    </row>
    <row r="14" spans="1:18" ht="30">
      <c r="A14" s="254" t="s">
        <v>175</v>
      </c>
      <c r="B14" s="255" t="s">
        <v>1382</v>
      </c>
      <c r="C14" s="256" t="s">
        <v>805</v>
      </c>
      <c r="D14" s="257">
        <v>2</v>
      </c>
      <c r="E14" s="259"/>
      <c r="F14" s="539"/>
      <c r="G14" s="252">
        <f>F14*D14</f>
        <v>0</v>
      </c>
    </row>
    <row r="15" spans="1:18" ht="30">
      <c r="A15" s="254" t="s">
        <v>181</v>
      </c>
      <c r="B15" s="255" t="s">
        <v>1383</v>
      </c>
      <c r="C15" s="256" t="s">
        <v>805</v>
      </c>
      <c r="D15" s="257">
        <v>9</v>
      </c>
      <c r="E15" s="259" t="s">
        <v>1384</v>
      </c>
      <c r="F15" s="539"/>
      <c r="G15" s="252">
        <f>F15*D15</f>
        <v>0</v>
      </c>
    </row>
    <row r="16" spans="1:18" ht="18.75">
      <c r="A16" s="254"/>
      <c r="B16" s="255"/>
      <c r="C16" s="256"/>
      <c r="D16" s="257"/>
      <c r="E16" s="259"/>
      <c r="F16" s="252"/>
      <c r="G16" s="252"/>
    </row>
    <row r="17" spans="1:7" ht="18.75">
      <c r="A17" s="254"/>
      <c r="B17" s="255" t="s">
        <v>1385</v>
      </c>
      <c r="C17" s="256" t="s">
        <v>805</v>
      </c>
      <c r="D17" s="257">
        <v>5</v>
      </c>
      <c r="E17" s="258"/>
      <c r="F17" s="672" t="s">
        <v>1386</v>
      </c>
      <c r="G17" s="252"/>
    </row>
    <row r="18" spans="1:7" ht="18.75">
      <c r="A18" s="254"/>
      <c r="B18" s="255" t="s">
        <v>1387</v>
      </c>
      <c r="C18" s="256" t="s">
        <v>805</v>
      </c>
      <c r="D18" s="257">
        <v>16</v>
      </c>
      <c r="E18" s="258"/>
      <c r="F18" s="673"/>
      <c r="G18" s="252"/>
    </row>
    <row r="19" spans="1:7" ht="18.75">
      <c r="A19" s="254"/>
      <c r="B19" s="255" t="s">
        <v>1388</v>
      </c>
      <c r="C19" s="256" t="s">
        <v>805</v>
      </c>
      <c r="D19" s="257">
        <v>3</v>
      </c>
      <c r="E19" s="258"/>
      <c r="F19" s="673"/>
      <c r="G19" s="252"/>
    </row>
    <row r="20" spans="1:7" ht="18.75">
      <c r="A20" s="254"/>
      <c r="B20" s="255"/>
      <c r="C20" s="256"/>
      <c r="D20" s="257"/>
      <c r="E20" s="258"/>
      <c r="F20" s="673"/>
      <c r="G20" s="252"/>
    </row>
    <row r="21" spans="1:7" ht="30">
      <c r="A21" s="254" t="s">
        <v>236</v>
      </c>
      <c r="B21" s="255" t="s">
        <v>1389</v>
      </c>
      <c r="C21" s="256" t="s">
        <v>805</v>
      </c>
      <c r="D21" s="257">
        <v>2</v>
      </c>
      <c r="E21" s="259" t="s">
        <v>1390</v>
      </c>
      <c r="F21" s="673"/>
      <c r="G21" s="252"/>
    </row>
    <row r="22" spans="1:7" ht="18.75">
      <c r="A22" s="254" t="s">
        <v>116</v>
      </c>
      <c r="B22" s="255" t="s">
        <v>1391</v>
      </c>
      <c r="C22" s="256" t="s">
        <v>805</v>
      </c>
      <c r="D22" s="257">
        <v>14</v>
      </c>
      <c r="E22" s="259"/>
      <c r="F22" s="673"/>
      <c r="G22" s="252"/>
    </row>
    <row r="23" spans="1:7" ht="30">
      <c r="A23" s="254" t="s">
        <v>265</v>
      </c>
      <c r="B23" s="255" t="s">
        <v>1392</v>
      </c>
      <c r="C23" s="256" t="s">
        <v>805</v>
      </c>
      <c r="D23" s="257">
        <v>2</v>
      </c>
      <c r="E23" s="259" t="s">
        <v>1393</v>
      </c>
      <c r="F23" s="673"/>
      <c r="G23" s="252"/>
    </row>
    <row r="24" spans="1:7" ht="30">
      <c r="A24" s="254" t="s">
        <v>275</v>
      </c>
      <c r="B24" s="255" t="s">
        <v>1394</v>
      </c>
      <c r="C24" s="256" t="s">
        <v>805</v>
      </c>
      <c r="D24" s="257">
        <v>9</v>
      </c>
      <c r="E24" s="259" t="s">
        <v>1395</v>
      </c>
      <c r="F24" s="673"/>
      <c r="G24" s="252"/>
    </row>
    <row r="25" spans="1:7" ht="18.75">
      <c r="A25" s="254" t="s">
        <v>332</v>
      </c>
      <c r="B25" s="255" t="s">
        <v>1396</v>
      </c>
      <c r="C25" s="256" t="s">
        <v>805</v>
      </c>
      <c r="D25" s="257">
        <v>4</v>
      </c>
      <c r="E25" s="260"/>
      <c r="F25" s="673"/>
      <c r="G25" s="252"/>
    </row>
    <row r="26" spans="1:7" ht="18.75">
      <c r="A26" s="254" t="s">
        <v>363</v>
      </c>
      <c r="B26" s="255" t="s">
        <v>1397</v>
      </c>
      <c r="C26" s="256" t="s">
        <v>805</v>
      </c>
      <c r="D26" s="257">
        <v>9</v>
      </c>
      <c r="E26" s="261" t="s">
        <v>1398</v>
      </c>
      <c r="F26" s="673"/>
      <c r="G26" s="252"/>
    </row>
    <row r="27" spans="1:7" ht="30">
      <c r="A27" s="254" t="s">
        <v>368</v>
      </c>
      <c r="B27" s="255" t="s">
        <v>1399</v>
      </c>
      <c r="C27" s="256" t="s">
        <v>805</v>
      </c>
      <c r="D27" s="257">
        <v>1</v>
      </c>
      <c r="E27" s="262" t="s">
        <v>1400</v>
      </c>
      <c r="F27" s="673"/>
      <c r="G27" s="252"/>
    </row>
    <row r="28" spans="1:7" ht="18.75">
      <c r="A28" s="254"/>
      <c r="B28" s="255"/>
      <c r="C28" s="256"/>
      <c r="D28" s="257"/>
      <c r="E28" s="262" t="s">
        <v>1401</v>
      </c>
      <c r="F28" s="673"/>
      <c r="G28" s="252"/>
    </row>
    <row r="29" spans="1:7" ht="18.75">
      <c r="A29" s="254" t="s">
        <v>389</v>
      </c>
      <c r="B29" s="255" t="s">
        <v>1402</v>
      </c>
      <c r="C29" s="256" t="s">
        <v>805</v>
      </c>
      <c r="D29" s="257">
        <v>1</v>
      </c>
      <c r="E29" s="262" t="s">
        <v>1403</v>
      </c>
      <c r="F29" s="673"/>
      <c r="G29" s="252"/>
    </row>
    <row r="30" spans="1:7" ht="18.75">
      <c r="A30" s="254"/>
      <c r="B30" s="255"/>
      <c r="C30" s="256"/>
      <c r="D30" s="257"/>
      <c r="E30" s="262"/>
      <c r="F30" s="673"/>
      <c r="G30" s="252"/>
    </row>
    <row r="31" spans="1:7" ht="18.75">
      <c r="A31" s="254" t="s">
        <v>400</v>
      </c>
      <c r="B31" s="263" t="s">
        <v>1404</v>
      </c>
      <c r="C31" s="256" t="s">
        <v>805</v>
      </c>
      <c r="D31" s="257">
        <v>4</v>
      </c>
      <c r="E31" s="262"/>
      <c r="F31" s="673"/>
      <c r="G31" s="252"/>
    </row>
    <row r="32" spans="1:7" ht="18.75">
      <c r="A32" s="254" t="s">
        <v>447</v>
      </c>
      <c r="B32" s="263" t="s">
        <v>1405</v>
      </c>
      <c r="C32" s="256" t="s">
        <v>805</v>
      </c>
      <c r="D32" s="257">
        <v>5</v>
      </c>
      <c r="E32" s="260"/>
      <c r="F32" s="673"/>
      <c r="G32" s="252"/>
    </row>
    <row r="33" spans="1:7" ht="18.75">
      <c r="A33" s="254" t="s">
        <v>466</v>
      </c>
      <c r="B33" s="263" t="s">
        <v>1406</v>
      </c>
      <c r="C33" s="256" t="s">
        <v>805</v>
      </c>
      <c r="D33" s="257">
        <v>17</v>
      </c>
      <c r="E33" s="262"/>
      <c r="F33" s="673"/>
      <c r="G33" s="252"/>
    </row>
    <row r="34" spans="1:7" ht="18.75">
      <c r="A34" s="254"/>
      <c r="B34" s="255"/>
      <c r="C34" s="256"/>
      <c r="D34" s="257"/>
      <c r="E34" s="262"/>
      <c r="F34" s="673"/>
      <c r="G34" s="252"/>
    </row>
    <row r="35" spans="1:7" ht="18.75">
      <c r="A35" s="254" t="s">
        <v>479</v>
      </c>
      <c r="B35" s="255" t="s">
        <v>1407</v>
      </c>
      <c r="C35" s="256" t="s">
        <v>805</v>
      </c>
      <c r="D35" s="257">
        <v>3</v>
      </c>
      <c r="E35" s="262"/>
      <c r="F35" s="673"/>
      <c r="G35" s="252"/>
    </row>
    <row r="36" spans="1:7" ht="18.75">
      <c r="A36" s="254"/>
      <c r="B36" s="255"/>
      <c r="C36" s="256"/>
      <c r="D36" s="257"/>
      <c r="E36" s="262"/>
      <c r="F36" s="673"/>
      <c r="G36" s="252"/>
    </row>
    <row r="37" spans="1:7" ht="18.75">
      <c r="A37" s="254" t="s">
        <v>489</v>
      </c>
      <c r="B37" s="255" t="s">
        <v>1408</v>
      </c>
      <c r="C37" s="256" t="s">
        <v>805</v>
      </c>
      <c r="D37" s="257">
        <v>2</v>
      </c>
      <c r="E37" s="262"/>
      <c r="F37" s="673"/>
      <c r="G37" s="252"/>
    </row>
    <row r="38" spans="1:7" ht="18.75">
      <c r="A38" s="254" t="s">
        <v>495</v>
      </c>
      <c r="B38" s="255" t="s">
        <v>1409</v>
      </c>
      <c r="C38" s="256" t="s">
        <v>805</v>
      </c>
      <c r="D38" s="257">
        <v>1</v>
      </c>
      <c r="E38" s="258"/>
      <c r="F38" s="673"/>
      <c r="G38" s="252"/>
    </row>
    <row r="39" spans="1:7" ht="18.75">
      <c r="A39" s="254" t="s">
        <v>187</v>
      </c>
      <c r="B39" s="255" t="s">
        <v>1410</v>
      </c>
      <c r="C39" s="256" t="s">
        <v>805</v>
      </c>
      <c r="D39" s="257">
        <v>2</v>
      </c>
      <c r="E39" s="258"/>
      <c r="F39" s="673"/>
      <c r="G39" s="252"/>
    </row>
    <row r="40" spans="1:7" ht="15">
      <c r="A40" s="264"/>
      <c r="B40" s="255"/>
      <c r="C40" s="256"/>
      <c r="D40" s="257"/>
      <c r="E40" s="258"/>
      <c r="F40" s="673"/>
      <c r="G40" s="265"/>
    </row>
    <row r="41" spans="1:7" ht="15">
      <c r="A41" s="264"/>
      <c r="B41" s="255" t="s">
        <v>1411</v>
      </c>
      <c r="C41" s="258" t="s">
        <v>219</v>
      </c>
      <c r="D41" s="266">
        <v>14.259999999999998</v>
      </c>
      <c r="E41" s="258"/>
      <c r="F41" s="673"/>
      <c r="G41" s="252"/>
    </row>
    <row r="42" spans="1:7" ht="15">
      <c r="A42" s="264"/>
      <c r="B42" s="255" t="s">
        <v>1412</v>
      </c>
      <c r="C42" s="258" t="s">
        <v>219</v>
      </c>
      <c r="D42" s="266">
        <v>44.39</v>
      </c>
      <c r="E42" s="258"/>
      <c r="F42" s="673"/>
      <c r="G42" s="252"/>
    </row>
    <row r="43" spans="1:7" ht="15">
      <c r="A43" s="264"/>
      <c r="B43" s="255" t="s">
        <v>1413</v>
      </c>
      <c r="C43" s="258" t="s">
        <v>219</v>
      </c>
      <c r="D43" s="266">
        <v>5.2899999999999991</v>
      </c>
      <c r="E43" s="258"/>
      <c r="F43" s="673"/>
      <c r="G43" s="252"/>
    </row>
    <row r="44" spans="1:7" ht="15">
      <c r="A44" s="264"/>
      <c r="B44" s="255" t="s">
        <v>1414</v>
      </c>
      <c r="C44" s="258" t="s">
        <v>219</v>
      </c>
      <c r="D44" s="266">
        <v>4.5999999999999996</v>
      </c>
      <c r="E44" s="258"/>
      <c r="F44" s="674"/>
      <c r="G44" s="252"/>
    </row>
    <row r="45" spans="1:7" ht="15">
      <c r="A45" s="264"/>
      <c r="B45" s="267"/>
      <c r="C45" s="256"/>
      <c r="D45" s="268"/>
      <c r="E45" s="256"/>
      <c r="F45" s="252"/>
      <c r="G45" s="252"/>
    </row>
    <row r="46" spans="1:7" ht="15">
      <c r="A46" s="264"/>
      <c r="B46" s="269" t="s">
        <v>1415</v>
      </c>
      <c r="C46" s="258" t="s">
        <v>219</v>
      </c>
      <c r="D46" s="266">
        <v>3</v>
      </c>
      <c r="E46" s="258"/>
      <c r="F46" s="539"/>
      <c r="G46" s="252">
        <f>F46*D46</f>
        <v>0</v>
      </c>
    </row>
    <row r="47" spans="1:7" ht="15">
      <c r="A47" s="264"/>
      <c r="B47" s="269" t="s">
        <v>1416</v>
      </c>
      <c r="C47" s="258" t="s">
        <v>219</v>
      </c>
      <c r="D47" s="266">
        <v>10.35</v>
      </c>
      <c r="E47" s="258"/>
      <c r="F47" s="539"/>
      <c r="G47" s="252">
        <f>F47*D47</f>
        <v>0</v>
      </c>
    </row>
    <row r="48" spans="1:7" ht="15">
      <c r="A48" s="270"/>
      <c r="B48" s="269" t="s">
        <v>1417</v>
      </c>
      <c r="C48" s="256" t="s">
        <v>219</v>
      </c>
      <c r="D48" s="268">
        <v>18</v>
      </c>
      <c r="E48" s="258"/>
      <c r="F48" s="539"/>
      <c r="G48" s="252">
        <f>F48*D48</f>
        <v>0</v>
      </c>
    </row>
    <row r="49" spans="1:7" ht="30" customHeight="1">
      <c r="A49" s="270"/>
      <c r="B49" s="271"/>
      <c r="C49" s="256"/>
      <c r="D49" s="257"/>
      <c r="E49" s="258"/>
      <c r="F49" s="252"/>
      <c r="G49" s="252"/>
    </row>
    <row r="50" spans="1:7" ht="30" customHeight="1">
      <c r="A50" s="270"/>
      <c r="B50" s="267" t="s">
        <v>1418</v>
      </c>
      <c r="C50" s="256" t="s">
        <v>138</v>
      </c>
      <c r="D50" s="257">
        <v>1</v>
      </c>
      <c r="E50" s="258"/>
      <c r="F50" s="539"/>
      <c r="G50" s="252">
        <f>F50*D50</f>
        <v>0</v>
      </c>
    </row>
    <row r="51" spans="1:7" ht="30" customHeight="1">
      <c r="A51" s="270"/>
      <c r="B51" s="271"/>
      <c r="C51" s="256"/>
      <c r="D51" s="257"/>
      <c r="E51" s="258"/>
      <c r="F51" s="252"/>
      <c r="G51" s="252"/>
    </row>
    <row r="52" spans="1:7" ht="30" customHeight="1">
      <c r="A52" s="270"/>
      <c r="B52" s="246" t="s">
        <v>1419</v>
      </c>
      <c r="C52" s="256"/>
      <c r="D52" s="257"/>
      <c r="E52" s="258"/>
      <c r="F52" s="252"/>
      <c r="G52" s="252"/>
    </row>
    <row r="53" spans="1:7" ht="30" customHeight="1">
      <c r="A53" s="270"/>
      <c r="B53" s="271" t="s">
        <v>1420</v>
      </c>
      <c r="C53" s="256" t="s">
        <v>805</v>
      </c>
      <c r="D53" s="257">
        <v>2</v>
      </c>
      <c r="E53" s="258"/>
      <c r="F53" s="539"/>
      <c r="G53" s="252">
        <f t="shared" ref="G53:G60" si="1">F53*D53</f>
        <v>0</v>
      </c>
    </row>
    <row r="54" spans="1:7" ht="30" customHeight="1">
      <c r="A54" s="264"/>
      <c r="B54" s="271" t="s">
        <v>1421</v>
      </c>
      <c r="C54" s="258" t="s">
        <v>805</v>
      </c>
      <c r="D54" s="272">
        <v>9</v>
      </c>
      <c r="E54" s="258"/>
      <c r="F54" s="539"/>
      <c r="G54" s="252">
        <f t="shared" si="1"/>
        <v>0</v>
      </c>
    </row>
    <row r="55" spans="1:7" ht="30" customHeight="1">
      <c r="A55" s="264"/>
      <c r="B55" s="271" t="s">
        <v>1422</v>
      </c>
      <c r="C55" s="258" t="s">
        <v>805</v>
      </c>
      <c r="D55" s="272">
        <v>2</v>
      </c>
      <c r="E55" s="258"/>
      <c r="F55" s="539"/>
      <c r="G55" s="252">
        <f t="shared" si="1"/>
        <v>0</v>
      </c>
    </row>
    <row r="56" spans="1:7" ht="30" customHeight="1">
      <c r="A56" s="264"/>
      <c r="B56" s="271" t="s">
        <v>1423</v>
      </c>
      <c r="C56" s="258" t="s">
        <v>805</v>
      </c>
      <c r="D56" s="272">
        <v>9</v>
      </c>
      <c r="E56" s="258"/>
      <c r="F56" s="539"/>
      <c r="G56" s="252">
        <f t="shared" si="1"/>
        <v>0</v>
      </c>
    </row>
    <row r="57" spans="1:7" ht="30" customHeight="1">
      <c r="A57" s="264"/>
      <c r="B57" s="271" t="s">
        <v>1424</v>
      </c>
      <c r="C57" s="258" t="s">
        <v>805</v>
      </c>
      <c r="D57" s="272">
        <v>6</v>
      </c>
      <c r="E57" s="258"/>
      <c r="F57" s="539"/>
      <c r="G57" s="252">
        <f t="shared" si="1"/>
        <v>0</v>
      </c>
    </row>
    <row r="58" spans="1:7" ht="30" customHeight="1">
      <c r="A58" s="264"/>
      <c r="B58" s="271" t="s">
        <v>1425</v>
      </c>
      <c r="C58" s="258" t="s">
        <v>805</v>
      </c>
      <c r="D58" s="272">
        <v>2</v>
      </c>
      <c r="E58" s="258"/>
      <c r="F58" s="539"/>
      <c r="G58" s="252">
        <f t="shared" si="1"/>
        <v>0</v>
      </c>
    </row>
    <row r="59" spans="1:7" ht="30" customHeight="1">
      <c r="A59" s="264"/>
      <c r="B59" s="271" t="s">
        <v>1426</v>
      </c>
      <c r="C59" s="258" t="s">
        <v>805</v>
      </c>
      <c r="D59" s="272">
        <v>12</v>
      </c>
      <c r="E59" s="258"/>
      <c r="F59" s="539"/>
      <c r="G59" s="252">
        <f t="shared" si="1"/>
        <v>0</v>
      </c>
    </row>
    <row r="60" spans="1:7" ht="30" customHeight="1">
      <c r="A60" s="264"/>
      <c r="B60" s="271" t="s">
        <v>1427</v>
      </c>
      <c r="C60" s="258" t="s">
        <v>805</v>
      </c>
      <c r="D60" s="272">
        <v>14</v>
      </c>
      <c r="E60" s="258"/>
      <c r="F60" s="539"/>
      <c r="G60" s="252">
        <f t="shared" si="1"/>
        <v>0</v>
      </c>
    </row>
    <row r="61" spans="1:7" ht="30" customHeight="1">
      <c r="A61" s="273"/>
      <c r="B61" s="274"/>
      <c r="C61" s="275"/>
      <c r="D61" s="257"/>
      <c r="E61" s="257"/>
      <c r="F61" s="252"/>
      <c r="G61" s="252"/>
    </row>
    <row r="62" spans="1:7" ht="30" customHeight="1">
      <c r="A62" s="273"/>
      <c r="B62" s="274" t="s">
        <v>1428</v>
      </c>
      <c r="C62" s="275" t="s">
        <v>219</v>
      </c>
      <c r="D62" s="257">
        <v>14</v>
      </c>
      <c r="E62" s="257"/>
      <c r="F62" s="539"/>
      <c r="G62" s="252">
        <f>F62*D62</f>
        <v>0</v>
      </c>
    </row>
    <row r="63" spans="1:7" ht="30" customHeight="1">
      <c r="A63" s="264"/>
      <c r="B63" s="271" t="s">
        <v>1429</v>
      </c>
      <c r="C63" s="256" t="s">
        <v>219</v>
      </c>
      <c r="D63" s="257">
        <v>54</v>
      </c>
      <c r="E63" s="258"/>
      <c r="F63" s="539"/>
      <c r="G63" s="252">
        <f>F63*D63</f>
        <v>0</v>
      </c>
    </row>
    <row r="64" spans="1:7" ht="30" customHeight="1">
      <c r="A64" s="264"/>
      <c r="B64" s="271"/>
      <c r="C64" s="258"/>
      <c r="D64" s="272"/>
      <c r="E64" s="258"/>
      <c r="F64" s="252"/>
      <c r="G64" s="252"/>
    </row>
    <row r="65" spans="1:7" ht="30">
      <c r="A65" s="264"/>
      <c r="B65" s="269" t="s">
        <v>1430</v>
      </c>
      <c r="C65" s="258" t="s">
        <v>219</v>
      </c>
      <c r="D65" s="272">
        <v>3</v>
      </c>
      <c r="E65" s="258"/>
      <c r="F65" s="539"/>
      <c r="G65" s="252">
        <f t="shared" ref="G65:G73" si="2">F65*D65</f>
        <v>0</v>
      </c>
    </row>
    <row r="66" spans="1:7" ht="30">
      <c r="A66" s="264"/>
      <c r="B66" s="269" t="s">
        <v>1431</v>
      </c>
      <c r="C66" s="258" t="s">
        <v>219</v>
      </c>
      <c r="D66" s="272">
        <v>28</v>
      </c>
      <c r="E66" s="258"/>
      <c r="F66" s="539"/>
      <c r="G66" s="252">
        <f t="shared" si="2"/>
        <v>0</v>
      </c>
    </row>
    <row r="67" spans="1:7" ht="30" customHeight="1">
      <c r="A67" s="276"/>
      <c r="B67" s="271"/>
      <c r="C67" s="258"/>
      <c r="D67" s="272"/>
      <c r="E67" s="277"/>
      <c r="F67" s="252"/>
      <c r="G67" s="252"/>
    </row>
    <row r="68" spans="1:7" ht="30" customHeight="1">
      <c r="A68" s="276"/>
      <c r="B68" s="271" t="s">
        <v>1432</v>
      </c>
      <c r="C68" s="258" t="s">
        <v>219</v>
      </c>
      <c r="D68" s="272">
        <v>99</v>
      </c>
      <c r="E68" s="277"/>
      <c r="F68" s="539"/>
      <c r="G68" s="252">
        <f t="shared" si="2"/>
        <v>0</v>
      </c>
    </row>
    <row r="69" spans="1:7" ht="30" customHeight="1">
      <c r="A69" s="276"/>
      <c r="B69" s="271"/>
      <c r="C69" s="258"/>
      <c r="D69" s="272"/>
      <c r="E69" s="277"/>
      <c r="F69" s="252"/>
      <c r="G69" s="252"/>
    </row>
    <row r="70" spans="1:7" ht="30" customHeight="1">
      <c r="A70" s="276"/>
      <c r="B70" s="246" t="s">
        <v>1433</v>
      </c>
      <c r="C70" s="258"/>
      <c r="D70" s="272"/>
      <c r="E70" s="277"/>
      <c r="F70" s="252"/>
      <c r="G70" s="252"/>
    </row>
    <row r="71" spans="1:7" ht="30" customHeight="1">
      <c r="A71" s="276"/>
      <c r="B71" s="271" t="s">
        <v>1434</v>
      </c>
      <c r="C71" s="258" t="s">
        <v>835</v>
      </c>
      <c r="D71" s="272">
        <v>1</v>
      </c>
      <c r="E71" s="277"/>
      <c r="F71" s="539"/>
      <c r="G71" s="252">
        <f t="shared" si="2"/>
        <v>0</v>
      </c>
    </row>
    <row r="72" spans="1:7" ht="30" customHeight="1">
      <c r="A72" s="276"/>
      <c r="B72" s="256" t="s">
        <v>1435</v>
      </c>
      <c r="C72" s="258" t="s">
        <v>835</v>
      </c>
      <c r="D72" s="272">
        <v>1</v>
      </c>
      <c r="E72" s="277"/>
      <c r="F72" s="539"/>
      <c r="G72" s="252">
        <f t="shared" si="2"/>
        <v>0</v>
      </c>
    </row>
    <row r="73" spans="1:7" ht="30" customHeight="1">
      <c r="A73" s="276"/>
      <c r="B73" s="271" t="s">
        <v>1436</v>
      </c>
      <c r="C73" s="258" t="s">
        <v>805</v>
      </c>
      <c r="D73" s="272">
        <v>1</v>
      </c>
      <c r="E73" s="277"/>
      <c r="F73" s="539"/>
      <c r="G73" s="252">
        <f t="shared" si="2"/>
        <v>0</v>
      </c>
    </row>
    <row r="74" spans="1:7" ht="30" customHeight="1">
      <c r="A74" s="276"/>
      <c r="B74" s="278" t="s">
        <v>1437</v>
      </c>
      <c r="C74" s="258"/>
      <c r="D74" s="272"/>
      <c r="E74" s="277"/>
      <c r="F74" s="252"/>
      <c r="G74" s="252"/>
    </row>
    <row r="75" spans="1:7" ht="30" customHeight="1">
      <c r="A75" s="276"/>
      <c r="B75" s="271"/>
      <c r="C75" s="258"/>
      <c r="D75" s="272"/>
      <c r="E75" s="277"/>
      <c r="F75" s="252"/>
      <c r="G75" s="252"/>
    </row>
    <row r="76" spans="1:7" ht="30" customHeight="1" thickBot="1">
      <c r="A76" s="279"/>
      <c r="B76" s="280"/>
      <c r="C76" s="281"/>
      <c r="D76" s="282"/>
      <c r="E76" s="283"/>
      <c r="F76" s="284"/>
      <c r="G76" s="284"/>
    </row>
    <row r="77" spans="1:7" ht="30" customHeight="1" thickTop="1">
      <c r="A77" s="285"/>
      <c r="B77" s="286" t="s">
        <v>1438</v>
      </c>
      <c r="C77" s="286"/>
      <c r="D77" s="286"/>
      <c r="E77" s="286"/>
      <c r="F77" s="675">
        <f>SUM(G6:G73)</f>
        <v>0</v>
      </c>
      <c r="G77" s="676"/>
    </row>
    <row r="78" spans="1:7" ht="30" customHeight="1"/>
    <row r="79" spans="1:7" ht="30" customHeight="1"/>
    <row r="80" spans="1:7" ht="30" customHeight="1"/>
    <row r="81" spans="1:7" ht="26.1" customHeight="1">
      <c r="A81" s="276"/>
      <c r="B81" s="271"/>
      <c r="C81" s="258"/>
      <c r="D81" s="258"/>
      <c r="E81" s="277"/>
      <c r="F81" s="252"/>
      <c r="G81" s="252"/>
    </row>
    <row r="82" spans="1:7" ht="26.1" customHeight="1">
      <c r="A82" s="290"/>
      <c r="B82" s="271"/>
      <c r="C82" s="258"/>
      <c r="D82" s="258"/>
      <c r="E82" s="258"/>
      <c r="F82" s="291"/>
      <c r="G82" s="291"/>
    </row>
    <row r="83" spans="1:7" ht="26.1" customHeight="1">
      <c r="A83" s="290"/>
      <c r="B83" s="271"/>
      <c r="C83" s="258"/>
      <c r="D83" s="258"/>
      <c r="E83" s="258"/>
      <c r="F83" s="291"/>
      <c r="G83" s="291"/>
    </row>
    <row r="84" spans="1:7" ht="26.1" customHeight="1">
      <c r="A84" s="290"/>
      <c r="B84" s="271"/>
      <c r="C84" s="258"/>
      <c r="D84" s="258"/>
      <c r="E84" s="258"/>
      <c r="F84" s="291"/>
      <c r="G84" s="291"/>
    </row>
    <row r="85" spans="1:7" ht="26.1" customHeight="1">
      <c r="A85" s="290"/>
      <c r="B85" s="271"/>
      <c r="C85" s="258"/>
      <c r="D85" s="258"/>
      <c r="E85" s="258"/>
      <c r="F85" s="291"/>
      <c r="G85" s="291"/>
    </row>
    <row r="86" spans="1:7" ht="26.1" customHeight="1">
      <c r="A86" s="290"/>
      <c r="B86" s="271"/>
      <c r="C86" s="258"/>
      <c r="D86" s="258"/>
      <c r="E86" s="258"/>
      <c r="F86" s="292"/>
      <c r="G86" s="293"/>
    </row>
    <row r="87" spans="1:7" ht="26.1" customHeight="1">
      <c r="A87" s="290"/>
      <c r="B87" s="294"/>
      <c r="C87" s="258"/>
      <c r="D87" s="258"/>
      <c r="E87" s="258"/>
      <c r="F87" s="292"/>
      <c r="G87" s="293"/>
    </row>
    <row r="88" spans="1:7" ht="26.1" customHeight="1">
      <c r="A88" s="295"/>
      <c r="B88" s="296"/>
      <c r="C88" s="297"/>
      <c r="D88" s="297"/>
      <c r="E88" s="258"/>
      <c r="F88" s="291"/>
      <c r="G88" s="291"/>
    </row>
    <row r="89" spans="1:7" ht="26.1" customHeight="1">
      <c r="A89" s="295"/>
      <c r="B89" s="296"/>
      <c r="C89" s="297"/>
      <c r="D89" s="297"/>
      <c r="E89" s="258"/>
      <c r="F89" s="291"/>
      <c r="G89" s="291"/>
    </row>
    <row r="90" spans="1:7" ht="26.1" customHeight="1">
      <c r="A90" s="295"/>
      <c r="B90" s="296"/>
      <c r="C90" s="297"/>
      <c r="D90" s="297"/>
      <c r="E90" s="258"/>
      <c r="F90" s="291"/>
      <c r="G90" s="291"/>
    </row>
    <row r="91" spans="1:7" ht="26.1" customHeight="1">
      <c r="A91" s="295"/>
      <c r="B91" s="296"/>
      <c r="C91" s="297"/>
      <c r="D91" s="297"/>
      <c r="E91" s="258"/>
      <c r="F91" s="291"/>
      <c r="G91" s="291"/>
    </row>
    <row r="92" spans="1:7" ht="26.1" customHeight="1">
      <c r="A92" s="295"/>
      <c r="B92" s="296"/>
      <c r="C92" s="297"/>
      <c r="D92" s="297"/>
      <c r="E92" s="258"/>
      <c r="F92" s="291"/>
      <c r="G92" s="291"/>
    </row>
    <row r="93" spans="1:7" ht="26.1" customHeight="1">
      <c r="A93" s="295"/>
      <c r="B93" s="296"/>
      <c r="C93" s="297"/>
      <c r="D93" s="297"/>
      <c r="E93" s="258"/>
      <c r="F93" s="291"/>
      <c r="G93" s="291"/>
    </row>
    <row r="94" spans="1:7" ht="26.1" customHeight="1">
      <c r="A94" s="295"/>
      <c r="B94" s="296"/>
      <c r="C94" s="297"/>
      <c r="D94" s="297"/>
      <c r="E94" s="258"/>
      <c r="F94" s="291"/>
      <c r="G94" s="291"/>
    </row>
    <row r="95" spans="1:7" ht="26.1" customHeight="1">
      <c r="A95" s="295"/>
      <c r="B95" s="296"/>
      <c r="C95" s="297"/>
      <c r="D95" s="297"/>
      <c r="E95" s="258"/>
      <c r="F95" s="291"/>
      <c r="G95" s="291"/>
    </row>
    <row r="96" spans="1:7" ht="26.1" customHeight="1">
      <c r="A96" s="295"/>
      <c r="B96" s="296"/>
      <c r="C96" s="297"/>
      <c r="D96" s="297"/>
      <c r="E96" s="258"/>
      <c r="F96" s="291"/>
      <c r="G96" s="291"/>
    </row>
    <row r="97" spans="1:7" ht="26.1" customHeight="1">
      <c r="A97" s="295"/>
      <c r="B97" s="296"/>
      <c r="C97" s="297"/>
      <c r="D97" s="297"/>
      <c r="E97" s="258"/>
      <c r="F97" s="291"/>
      <c r="G97" s="291"/>
    </row>
    <row r="98" spans="1:7" ht="26.1" customHeight="1">
      <c r="A98" s="295"/>
      <c r="B98" s="296"/>
      <c r="C98" s="297"/>
      <c r="D98" s="297"/>
      <c r="E98" s="258"/>
      <c r="F98" s="291"/>
      <c r="G98" s="291"/>
    </row>
    <row r="99" spans="1:7" ht="26.1" customHeight="1">
      <c r="A99" s="295"/>
      <c r="B99" s="296"/>
      <c r="C99" s="297"/>
      <c r="D99" s="297"/>
      <c r="E99" s="258"/>
      <c r="F99" s="291"/>
      <c r="G99" s="291"/>
    </row>
    <row r="100" spans="1:7" ht="26.1" customHeight="1">
      <c r="A100" s="295"/>
      <c r="B100" s="296"/>
      <c r="C100" s="297"/>
      <c r="D100" s="297"/>
      <c r="E100" s="258"/>
      <c r="F100" s="298"/>
      <c r="G100" s="298"/>
    </row>
    <row r="101" spans="1:7" ht="26.1" customHeight="1">
      <c r="A101" s="295"/>
      <c r="B101" s="296"/>
      <c r="C101" s="297"/>
      <c r="D101" s="297"/>
      <c r="E101" s="258"/>
      <c r="F101" s="298"/>
      <c r="G101" s="298"/>
    </row>
    <row r="102" spans="1:7" ht="26.1" customHeight="1">
      <c r="A102" s="295"/>
      <c r="B102" s="296"/>
      <c r="C102" s="297"/>
      <c r="D102" s="297"/>
      <c r="E102" s="258"/>
      <c r="F102" s="298"/>
      <c r="G102" s="298"/>
    </row>
    <row r="103" spans="1:7" ht="26.1" customHeight="1">
      <c r="A103" s="295"/>
      <c r="B103" s="296"/>
      <c r="C103" s="297"/>
      <c r="D103" s="297"/>
      <c r="E103" s="258"/>
      <c r="F103" s="298"/>
      <c r="G103" s="298"/>
    </row>
    <row r="104" spans="1:7" ht="26.1" customHeight="1">
      <c r="A104" s="295"/>
      <c r="B104" s="296"/>
      <c r="C104" s="297"/>
      <c r="D104" s="297"/>
      <c r="E104" s="258"/>
      <c r="F104" s="299"/>
      <c r="G104" s="299"/>
    </row>
    <row r="105" spans="1:7" ht="26.1" customHeight="1">
      <c r="A105" s="295"/>
      <c r="B105" s="296"/>
      <c r="C105" s="297"/>
      <c r="D105" s="297"/>
      <c r="E105" s="258"/>
      <c r="F105" s="298"/>
      <c r="G105" s="298"/>
    </row>
    <row r="106" spans="1:7" ht="26.1" customHeight="1">
      <c r="A106" s="295"/>
      <c r="B106" s="296"/>
      <c r="C106" s="297"/>
      <c r="D106" s="297"/>
      <c r="E106" s="258"/>
      <c r="F106" s="298"/>
      <c r="G106" s="298"/>
    </row>
    <row r="107" spans="1:7" ht="26.1" customHeight="1">
      <c r="A107" s="295"/>
      <c r="B107" s="296"/>
      <c r="C107" s="297"/>
      <c r="D107" s="297"/>
      <c r="E107" s="258"/>
      <c r="F107" s="298"/>
      <c r="G107" s="298"/>
    </row>
    <row r="108" spans="1:7" ht="26.1" customHeight="1">
      <c r="A108" s="295"/>
      <c r="B108" s="296"/>
      <c r="C108" s="297"/>
      <c r="D108" s="297"/>
      <c r="E108" s="258"/>
      <c r="F108" s="298"/>
      <c r="G108" s="298"/>
    </row>
    <row r="109" spans="1:7" ht="26.1" customHeight="1">
      <c r="A109" s="295"/>
      <c r="B109" s="296"/>
      <c r="C109" s="297"/>
      <c r="D109" s="297"/>
      <c r="E109" s="258"/>
      <c r="F109" s="299"/>
      <c r="G109" s="299"/>
    </row>
    <row r="110" spans="1:7" ht="26.1" customHeight="1">
      <c r="A110" s="295"/>
      <c r="B110" s="296"/>
      <c r="C110" s="297"/>
      <c r="D110" s="297"/>
      <c r="E110" s="258"/>
      <c r="F110" s="298"/>
      <c r="G110" s="298"/>
    </row>
    <row r="111" spans="1:7" ht="26.1" customHeight="1">
      <c r="A111" s="295"/>
      <c r="B111" s="296"/>
      <c r="C111" s="297"/>
      <c r="D111" s="297"/>
      <c r="E111" s="258"/>
      <c r="F111" s="298"/>
      <c r="G111" s="298"/>
    </row>
    <row r="112" spans="1:7" ht="26.1" customHeight="1">
      <c r="A112" s="295"/>
      <c r="B112" s="296"/>
      <c r="C112" s="297"/>
      <c r="D112" s="297"/>
      <c r="E112" s="258"/>
      <c r="F112" s="298"/>
      <c r="G112" s="298"/>
    </row>
    <row r="113" spans="1:7" ht="26.1" customHeight="1">
      <c r="A113" s="295"/>
      <c r="B113" s="296"/>
      <c r="C113" s="297"/>
      <c r="D113" s="297"/>
      <c r="E113" s="258"/>
      <c r="F113" s="299"/>
      <c r="G113" s="299"/>
    </row>
    <row r="114" spans="1:7" ht="26.1" customHeight="1">
      <c r="A114" s="295"/>
      <c r="B114" s="296"/>
      <c r="C114" s="297"/>
      <c r="D114" s="297"/>
      <c r="E114" s="258"/>
      <c r="F114" s="298"/>
      <c r="G114" s="298"/>
    </row>
    <row r="115" spans="1:7" ht="26.1" customHeight="1">
      <c r="A115" s="295"/>
      <c r="B115" s="296"/>
      <c r="C115" s="297"/>
      <c r="D115" s="297"/>
      <c r="E115" s="258"/>
      <c r="F115" s="298"/>
      <c r="G115" s="298"/>
    </row>
    <row r="116" spans="1:7" ht="26.1" customHeight="1">
      <c r="A116" s="295"/>
      <c r="B116" s="296"/>
      <c r="C116" s="297"/>
      <c r="D116" s="297"/>
      <c r="E116" s="258"/>
      <c r="F116" s="298"/>
      <c r="G116" s="298"/>
    </row>
    <row r="117" spans="1:7" ht="26.1" customHeight="1">
      <c r="A117" s="295"/>
      <c r="B117" s="296"/>
      <c r="C117" s="297"/>
      <c r="D117" s="297"/>
      <c r="E117" s="258"/>
      <c r="F117" s="298"/>
      <c r="G117" s="298"/>
    </row>
    <row r="118" spans="1:7" ht="26.1" customHeight="1">
      <c r="A118" s="295"/>
      <c r="B118" s="296"/>
      <c r="C118" s="297"/>
      <c r="D118" s="297"/>
      <c r="E118" s="258"/>
      <c r="F118" s="298"/>
      <c r="G118" s="298"/>
    </row>
    <row r="119" spans="1:7" ht="26.1" customHeight="1">
      <c r="A119" s="295"/>
      <c r="B119" s="296"/>
      <c r="C119" s="297"/>
      <c r="D119" s="297"/>
      <c r="E119" s="258"/>
      <c r="F119" s="299"/>
      <c r="G119" s="299"/>
    </row>
    <row r="120" spans="1:7" ht="26.1" customHeight="1">
      <c r="A120" s="295"/>
      <c r="B120" s="296"/>
      <c r="C120" s="297"/>
      <c r="D120" s="297"/>
      <c r="E120" s="258"/>
      <c r="F120" s="298"/>
      <c r="G120" s="298"/>
    </row>
    <row r="121" spans="1:7" ht="26.1" customHeight="1">
      <c r="A121" s="295"/>
      <c r="B121" s="296"/>
      <c r="C121" s="297"/>
      <c r="D121" s="297"/>
      <c r="E121" s="258"/>
      <c r="F121" s="298"/>
      <c r="G121" s="298"/>
    </row>
    <row r="122" spans="1:7" ht="26.1" customHeight="1">
      <c r="A122" s="295"/>
      <c r="B122" s="296"/>
      <c r="C122" s="297"/>
      <c r="D122" s="297"/>
      <c r="E122" s="258"/>
      <c r="F122" s="298"/>
      <c r="G122" s="298"/>
    </row>
    <row r="123" spans="1:7" ht="26.1" customHeight="1">
      <c r="A123" s="295"/>
      <c r="B123" s="296"/>
      <c r="C123" s="297"/>
      <c r="D123" s="297"/>
      <c r="E123" s="258"/>
      <c r="F123" s="298"/>
      <c r="G123" s="298"/>
    </row>
    <row r="124" spans="1:7" ht="26.1" customHeight="1">
      <c r="A124" s="295"/>
      <c r="B124" s="296"/>
      <c r="C124" s="297"/>
      <c r="D124" s="297"/>
      <c r="E124" s="258"/>
      <c r="F124" s="298"/>
      <c r="G124" s="298"/>
    </row>
    <row r="125" spans="1:7" ht="26.1" customHeight="1">
      <c r="A125" s="295"/>
      <c r="B125" s="296"/>
      <c r="C125" s="297"/>
      <c r="D125" s="297"/>
      <c r="E125" s="258"/>
      <c r="F125" s="291"/>
      <c r="G125" s="291"/>
    </row>
    <row r="126" spans="1:7" ht="26.1" customHeight="1">
      <c r="A126" s="295"/>
      <c r="B126" s="296"/>
      <c r="C126" s="297"/>
      <c r="D126" s="297"/>
      <c r="E126" s="258"/>
      <c r="F126" s="291"/>
      <c r="G126" s="291"/>
    </row>
    <row r="127" spans="1:7" ht="26.1" customHeight="1">
      <c r="A127" s="295"/>
      <c r="B127" s="296"/>
      <c r="C127" s="297"/>
      <c r="D127" s="297"/>
      <c r="E127" s="258"/>
      <c r="F127" s="291"/>
      <c r="G127" s="291"/>
    </row>
    <row r="128" spans="1:7" ht="26.1" customHeight="1">
      <c r="A128" s="295"/>
      <c r="B128" s="296"/>
      <c r="C128" s="297"/>
      <c r="D128" s="297"/>
      <c r="E128" s="258"/>
      <c r="F128" s="291"/>
      <c r="G128" s="291"/>
    </row>
    <row r="129" spans="1:7" ht="26.1" customHeight="1">
      <c r="A129" s="295"/>
      <c r="B129" s="296"/>
      <c r="C129" s="297"/>
      <c r="D129" s="297"/>
      <c r="E129" s="258"/>
      <c r="F129" s="298"/>
      <c r="G129" s="298"/>
    </row>
    <row r="130" spans="1:7" ht="26.1" customHeight="1">
      <c r="A130" s="295"/>
      <c r="B130" s="296"/>
      <c r="C130" s="297"/>
      <c r="D130" s="297"/>
      <c r="E130" s="258"/>
      <c r="F130" s="298"/>
      <c r="G130" s="298"/>
    </row>
    <row r="131" spans="1:7" ht="26.1" customHeight="1">
      <c r="A131" s="295"/>
      <c r="B131" s="296"/>
      <c r="C131" s="297"/>
      <c r="D131" s="297"/>
      <c r="E131" s="258"/>
      <c r="F131" s="298"/>
      <c r="G131" s="298"/>
    </row>
    <row r="132" spans="1:7" ht="26.1" customHeight="1">
      <c r="A132" s="295"/>
      <c r="B132" s="296"/>
      <c r="C132" s="297"/>
      <c r="D132" s="297"/>
      <c r="E132" s="258"/>
      <c r="F132" s="298"/>
      <c r="G132" s="298"/>
    </row>
    <row r="133" spans="1:7" ht="26.1" customHeight="1">
      <c r="A133" s="295"/>
      <c r="B133" s="296"/>
      <c r="C133" s="297"/>
      <c r="D133" s="297"/>
      <c r="E133" s="258"/>
      <c r="F133" s="298"/>
      <c r="G133" s="298"/>
    </row>
    <row r="134" spans="1:7" ht="26.1" customHeight="1">
      <c r="A134" s="295"/>
      <c r="B134" s="296"/>
      <c r="C134" s="297"/>
      <c r="D134" s="297"/>
      <c r="E134" s="258"/>
      <c r="F134" s="298"/>
      <c r="G134" s="298"/>
    </row>
    <row r="135" spans="1:7" ht="26.1" customHeight="1">
      <c r="A135" s="295"/>
      <c r="B135" s="296"/>
      <c r="C135" s="297"/>
      <c r="D135" s="297"/>
      <c r="E135" s="258"/>
      <c r="F135" s="299"/>
      <c r="G135" s="299"/>
    </row>
    <row r="136" spans="1:7" ht="26.1" customHeight="1">
      <c r="A136" s="295"/>
      <c r="B136" s="296"/>
      <c r="C136" s="297"/>
      <c r="D136" s="297"/>
      <c r="E136" s="258"/>
      <c r="F136" s="298"/>
      <c r="G136" s="298"/>
    </row>
    <row r="137" spans="1:7" ht="26.1" customHeight="1">
      <c r="A137" s="295"/>
      <c r="B137" s="296"/>
      <c r="C137" s="297"/>
      <c r="D137" s="297"/>
      <c r="E137" s="258"/>
      <c r="F137" s="298"/>
      <c r="G137" s="298"/>
    </row>
    <row r="138" spans="1:7" ht="26.1" customHeight="1">
      <c r="A138" s="295"/>
      <c r="B138" s="296"/>
      <c r="C138" s="297"/>
      <c r="D138" s="297"/>
      <c r="E138" s="258"/>
      <c r="F138" s="291"/>
      <c r="G138" s="291"/>
    </row>
    <row r="139" spans="1:7" ht="26.1" customHeight="1">
      <c r="A139" s="295"/>
      <c r="B139" s="300"/>
      <c r="C139" s="297"/>
      <c r="D139" s="297"/>
      <c r="E139" s="258"/>
      <c r="F139" s="291"/>
      <c r="G139" s="291"/>
    </row>
    <row r="140" spans="1:7" ht="26.1" customHeight="1">
      <c r="A140" s="295"/>
      <c r="B140" s="296"/>
      <c r="C140" s="297"/>
      <c r="D140" s="297"/>
      <c r="E140" s="258"/>
      <c r="F140" s="291"/>
      <c r="G140" s="291"/>
    </row>
    <row r="141" spans="1:7" ht="26.1" customHeight="1">
      <c r="A141" s="295"/>
      <c r="B141" s="296"/>
      <c r="C141" s="297"/>
      <c r="D141" s="297"/>
      <c r="E141" s="258"/>
      <c r="F141" s="291"/>
      <c r="G141" s="291"/>
    </row>
    <row r="142" spans="1:7" ht="26.1" customHeight="1">
      <c r="A142" s="295"/>
      <c r="B142" s="296"/>
      <c r="C142" s="297"/>
      <c r="D142" s="297"/>
      <c r="E142" s="258"/>
      <c r="F142" s="291"/>
      <c r="G142" s="291"/>
    </row>
    <row r="143" spans="1:7" ht="26.1" customHeight="1">
      <c r="A143" s="295"/>
      <c r="B143" s="296"/>
      <c r="C143" s="297"/>
      <c r="D143" s="297"/>
      <c r="E143" s="258"/>
      <c r="F143" s="291"/>
      <c r="G143" s="291"/>
    </row>
    <row r="144" spans="1:7" ht="26.1" customHeight="1">
      <c r="A144" s="295"/>
      <c r="B144" s="296"/>
      <c r="C144" s="297"/>
      <c r="D144" s="297"/>
      <c r="E144" s="258"/>
      <c r="F144" s="291"/>
      <c r="G144" s="291"/>
    </row>
    <row r="145" spans="1:7" ht="26.1" customHeight="1">
      <c r="A145" s="295"/>
      <c r="B145" s="296"/>
      <c r="C145" s="297"/>
      <c r="D145" s="297"/>
      <c r="E145" s="258"/>
      <c r="F145" s="291"/>
      <c r="G145" s="291"/>
    </row>
    <row r="146" spans="1:7" ht="26.1" customHeight="1">
      <c r="A146" s="295"/>
      <c r="B146" s="296"/>
      <c r="C146" s="297"/>
      <c r="D146" s="297"/>
      <c r="E146" s="258"/>
      <c r="F146" s="291"/>
      <c r="G146" s="291"/>
    </row>
    <row r="147" spans="1:7" ht="26.1" customHeight="1">
      <c r="A147" s="295"/>
      <c r="B147" s="296"/>
      <c r="C147" s="297"/>
      <c r="D147" s="297"/>
      <c r="E147" s="258"/>
      <c r="F147" s="291"/>
      <c r="G147" s="291"/>
    </row>
    <row r="148" spans="1:7" ht="26.1" customHeight="1">
      <c r="A148" s="295"/>
      <c r="B148" s="296"/>
      <c r="C148" s="297"/>
      <c r="D148" s="297"/>
      <c r="E148" s="258"/>
      <c r="F148" s="291"/>
      <c r="G148" s="291"/>
    </row>
    <row r="149" spans="1:7" ht="26.1" customHeight="1">
      <c r="A149" s="295"/>
      <c r="B149" s="296"/>
      <c r="C149" s="297"/>
      <c r="D149" s="297"/>
      <c r="E149" s="258"/>
      <c r="F149" s="291"/>
      <c r="G149" s="291"/>
    </row>
    <row r="150" spans="1:7" ht="26.1" customHeight="1">
      <c r="A150" s="295"/>
      <c r="B150" s="296"/>
      <c r="C150" s="297"/>
      <c r="D150" s="297"/>
      <c r="E150" s="258"/>
      <c r="F150" s="291"/>
      <c r="G150" s="291"/>
    </row>
    <row r="151" spans="1:7" ht="26.1" customHeight="1">
      <c r="A151" s="295"/>
      <c r="B151" s="296"/>
      <c r="C151" s="297"/>
      <c r="D151" s="297"/>
      <c r="E151" s="258"/>
      <c r="F151" s="291"/>
      <c r="G151" s="291"/>
    </row>
    <row r="152" spans="1:7" ht="26.1" customHeight="1">
      <c r="A152" s="295"/>
      <c r="B152" s="296"/>
      <c r="C152" s="297"/>
      <c r="D152" s="297"/>
      <c r="E152" s="258"/>
      <c r="F152" s="291"/>
      <c r="G152" s="291"/>
    </row>
    <row r="153" spans="1:7" ht="26.1" customHeight="1">
      <c r="A153" s="295"/>
      <c r="B153" s="296"/>
      <c r="C153" s="297"/>
      <c r="D153" s="297"/>
      <c r="E153" s="258"/>
      <c r="F153" s="291"/>
      <c r="G153" s="291"/>
    </row>
    <row r="154" spans="1:7" ht="26.1" customHeight="1">
      <c r="A154" s="295"/>
      <c r="B154" s="296"/>
      <c r="C154" s="297"/>
      <c r="D154" s="297"/>
      <c r="E154" s="258"/>
      <c r="F154" s="291"/>
      <c r="G154" s="291"/>
    </row>
    <row r="155" spans="1:7" ht="26.1" customHeight="1">
      <c r="A155" s="295"/>
      <c r="B155" s="296"/>
      <c r="C155" s="297"/>
      <c r="D155" s="297"/>
      <c r="E155" s="258"/>
      <c r="F155" s="291"/>
      <c r="G155" s="291"/>
    </row>
    <row r="156" spans="1:7" ht="26.1" customHeight="1">
      <c r="A156" s="295"/>
      <c r="B156" s="296"/>
      <c r="C156" s="297"/>
      <c r="D156" s="297"/>
      <c r="E156" s="258"/>
      <c r="F156" s="291"/>
      <c r="G156" s="291"/>
    </row>
    <row r="157" spans="1:7" ht="26.1" customHeight="1">
      <c r="A157" s="295"/>
      <c r="B157" s="296"/>
      <c r="C157" s="297"/>
      <c r="D157" s="297"/>
      <c r="E157" s="258"/>
      <c r="F157" s="291"/>
      <c r="G157" s="291"/>
    </row>
    <row r="158" spans="1:7" ht="26.1" customHeight="1">
      <c r="A158" s="295"/>
      <c r="B158" s="296"/>
      <c r="C158" s="297"/>
      <c r="D158" s="297"/>
      <c r="E158" s="258"/>
      <c r="F158" s="291"/>
      <c r="G158" s="291"/>
    </row>
    <row r="159" spans="1:7" ht="26.1" customHeight="1">
      <c r="A159" s="295"/>
      <c r="B159" s="296"/>
      <c r="C159" s="297"/>
      <c r="D159" s="297"/>
      <c r="E159" s="258"/>
      <c r="F159" s="291"/>
      <c r="G159" s="291"/>
    </row>
    <row r="160" spans="1:7" ht="26.1" customHeight="1">
      <c r="A160" s="290"/>
      <c r="B160" s="271"/>
      <c r="C160" s="258"/>
      <c r="D160" s="258"/>
      <c r="E160" s="258"/>
      <c r="F160" s="292"/>
      <c r="G160" s="293"/>
    </row>
    <row r="161" spans="1:7" ht="26.1" customHeight="1">
      <c r="A161" s="290"/>
      <c r="B161" s="271"/>
      <c r="C161" s="258"/>
      <c r="D161" s="258"/>
      <c r="E161" s="258"/>
      <c r="F161" s="291"/>
      <c r="G161" s="291"/>
    </row>
    <row r="162" spans="1:7" ht="26.1" customHeight="1">
      <c r="A162" s="290"/>
      <c r="B162" s="271"/>
      <c r="C162" s="258"/>
      <c r="D162" s="258"/>
      <c r="E162" s="258"/>
      <c r="F162" s="291"/>
      <c r="G162" s="291"/>
    </row>
    <row r="163" spans="1:7" ht="26.1" customHeight="1">
      <c r="A163" s="677"/>
      <c r="B163" s="678"/>
      <c r="C163" s="678"/>
      <c r="D163" s="678"/>
      <c r="E163" s="679"/>
      <c r="F163" s="292"/>
      <c r="G163" s="293"/>
    </row>
    <row r="164" spans="1:7" ht="26.1" customHeight="1">
      <c r="A164" s="301"/>
      <c r="B164" s="301"/>
      <c r="C164" s="301"/>
      <c r="D164" s="301"/>
      <c r="E164" s="301"/>
      <c r="F164" s="292"/>
      <c r="G164" s="293"/>
    </row>
    <row r="165" spans="1:7" ht="26.1" customHeight="1">
      <c r="A165" s="290"/>
      <c r="B165" s="294"/>
      <c r="C165" s="258"/>
      <c r="D165" s="258"/>
      <c r="E165" s="258"/>
      <c r="F165" s="292"/>
      <c r="G165" s="293"/>
    </row>
    <row r="166" spans="1:7" ht="26.1" customHeight="1">
      <c r="A166" s="302"/>
      <c r="B166" s="296"/>
      <c r="C166" s="297"/>
      <c r="D166" s="297"/>
      <c r="E166" s="258"/>
      <c r="F166" s="303"/>
      <c r="G166" s="303"/>
    </row>
    <row r="167" spans="1:7" ht="26.1" customHeight="1">
      <c r="A167" s="295"/>
      <c r="B167" s="296"/>
      <c r="C167" s="297"/>
      <c r="D167" s="297"/>
      <c r="E167" s="258"/>
      <c r="F167" s="303"/>
      <c r="G167" s="303"/>
    </row>
    <row r="168" spans="1:7" ht="26.1" customHeight="1">
      <c r="A168" s="295"/>
      <c r="B168" s="296"/>
      <c r="C168" s="297"/>
      <c r="D168" s="297"/>
      <c r="E168" s="258"/>
      <c r="F168" s="304"/>
      <c r="G168" s="305"/>
    </row>
    <row r="169" spans="1:7" ht="26.1" customHeight="1">
      <c r="A169" s="295"/>
      <c r="B169" s="296"/>
      <c r="C169" s="297"/>
      <c r="D169" s="297"/>
      <c r="E169" s="258"/>
      <c r="F169" s="305"/>
      <c r="G169" s="305"/>
    </row>
    <row r="170" spans="1:7" ht="26.1" customHeight="1">
      <c r="A170" s="295"/>
      <c r="B170" s="300"/>
      <c r="C170" s="297"/>
      <c r="D170" s="297"/>
      <c r="E170" s="258"/>
      <c r="F170" s="303"/>
      <c r="G170" s="303"/>
    </row>
    <row r="171" spans="1:7" ht="26.1" customHeight="1">
      <c r="A171" s="295"/>
      <c r="B171" s="296"/>
      <c r="C171" s="297"/>
      <c r="D171" s="297"/>
      <c r="E171" s="258"/>
      <c r="F171" s="303"/>
      <c r="G171" s="303"/>
    </row>
    <row r="172" spans="1:7" ht="26.1" customHeight="1">
      <c r="A172" s="295"/>
      <c r="B172" s="296"/>
      <c r="C172" s="297"/>
      <c r="D172" s="297"/>
      <c r="E172" s="258"/>
      <c r="F172" s="303"/>
      <c r="G172" s="303"/>
    </row>
    <row r="173" spans="1:7" ht="26.1" customHeight="1">
      <c r="A173" s="295"/>
      <c r="B173" s="296"/>
      <c r="C173" s="297"/>
      <c r="D173" s="297"/>
      <c r="E173" s="258"/>
      <c r="F173" s="303"/>
      <c r="G173" s="303"/>
    </row>
    <row r="174" spans="1:7" ht="26.1" customHeight="1">
      <c r="A174" s="295"/>
      <c r="B174" s="296"/>
      <c r="C174" s="297"/>
      <c r="D174" s="297"/>
      <c r="E174" s="258"/>
      <c r="F174" s="303"/>
      <c r="G174" s="303"/>
    </row>
    <row r="175" spans="1:7" ht="26.1" customHeight="1">
      <c r="A175" s="295"/>
      <c r="B175" s="296"/>
      <c r="C175" s="297"/>
      <c r="D175" s="297"/>
      <c r="E175" s="258"/>
      <c r="F175" s="303"/>
      <c r="G175" s="303"/>
    </row>
    <row r="176" spans="1:7" ht="26.1" customHeight="1">
      <c r="A176" s="290"/>
      <c r="B176" s="271"/>
      <c r="C176" s="258"/>
      <c r="D176" s="258"/>
      <c r="E176" s="258"/>
      <c r="F176" s="292"/>
      <c r="G176" s="293"/>
    </row>
    <row r="177" spans="1:7" ht="26.1" customHeight="1">
      <c r="A177" s="290"/>
      <c r="B177" s="271"/>
      <c r="C177" s="258"/>
      <c r="D177" s="258"/>
      <c r="E177" s="258"/>
      <c r="F177" s="292"/>
      <c r="G177" s="293"/>
    </row>
    <row r="178" spans="1:7" ht="26.1" customHeight="1">
      <c r="A178" s="290"/>
      <c r="B178" s="294"/>
      <c r="C178" s="258"/>
      <c r="D178" s="258"/>
      <c r="E178" s="258"/>
      <c r="F178" s="292"/>
      <c r="G178" s="293"/>
    </row>
    <row r="179" spans="1:7" ht="26.1" customHeight="1">
      <c r="A179" s="302"/>
      <c r="B179" s="296"/>
      <c r="C179" s="297"/>
      <c r="D179" s="297"/>
      <c r="E179" s="258"/>
      <c r="F179" s="291"/>
      <c r="G179" s="291"/>
    </row>
    <row r="180" spans="1:7" ht="26.1" customHeight="1">
      <c r="A180" s="295"/>
      <c r="B180" s="296"/>
      <c r="C180" s="297"/>
      <c r="D180" s="297"/>
      <c r="E180" s="258"/>
      <c r="F180" s="291"/>
      <c r="G180" s="291"/>
    </row>
    <row r="181" spans="1:7" ht="26.1" customHeight="1">
      <c r="A181" s="295"/>
      <c r="B181" s="296"/>
      <c r="C181" s="297"/>
      <c r="D181" s="297"/>
      <c r="E181" s="258"/>
      <c r="F181" s="291"/>
      <c r="G181" s="291"/>
    </row>
    <row r="182" spans="1:7" ht="26.1" customHeight="1">
      <c r="A182" s="295"/>
      <c r="B182" s="296"/>
      <c r="C182" s="297"/>
      <c r="D182" s="297"/>
      <c r="E182" s="258"/>
      <c r="F182" s="291"/>
      <c r="G182" s="291"/>
    </row>
    <row r="183" spans="1:7" ht="26.1" customHeight="1">
      <c r="A183" s="295"/>
      <c r="B183" s="296"/>
      <c r="C183" s="297"/>
      <c r="D183" s="297"/>
      <c r="E183" s="258"/>
      <c r="F183" s="291"/>
      <c r="G183" s="291"/>
    </row>
    <row r="184" spans="1:7" ht="26.1" customHeight="1">
      <c r="A184" s="295"/>
      <c r="B184" s="296"/>
      <c r="C184" s="297"/>
      <c r="D184" s="297"/>
      <c r="E184" s="258"/>
      <c r="F184" s="306"/>
      <c r="G184" s="307"/>
    </row>
    <row r="185" spans="1:7" ht="26.1" customHeight="1">
      <c r="A185" s="295"/>
      <c r="B185" s="296"/>
      <c r="C185" s="297"/>
      <c r="D185" s="297"/>
      <c r="E185" s="258"/>
      <c r="F185" s="306"/>
      <c r="G185" s="307"/>
    </row>
    <row r="186" spans="1:7" ht="26.1" customHeight="1">
      <c r="A186" s="295"/>
      <c r="B186" s="296"/>
      <c r="C186" s="297"/>
      <c r="D186" s="297"/>
      <c r="E186" s="258"/>
      <c r="F186" s="306"/>
      <c r="G186" s="307"/>
    </row>
    <row r="187" spans="1:7" ht="26.1" customHeight="1">
      <c r="A187" s="295"/>
      <c r="B187" s="296"/>
      <c r="C187" s="297"/>
      <c r="D187" s="297"/>
      <c r="E187" s="258"/>
      <c r="F187" s="306"/>
      <c r="G187" s="307"/>
    </row>
    <row r="188" spans="1:7" ht="26.1" customHeight="1">
      <c r="A188" s="295"/>
      <c r="B188" s="296"/>
      <c r="C188" s="297"/>
      <c r="D188" s="297"/>
      <c r="E188" s="258"/>
      <c r="F188" s="306"/>
      <c r="G188" s="307"/>
    </row>
    <row r="189" spans="1:7" ht="26.1" customHeight="1">
      <c r="A189" s="295"/>
      <c r="B189" s="296"/>
      <c r="C189" s="297"/>
      <c r="D189" s="297"/>
      <c r="E189" s="258"/>
      <c r="F189" s="306"/>
      <c r="G189" s="307"/>
    </row>
    <row r="190" spans="1:7" ht="26.1" customHeight="1">
      <c r="A190" s="295"/>
      <c r="B190" s="296"/>
      <c r="C190" s="297"/>
      <c r="D190" s="297"/>
      <c r="E190" s="258"/>
      <c r="F190" s="291"/>
      <c r="G190" s="291"/>
    </row>
    <row r="191" spans="1:7" ht="26.1" customHeight="1">
      <c r="A191" s="295"/>
      <c r="B191" s="296"/>
      <c r="C191" s="297"/>
      <c r="D191" s="297"/>
      <c r="E191" s="258"/>
      <c r="F191" s="298"/>
      <c r="G191" s="308"/>
    </row>
    <row r="192" spans="1:7" ht="26.1" customHeight="1">
      <c r="A192" s="295"/>
      <c r="B192" s="296"/>
      <c r="C192" s="297"/>
      <c r="D192" s="297"/>
      <c r="E192" s="258"/>
      <c r="F192" s="298"/>
      <c r="G192" s="308"/>
    </row>
    <row r="193" spans="1:7" ht="26.1" customHeight="1">
      <c r="A193" s="295"/>
      <c r="B193" s="296"/>
      <c r="C193" s="297"/>
      <c r="D193" s="297"/>
      <c r="E193" s="258"/>
      <c r="F193" s="308"/>
      <c r="G193" s="308"/>
    </row>
    <row r="194" spans="1:7" ht="26.1" customHeight="1">
      <c r="A194" s="295"/>
      <c r="B194" s="300"/>
      <c r="C194" s="297"/>
      <c r="D194" s="297"/>
      <c r="E194" s="258"/>
      <c r="F194" s="291"/>
      <c r="G194" s="291"/>
    </row>
    <row r="195" spans="1:7" ht="26.1" customHeight="1">
      <c r="A195" s="295"/>
      <c r="B195" s="296"/>
      <c r="C195" s="297"/>
      <c r="D195" s="297"/>
      <c r="E195" s="258"/>
      <c r="F195" s="291"/>
      <c r="G195" s="291"/>
    </row>
    <row r="196" spans="1:7" ht="26.1" customHeight="1">
      <c r="A196" s="295"/>
      <c r="B196" s="296"/>
      <c r="C196" s="297"/>
      <c r="D196" s="297"/>
      <c r="E196" s="258"/>
      <c r="F196" s="291"/>
      <c r="G196" s="291"/>
    </row>
    <row r="197" spans="1:7" ht="26.1" customHeight="1">
      <c r="A197" s="295"/>
      <c r="B197" s="296"/>
      <c r="C197" s="297"/>
      <c r="D197" s="297"/>
      <c r="E197" s="258"/>
      <c r="F197" s="291"/>
      <c r="G197" s="291"/>
    </row>
    <row r="198" spans="1:7" ht="26.1" customHeight="1">
      <c r="A198" s="295"/>
      <c r="B198" s="296"/>
      <c r="C198" s="297"/>
      <c r="D198" s="297"/>
      <c r="E198" s="258"/>
      <c r="F198" s="291"/>
      <c r="G198" s="291"/>
    </row>
    <row r="199" spans="1:7" ht="26.1" customHeight="1">
      <c r="A199" s="295"/>
      <c r="B199" s="296"/>
      <c r="C199" s="297"/>
      <c r="D199" s="297"/>
      <c r="E199" s="258"/>
      <c r="F199" s="291"/>
      <c r="G199" s="291"/>
    </row>
    <row r="200" spans="1:7" ht="26.1" customHeight="1">
      <c r="A200" s="295"/>
      <c r="B200" s="296"/>
      <c r="C200" s="297"/>
      <c r="D200" s="297"/>
      <c r="E200" s="258"/>
      <c r="F200" s="291"/>
      <c r="G200" s="291"/>
    </row>
    <row r="201" spans="1:7" ht="26.1" customHeight="1">
      <c r="A201" s="295"/>
      <c r="B201" s="296"/>
      <c r="C201" s="297"/>
      <c r="D201" s="297"/>
      <c r="E201" s="258"/>
      <c r="F201" s="291"/>
      <c r="G201" s="291"/>
    </row>
    <row r="202" spans="1:7" ht="26.1" customHeight="1">
      <c r="A202" s="295"/>
      <c r="B202" s="296"/>
      <c r="C202" s="297"/>
      <c r="D202" s="297"/>
      <c r="E202" s="258"/>
      <c r="F202" s="291"/>
      <c r="G202" s="291"/>
    </row>
    <row r="203" spans="1:7" ht="26.1" customHeight="1">
      <c r="A203" s="295"/>
      <c r="B203" s="296"/>
      <c r="C203" s="297"/>
      <c r="D203" s="297"/>
      <c r="E203" s="258"/>
      <c r="F203" s="291"/>
      <c r="G203" s="291"/>
    </row>
    <row r="204" spans="1:7" ht="26.1" customHeight="1">
      <c r="A204" s="290"/>
      <c r="B204" s="271"/>
      <c r="C204" s="258"/>
      <c r="D204" s="258"/>
      <c r="E204" s="258"/>
      <c r="F204" s="292"/>
      <c r="G204" s="293"/>
    </row>
    <row r="205" spans="1:7" ht="26.1" customHeight="1">
      <c r="A205" s="290"/>
      <c r="B205" s="271"/>
      <c r="C205" s="258"/>
      <c r="D205" s="258"/>
      <c r="E205" s="258"/>
      <c r="F205" s="292"/>
      <c r="G205" s="293"/>
    </row>
    <row r="206" spans="1:7" ht="26.1" customHeight="1">
      <c r="A206" s="290"/>
      <c r="B206" s="294"/>
      <c r="C206" s="258"/>
      <c r="D206" s="258"/>
      <c r="E206" s="258"/>
      <c r="F206" s="292"/>
      <c r="G206" s="293"/>
    </row>
    <row r="207" spans="1:7" ht="26.1" customHeight="1">
      <c r="A207" s="302"/>
      <c r="B207" s="296"/>
      <c r="C207" s="297"/>
      <c r="D207" s="297"/>
      <c r="E207" s="258"/>
      <c r="F207" s="291"/>
      <c r="G207" s="291"/>
    </row>
    <row r="208" spans="1:7" ht="26.1" customHeight="1">
      <c r="A208" s="295"/>
      <c r="B208" s="296"/>
      <c r="C208" s="297"/>
      <c r="D208" s="297"/>
      <c r="E208" s="258"/>
      <c r="F208" s="291"/>
      <c r="G208" s="291"/>
    </row>
    <row r="209" spans="1:7" ht="26.1" customHeight="1">
      <c r="A209" s="295"/>
      <c r="B209" s="296"/>
      <c r="C209" s="297"/>
      <c r="D209" s="297"/>
      <c r="E209" s="258"/>
      <c r="F209" s="291"/>
      <c r="G209" s="291"/>
    </row>
    <row r="210" spans="1:7" ht="26.1" customHeight="1">
      <c r="A210" s="295"/>
      <c r="B210" s="296"/>
      <c r="C210" s="297"/>
      <c r="D210" s="297"/>
      <c r="E210" s="258"/>
      <c r="F210" s="291"/>
      <c r="G210" s="291"/>
    </row>
    <row r="211" spans="1:7" ht="26.1" customHeight="1">
      <c r="A211" s="295"/>
      <c r="B211" s="296"/>
      <c r="C211" s="297"/>
      <c r="D211" s="297"/>
      <c r="E211" s="258"/>
      <c r="F211" s="291"/>
      <c r="G211" s="291"/>
    </row>
    <row r="212" spans="1:7" ht="26.1" customHeight="1">
      <c r="A212" s="295"/>
      <c r="B212" s="296"/>
      <c r="C212" s="297"/>
      <c r="D212" s="297"/>
      <c r="E212" s="258"/>
      <c r="F212" s="298"/>
      <c r="G212" s="298"/>
    </row>
    <row r="213" spans="1:7" ht="26.1" customHeight="1">
      <c r="A213" s="295"/>
      <c r="B213" s="296"/>
      <c r="C213" s="297"/>
      <c r="D213" s="297"/>
      <c r="E213" s="258"/>
      <c r="F213" s="298"/>
      <c r="G213" s="298"/>
    </row>
    <row r="214" spans="1:7" ht="26.1" customHeight="1">
      <c r="A214" s="295"/>
      <c r="B214" s="296"/>
      <c r="C214" s="297"/>
      <c r="D214" s="297"/>
      <c r="E214" s="258"/>
      <c r="F214" s="298"/>
      <c r="G214" s="298"/>
    </row>
    <row r="215" spans="1:7" ht="26.1" customHeight="1">
      <c r="A215" s="295"/>
      <c r="B215" s="296"/>
      <c r="C215" s="297"/>
      <c r="D215" s="297"/>
      <c r="E215" s="258"/>
      <c r="F215" s="299"/>
      <c r="G215" s="299"/>
    </row>
    <row r="216" spans="1:7" ht="26.1" customHeight="1">
      <c r="A216" s="295"/>
      <c r="B216" s="296"/>
      <c r="C216" s="297"/>
      <c r="D216" s="297"/>
      <c r="E216" s="258"/>
      <c r="F216" s="298"/>
      <c r="G216" s="298"/>
    </row>
    <row r="217" spans="1:7" ht="26.1" customHeight="1">
      <c r="A217" s="295"/>
      <c r="B217" s="296"/>
      <c r="C217" s="297"/>
      <c r="D217" s="297"/>
      <c r="E217" s="258"/>
      <c r="F217" s="291"/>
      <c r="G217" s="291"/>
    </row>
    <row r="218" spans="1:7" ht="26.1" customHeight="1">
      <c r="A218" s="295"/>
      <c r="B218" s="296"/>
      <c r="C218" s="297"/>
      <c r="D218" s="297"/>
      <c r="E218" s="258"/>
      <c r="F218" s="291"/>
      <c r="G218" s="291"/>
    </row>
    <row r="219" spans="1:7" ht="26.1" customHeight="1">
      <c r="A219" s="295"/>
      <c r="B219" s="296"/>
      <c r="C219" s="297"/>
      <c r="D219" s="297"/>
      <c r="E219" s="258"/>
      <c r="F219" s="291"/>
      <c r="G219" s="291"/>
    </row>
    <row r="220" spans="1:7" ht="26.1" customHeight="1">
      <c r="A220" s="295"/>
      <c r="B220" s="296"/>
      <c r="C220" s="297"/>
      <c r="D220" s="297"/>
      <c r="E220" s="258"/>
      <c r="F220" s="291"/>
      <c r="G220" s="291"/>
    </row>
    <row r="221" spans="1:7" ht="26.1" customHeight="1">
      <c r="A221" s="295"/>
      <c r="B221" s="296"/>
      <c r="C221" s="297"/>
      <c r="D221" s="297"/>
      <c r="E221" s="258"/>
      <c r="F221" s="291"/>
      <c r="G221" s="291"/>
    </row>
    <row r="222" spans="1:7" ht="26.1" customHeight="1">
      <c r="A222" s="295"/>
      <c r="B222" s="296"/>
      <c r="C222" s="297"/>
      <c r="D222" s="297"/>
      <c r="E222" s="258"/>
      <c r="F222" s="291"/>
      <c r="G222" s="291"/>
    </row>
    <row r="223" spans="1:7" ht="26.1" customHeight="1">
      <c r="A223" s="295"/>
      <c r="B223" s="296"/>
      <c r="C223" s="297"/>
      <c r="D223" s="297"/>
      <c r="E223" s="258"/>
      <c r="F223" s="291"/>
      <c r="G223" s="291"/>
    </row>
    <row r="224" spans="1:7" ht="26.1" customHeight="1">
      <c r="A224" s="295"/>
      <c r="B224" s="296"/>
      <c r="C224" s="297"/>
      <c r="D224" s="297"/>
      <c r="E224" s="258"/>
      <c r="F224" s="291"/>
      <c r="G224" s="291"/>
    </row>
    <row r="225" spans="1:7" ht="26.1" customHeight="1">
      <c r="A225" s="295"/>
      <c r="B225" s="296"/>
      <c r="C225" s="297"/>
      <c r="D225" s="297"/>
      <c r="E225" s="258"/>
      <c r="F225" s="291"/>
      <c r="G225" s="291"/>
    </row>
    <row r="226" spans="1:7" ht="26.1" customHeight="1">
      <c r="A226" s="295"/>
      <c r="B226" s="296"/>
      <c r="C226" s="297"/>
      <c r="D226" s="297"/>
      <c r="E226" s="258"/>
      <c r="F226" s="291"/>
      <c r="G226" s="291"/>
    </row>
    <row r="227" spans="1:7" ht="26.1" customHeight="1">
      <c r="A227" s="295"/>
      <c r="B227" s="296"/>
      <c r="C227" s="297"/>
      <c r="D227" s="309"/>
      <c r="E227" s="258"/>
      <c r="F227" s="291"/>
      <c r="G227" s="310"/>
    </row>
    <row r="228" spans="1:7" ht="26.1" customHeight="1">
      <c r="A228" s="290"/>
      <c r="B228" s="271"/>
      <c r="C228" s="258"/>
      <c r="D228" s="258"/>
      <c r="E228" s="258"/>
      <c r="F228" s="292"/>
      <c r="G228" s="293"/>
    </row>
    <row r="229" spans="1:7" ht="26.1" customHeight="1">
      <c r="A229" s="290"/>
      <c r="B229" s="294"/>
      <c r="C229" s="258"/>
      <c r="D229" s="258"/>
      <c r="E229" s="258"/>
      <c r="F229" s="292"/>
      <c r="G229" s="293"/>
    </row>
    <row r="230" spans="1:7" ht="26.1" customHeight="1">
      <c r="A230" s="302"/>
      <c r="B230" s="296"/>
      <c r="C230" s="297"/>
      <c r="D230" s="297"/>
      <c r="E230" s="258"/>
      <c r="F230" s="291"/>
      <c r="G230" s="291"/>
    </row>
    <row r="231" spans="1:7" ht="26.1" customHeight="1">
      <c r="A231" s="295"/>
      <c r="B231" s="296"/>
      <c r="C231" s="297"/>
      <c r="D231" s="297"/>
      <c r="E231" s="258"/>
      <c r="F231" s="291"/>
      <c r="G231" s="291"/>
    </row>
    <row r="232" spans="1:7" ht="26.1" customHeight="1">
      <c r="A232" s="295"/>
      <c r="B232" s="296"/>
      <c r="C232" s="297"/>
      <c r="D232" s="297"/>
      <c r="E232" s="258"/>
      <c r="F232" s="291"/>
      <c r="G232" s="291"/>
    </row>
    <row r="233" spans="1:7" ht="26.1" customHeight="1">
      <c r="A233" s="295"/>
      <c r="B233" s="296"/>
      <c r="C233" s="297"/>
      <c r="D233" s="297"/>
      <c r="E233" s="258"/>
      <c r="F233" s="291"/>
      <c r="G233" s="291"/>
    </row>
    <row r="234" spans="1:7" ht="26.1" customHeight="1">
      <c r="A234" s="295"/>
      <c r="B234" s="296"/>
      <c r="C234" s="297"/>
      <c r="D234" s="297"/>
      <c r="E234" s="258"/>
      <c r="F234" s="291"/>
      <c r="G234" s="291"/>
    </row>
    <row r="235" spans="1:7" ht="26.1" customHeight="1">
      <c r="A235" s="295"/>
      <c r="B235" s="296"/>
      <c r="C235" s="297"/>
      <c r="D235" s="297"/>
      <c r="E235" s="258"/>
      <c r="F235" s="291"/>
      <c r="G235" s="291"/>
    </row>
    <row r="236" spans="1:7" ht="26.1" customHeight="1">
      <c r="A236" s="295"/>
      <c r="B236" s="296"/>
      <c r="C236" s="297"/>
      <c r="D236" s="297"/>
      <c r="E236" s="258"/>
      <c r="F236" s="298"/>
      <c r="G236" s="298"/>
    </row>
    <row r="237" spans="1:7" ht="26.1" customHeight="1">
      <c r="A237" s="295"/>
      <c r="B237" s="296"/>
      <c r="C237" s="297"/>
      <c r="D237" s="297"/>
      <c r="E237" s="258"/>
      <c r="F237" s="298"/>
      <c r="G237" s="298"/>
    </row>
    <row r="238" spans="1:7" ht="26.1" customHeight="1">
      <c r="A238" s="295"/>
      <c r="B238" s="296"/>
      <c r="C238" s="297"/>
      <c r="D238" s="297"/>
      <c r="E238" s="258"/>
      <c r="F238" s="298"/>
      <c r="G238" s="298"/>
    </row>
    <row r="239" spans="1:7" ht="26.1" customHeight="1">
      <c r="A239" s="295"/>
      <c r="B239" s="296"/>
      <c r="C239" s="297"/>
      <c r="D239" s="297"/>
      <c r="E239" s="258"/>
      <c r="F239" s="298"/>
      <c r="G239" s="298"/>
    </row>
    <row r="240" spans="1:7" ht="26.1" customHeight="1">
      <c r="A240" s="295"/>
      <c r="B240" s="296"/>
      <c r="C240" s="297"/>
      <c r="D240" s="297"/>
      <c r="E240" s="258"/>
      <c r="F240" s="298"/>
      <c r="G240" s="298"/>
    </row>
    <row r="241" spans="1:7" ht="26.1" customHeight="1">
      <c r="A241" s="295"/>
      <c r="B241" s="296"/>
      <c r="C241" s="297"/>
      <c r="D241" s="297"/>
      <c r="E241" s="258"/>
      <c r="F241" s="291"/>
      <c r="G241" s="291"/>
    </row>
    <row r="242" spans="1:7" ht="26.1" customHeight="1">
      <c r="A242" s="295"/>
      <c r="B242" s="296"/>
      <c r="C242" s="297"/>
      <c r="D242" s="297"/>
      <c r="E242" s="258"/>
      <c r="F242" s="291"/>
      <c r="G242" s="291"/>
    </row>
    <row r="243" spans="1:7" ht="26.1" customHeight="1">
      <c r="A243" s="295"/>
      <c r="B243" s="296"/>
      <c r="C243" s="297"/>
      <c r="D243" s="297"/>
      <c r="E243" s="258"/>
      <c r="F243" s="291"/>
      <c r="G243" s="291"/>
    </row>
    <row r="244" spans="1:7" ht="26.1" customHeight="1">
      <c r="A244" s="295"/>
      <c r="B244" s="300"/>
      <c r="C244" s="297"/>
      <c r="D244" s="297"/>
      <c r="E244" s="258"/>
      <c r="F244" s="291"/>
      <c r="G244" s="291"/>
    </row>
    <row r="245" spans="1:7" ht="26.1" customHeight="1">
      <c r="A245" s="295"/>
      <c r="B245" s="296"/>
      <c r="C245" s="297"/>
      <c r="D245" s="297"/>
      <c r="E245" s="258"/>
      <c r="F245" s="291"/>
      <c r="G245" s="291"/>
    </row>
    <row r="246" spans="1:7" ht="26.1" customHeight="1">
      <c r="A246" s="295"/>
      <c r="B246" s="296"/>
      <c r="C246" s="297"/>
      <c r="D246" s="297"/>
      <c r="E246" s="258"/>
      <c r="F246" s="291"/>
      <c r="G246" s="291"/>
    </row>
    <row r="247" spans="1:7" ht="26.1" customHeight="1">
      <c r="A247" s="295"/>
      <c r="B247" s="296"/>
      <c r="C247" s="297"/>
      <c r="D247" s="297"/>
      <c r="E247" s="258"/>
      <c r="F247" s="291"/>
      <c r="G247" s="291"/>
    </row>
    <row r="248" spans="1:7" ht="26.1" customHeight="1">
      <c r="A248" s="295"/>
      <c r="B248" s="296"/>
      <c r="C248" s="297"/>
      <c r="D248" s="297"/>
      <c r="E248" s="258"/>
      <c r="F248" s="291"/>
      <c r="G248" s="291"/>
    </row>
    <row r="249" spans="1:7" ht="26.1" customHeight="1">
      <c r="A249" s="295"/>
      <c r="B249" s="296"/>
      <c r="C249" s="297"/>
      <c r="D249" s="297"/>
      <c r="E249" s="258"/>
      <c r="F249" s="291"/>
      <c r="G249" s="291"/>
    </row>
    <row r="250" spans="1:7" ht="26.1" customHeight="1">
      <c r="A250" s="295"/>
      <c r="B250" s="296"/>
      <c r="C250" s="297"/>
      <c r="D250" s="297"/>
      <c r="E250" s="258"/>
      <c r="F250" s="291"/>
      <c r="G250" s="291"/>
    </row>
    <row r="251" spans="1:7" ht="26.1" customHeight="1">
      <c r="A251" s="295"/>
      <c r="B251" s="296"/>
      <c r="C251" s="297"/>
      <c r="D251" s="297"/>
      <c r="E251" s="258"/>
      <c r="F251" s="291"/>
      <c r="G251" s="291"/>
    </row>
    <row r="252" spans="1:7" ht="26.1" customHeight="1">
      <c r="A252" s="295"/>
      <c r="B252" s="296"/>
      <c r="C252" s="297"/>
      <c r="D252" s="297"/>
      <c r="E252" s="258"/>
      <c r="F252" s="291"/>
      <c r="G252" s="291"/>
    </row>
    <row r="253" spans="1:7" ht="26.1" customHeight="1">
      <c r="A253" s="295"/>
      <c r="B253" s="296"/>
      <c r="C253" s="297"/>
      <c r="D253" s="297"/>
      <c r="E253" s="258"/>
      <c r="F253" s="291"/>
      <c r="G253" s="291"/>
    </row>
    <row r="254" spans="1:7" ht="26.1" customHeight="1">
      <c r="A254" s="295"/>
      <c r="B254" s="296"/>
      <c r="C254" s="297"/>
      <c r="D254" s="297"/>
      <c r="E254" s="258"/>
      <c r="F254" s="291"/>
      <c r="G254" s="291"/>
    </row>
    <row r="255" spans="1:7" ht="26.1" customHeight="1">
      <c r="A255" s="295"/>
      <c r="B255" s="296"/>
      <c r="C255" s="297"/>
      <c r="D255" s="297"/>
      <c r="E255" s="258"/>
      <c r="F255" s="291"/>
      <c r="G255" s="291"/>
    </row>
    <row r="256" spans="1:7" ht="26.1" customHeight="1">
      <c r="A256" s="290"/>
      <c r="B256" s="271"/>
      <c r="C256" s="258"/>
      <c r="D256" s="258"/>
      <c r="E256" s="258"/>
      <c r="F256" s="292"/>
      <c r="G256" s="293"/>
    </row>
    <row r="257" spans="1:7" ht="26.1" customHeight="1">
      <c r="A257" s="290"/>
      <c r="B257" s="271"/>
      <c r="C257" s="258"/>
      <c r="D257" s="258"/>
      <c r="E257" s="258"/>
      <c r="F257" s="292"/>
      <c r="G257" s="293"/>
    </row>
    <row r="258" spans="1:7" ht="26.1" customHeight="1">
      <c r="A258" s="290"/>
      <c r="B258" s="294"/>
      <c r="C258" s="258"/>
      <c r="D258" s="258"/>
      <c r="E258" s="258"/>
      <c r="F258" s="292"/>
      <c r="G258" s="293"/>
    </row>
    <row r="259" spans="1:7" ht="26.1" customHeight="1">
      <c r="A259" s="302"/>
      <c r="B259" s="296"/>
      <c r="C259" s="297"/>
      <c r="D259" s="297"/>
      <c r="E259" s="258"/>
      <c r="F259" s="311"/>
      <c r="G259" s="311"/>
    </row>
    <row r="260" spans="1:7" ht="26.1" customHeight="1">
      <c r="A260" s="295"/>
      <c r="B260" s="296"/>
      <c r="C260" s="297"/>
      <c r="D260" s="297"/>
      <c r="E260" s="258"/>
      <c r="F260" s="311"/>
      <c r="G260" s="311"/>
    </row>
    <row r="261" spans="1:7" ht="26.1" customHeight="1">
      <c r="A261" s="295"/>
      <c r="B261" s="296"/>
      <c r="C261" s="297"/>
      <c r="D261" s="297"/>
      <c r="E261" s="258"/>
      <c r="F261" s="311"/>
      <c r="G261" s="311"/>
    </row>
    <row r="262" spans="1:7" ht="26.1" customHeight="1">
      <c r="A262" s="295"/>
      <c r="B262" s="296"/>
      <c r="C262" s="297"/>
      <c r="D262" s="297"/>
      <c r="E262" s="258"/>
      <c r="F262" s="311"/>
      <c r="G262" s="311"/>
    </row>
    <row r="263" spans="1:7" ht="26.1" customHeight="1">
      <c r="A263" s="295"/>
      <c r="B263" s="296"/>
      <c r="C263" s="297"/>
      <c r="D263" s="297"/>
      <c r="E263" s="258"/>
      <c r="F263" s="311"/>
      <c r="G263" s="311"/>
    </row>
    <row r="264" spans="1:7" ht="26.1" customHeight="1">
      <c r="A264" s="295"/>
      <c r="B264" s="296"/>
      <c r="C264" s="297"/>
      <c r="D264" s="297"/>
      <c r="E264" s="258"/>
      <c r="F264" s="311"/>
      <c r="G264" s="311"/>
    </row>
    <row r="265" spans="1:7" ht="26.1" customHeight="1">
      <c r="A265" s="295"/>
      <c r="B265" s="296"/>
      <c r="C265" s="297"/>
      <c r="D265" s="297"/>
      <c r="E265" s="258"/>
      <c r="F265" s="311"/>
      <c r="G265" s="311"/>
    </row>
    <row r="266" spans="1:7" ht="26.1" customHeight="1">
      <c r="A266" s="295"/>
      <c r="B266" s="296"/>
      <c r="C266" s="297"/>
      <c r="D266" s="297"/>
      <c r="E266" s="258"/>
      <c r="F266" s="298"/>
      <c r="G266" s="298"/>
    </row>
    <row r="267" spans="1:7" ht="26.1" customHeight="1">
      <c r="A267" s="295"/>
      <c r="B267" s="296"/>
      <c r="C267" s="297"/>
      <c r="D267" s="297"/>
      <c r="E267" s="258"/>
      <c r="F267" s="298"/>
      <c r="G267" s="298"/>
    </row>
    <row r="268" spans="1:7" ht="26.1" customHeight="1">
      <c r="A268" s="295"/>
      <c r="B268" s="296"/>
      <c r="C268" s="297"/>
      <c r="D268" s="297"/>
      <c r="E268" s="258"/>
      <c r="F268" s="298"/>
      <c r="G268" s="298"/>
    </row>
    <row r="269" spans="1:7" ht="26.1" customHeight="1">
      <c r="A269" s="295"/>
      <c r="B269" s="296"/>
      <c r="C269" s="297"/>
      <c r="D269" s="297"/>
      <c r="E269" s="258"/>
      <c r="F269" s="298"/>
      <c r="G269" s="298"/>
    </row>
    <row r="270" spans="1:7" ht="26.1" customHeight="1">
      <c r="A270" s="295"/>
      <c r="B270" s="296"/>
      <c r="C270" s="297"/>
      <c r="D270" s="297"/>
      <c r="E270" s="258"/>
      <c r="F270" s="312"/>
      <c r="G270" s="312"/>
    </row>
    <row r="271" spans="1:7" ht="26.1" customHeight="1">
      <c r="A271" s="295"/>
      <c r="B271" s="296"/>
      <c r="C271" s="297"/>
      <c r="D271" s="297"/>
      <c r="E271" s="258"/>
      <c r="F271" s="298"/>
      <c r="G271" s="298"/>
    </row>
    <row r="272" spans="1:7" ht="26.1" customHeight="1">
      <c r="A272" s="295"/>
      <c r="B272" s="296"/>
      <c r="C272" s="297"/>
      <c r="D272" s="297"/>
      <c r="E272" s="258"/>
      <c r="F272" s="311"/>
      <c r="G272" s="311"/>
    </row>
    <row r="273" spans="1:7" ht="26.1" customHeight="1">
      <c r="A273" s="295"/>
      <c r="B273" s="296"/>
      <c r="C273" s="297"/>
      <c r="D273" s="297"/>
      <c r="E273" s="258"/>
      <c r="F273" s="311"/>
      <c r="G273" s="311"/>
    </row>
    <row r="274" spans="1:7" ht="26.1" customHeight="1">
      <c r="A274" s="295"/>
      <c r="B274" s="296"/>
      <c r="C274" s="297"/>
      <c r="D274" s="297"/>
      <c r="E274" s="258"/>
      <c r="F274" s="311"/>
      <c r="G274" s="311"/>
    </row>
    <row r="275" spans="1:7" ht="26.1" customHeight="1">
      <c r="A275" s="295"/>
      <c r="B275" s="300"/>
      <c r="C275" s="297"/>
      <c r="D275" s="297"/>
      <c r="E275" s="258"/>
      <c r="F275" s="311"/>
      <c r="G275" s="311"/>
    </row>
    <row r="276" spans="1:7" ht="26.1" customHeight="1">
      <c r="A276" s="295"/>
      <c r="B276" s="296"/>
      <c r="C276" s="297"/>
      <c r="D276" s="297"/>
      <c r="E276" s="258"/>
      <c r="F276" s="311"/>
      <c r="G276" s="311"/>
    </row>
    <row r="277" spans="1:7" ht="26.1" customHeight="1">
      <c r="A277" s="295"/>
      <c r="B277" s="296"/>
      <c r="C277" s="297"/>
      <c r="D277" s="297"/>
      <c r="E277" s="258"/>
      <c r="F277" s="311"/>
      <c r="G277" s="311"/>
    </row>
    <row r="278" spans="1:7" ht="26.1" customHeight="1">
      <c r="A278" s="295"/>
      <c r="B278" s="296"/>
      <c r="C278" s="297"/>
      <c r="D278" s="297"/>
      <c r="E278" s="258"/>
      <c r="F278" s="311"/>
      <c r="G278" s="311"/>
    </row>
    <row r="279" spans="1:7" ht="26.1" customHeight="1">
      <c r="A279" s="295"/>
      <c r="B279" s="296"/>
      <c r="C279" s="297"/>
      <c r="D279" s="297"/>
      <c r="E279" s="258"/>
      <c r="F279" s="311"/>
      <c r="G279" s="311"/>
    </row>
    <row r="280" spans="1:7" ht="26.1" customHeight="1">
      <c r="A280" s="295"/>
      <c r="B280" s="296"/>
      <c r="C280" s="297"/>
      <c r="D280" s="297"/>
      <c r="E280" s="258"/>
      <c r="F280" s="311"/>
      <c r="G280" s="311"/>
    </row>
    <row r="281" spans="1:7" ht="26.1" customHeight="1">
      <c r="A281" s="295"/>
      <c r="B281" s="296"/>
      <c r="C281" s="297"/>
      <c r="D281" s="297"/>
      <c r="E281" s="258"/>
      <c r="F281" s="311"/>
      <c r="G281" s="311"/>
    </row>
    <row r="282" spans="1:7" ht="26.1" customHeight="1">
      <c r="A282" s="295"/>
      <c r="B282" s="296"/>
      <c r="C282" s="297"/>
      <c r="D282" s="297"/>
      <c r="E282" s="258"/>
      <c r="F282" s="311"/>
      <c r="G282" s="311"/>
    </row>
    <row r="283" spans="1:7" ht="26.1" customHeight="1">
      <c r="A283" s="295"/>
      <c r="B283" s="296"/>
      <c r="C283" s="297"/>
      <c r="D283" s="297"/>
      <c r="E283" s="258"/>
      <c r="F283" s="311"/>
      <c r="G283" s="311"/>
    </row>
    <row r="284" spans="1:7" ht="26.1" customHeight="1">
      <c r="A284" s="295"/>
      <c r="B284" s="296"/>
      <c r="C284" s="297"/>
      <c r="D284" s="297"/>
      <c r="E284" s="258"/>
      <c r="F284" s="311"/>
      <c r="G284" s="311"/>
    </row>
    <row r="285" spans="1:7" ht="26.1" customHeight="1">
      <c r="A285" s="295"/>
      <c r="B285" s="296"/>
      <c r="C285" s="297"/>
      <c r="D285" s="297"/>
      <c r="E285" s="258"/>
      <c r="F285" s="311"/>
      <c r="G285" s="311"/>
    </row>
    <row r="286" spans="1:7" ht="26.1" customHeight="1">
      <c r="A286" s="290"/>
      <c r="B286" s="271"/>
      <c r="C286" s="258"/>
      <c r="D286" s="258"/>
      <c r="E286" s="258"/>
      <c r="F286" s="292"/>
      <c r="G286" s="293"/>
    </row>
    <row r="287" spans="1:7" ht="26.1" customHeight="1">
      <c r="A287" s="290"/>
      <c r="B287" s="271"/>
      <c r="C287" s="258"/>
      <c r="D287" s="258"/>
      <c r="E287" s="258"/>
      <c r="F287" s="292"/>
      <c r="G287" s="293"/>
    </row>
    <row r="288" spans="1:7" ht="26.1" customHeight="1">
      <c r="A288" s="290"/>
      <c r="B288" s="294"/>
      <c r="C288" s="258"/>
      <c r="D288" s="258"/>
      <c r="E288" s="258"/>
      <c r="F288" s="292"/>
      <c r="G288" s="293"/>
    </row>
    <row r="289" spans="1:7" ht="26.1" customHeight="1">
      <c r="A289" s="313"/>
      <c r="B289" s="271"/>
      <c r="C289" s="271"/>
      <c r="D289" s="271"/>
      <c r="E289" s="258"/>
      <c r="F289" s="291"/>
      <c r="G289" s="291"/>
    </row>
    <row r="290" spans="1:7" ht="26.1" customHeight="1">
      <c r="A290" s="271"/>
      <c r="B290" s="314"/>
      <c r="C290" s="271"/>
      <c r="D290" s="271"/>
      <c r="E290" s="258"/>
      <c r="F290" s="291"/>
      <c r="G290" s="291"/>
    </row>
    <row r="291" spans="1:7" ht="26.1" customHeight="1">
      <c r="A291" s="271"/>
      <c r="B291" s="271"/>
      <c r="C291" s="271"/>
      <c r="D291" s="271"/>
      <c r="E291" s="258"/>
      <c r="F291" s="291"/>
      <c r="G291" s="291"/>
    </row>
    <row r="292" spans="1:7" ht="26.1" customHeight="1">
      <c r="A292" s="271"/>
      <c r="B292" s="271"/>
      <c r="C292" s="271"/>
      <c r="D292" s="271"/>
      <c r="E292" s="258"/>
      <c r="F292" s="291"/>
      <c r="G292" s="291"/>
    </row>
    <row r="293" spans="1:7" ht="26.1" customHeight="1">
      <c r="A293" s="271"/>
      <c r="B293" s="271"/>
      <c r="C293" s="271"/>
      <c r="D293" s="271"/>
      <c r="E293" s="258"/>
      <c r="F293" s="291"/>
      <c r="G293" s="291"/>
    </row>
    <row r="294" spans="1:7" ht="26.1" customHeight="1">
      <c r="A294" s="271"/>
      <c r="B294" s="271"/>
      <c r="C294" s="271"/>
      <c r="D294" s="271"/>
      <c r="E294" s="258"/>
      <c r="F294" s="291"/>
      <c r="G294" s="291"/>
    </row>
    <row r="295" spans="1:7" ht="26.1" customHeight="1">
      <c r="A295" s="271"/>
      <c r="B295" s="271"/>
      <c r="C295" s="271"/>
      <c r="D295" s="271"/>
      <c r="E295" s="258"/>
      <c r="F295" s="291"/>
      <c r="G295" s="291"/>
    </row>
    <row r="296" spans="1:7" ht="26.1" customHeight="1">
      <c r="A296" s="271"/>
      <c r="B296" s="271"/>
      <c r="C296" s="271"/>
      <c r="D296" s="271"/>
      <c r="E296" s="258"/>
      <c r="F296" s="298"/>
      <c r="G296" s="298"/>
    </row>
    <row r="297" spans="1:7" ht="26.1" customHeight="1">
      <c r="A297" s="271"/>
      <c r="B297" s="271"/>
      <c r="C297" s="271"/>
      <c r="D297" s="271"/>
      <c r="E297" s="258"/>
      <c r="F297" s="299"/>
      <c r="G297" s="299"/>
    </row>
    <row r="298" spans="1:7" ht="26.1" customHeight="1">
      <c r="A298" s="271"/>
      <c r="B298" s="271"/>
      <c r="C298" s="271"/>
      <c r="D298" s="271"/>
      <c r="E298" s="258"/>
      <c r="F298" s="298"/>
      <c r="G298" s="298"/>
    </row>
    <row r="299" spans="1:7" ht="26.1" customHeight="1">
      <c r="A299" s="271"/>
      <c r="B299" s="271"/>
      <c r="C299" s="271"/>
      <c r="D299" s="271"/>
      <c r="E299" s="258"/>
      <c r="F299" s="298"/>
      <c r="G299" s="298"/>
    </row>
    <row r="300" spans="1:7" ht="26.1" customHeight="1">
      <c r="A300" s="271"/>
      <c r="B300" s="271"/>
      <c r="C300" s="271"/>
      <c r="D300" s="271"/>
      <c r="E300" s="258"/>
      <c r="F300" s="299"/>
      <c r="G300" s="299"/>
    </row>
    <row r="301" spans="1:7" ht="26.1" customHeight="1">
      <c r="A301" s="271"/>
      <c r="B301" s="271"/>
      <c r="C301" s="271"/>
      <c r="D301" s="271"/>
      <c r="E301" s="258"/>
      <c r="F301" s="298"/>
      <c r="G301" s="298"/>
    </row>
    <row r="302" spans="1:7" ht="26.1" customHeight="1">
      <c r="A302" s="271"/>
      <c r="B302" s="271"/>
      <c r="C302" s="271"/>
      <c r="D302" s="271"/>
      <c r="E302" s="258"/>
      <c r="F302" s="298"/>
      <c r="G302" s="298"/>
    </row>
    <row r="303" spans="1:7" ht="26.1" customHeight="1">
      <c r="A303" s="271"/>
      <c r="B303" s="271"/>
      <c r="C303" s="271"/>
      <c r="D303" s="271"/>
      <c r="E303" s="258"/>
      <c r="F303" s="298"/>
      <c r="G303" s="298"/>
    </row>
    <row r="304" spans="1:7" ht="26.1" customHeight="1">
      <c r="A304" s="271"/>
      <c r="B304" s="271"/>
      <c r="C304" s="271"/>
      <c r="D304" s="271"/>
      <c r="E304" s="258"/>
      <c r="F304" s="299"/>
      <c r="G304" s="299"/>
    </row>
    <row r="305" spans="1:7" ht="26.1" customHeight="1">
      <c r="A305" s="271"/>
      <c r="B305" s="271"/>
      <c r="C305" s="271"/>
      <c r="D305" s="271"/>
      <c r="E305" s="258"/>
      <c r="F305" s="298"/>
      <c r="G305" s="298"/>
    </row>
    <row r="306" spans="1:7" ht="26.1" customHeight="1">
      <c r="A306" s="271"/>
      <c r="B306" s="271"/>
      <c r="C306" s="271"/>
      <c r="D306" s="271"/>
      <c r="E306" s="258"/>
      <c r="F306" s="291"/>
      <c r="G306" s="291"/>
    </row>
    <row r="307" spans="1:7" ht="26.1" customHeight="1">
      <c r="A307" s="271"/>
      <c r="B307" s="271"/>
      <c r="C307" s="271"/>
      <c r="D307" s="271"/>
      <c r="E307" s="258"/>
      <c r="F307" s="291"/>
      <c r="G307" s="291"/>
    </row>
    <row r="308" spans="1:7" ht="26.1" customHeight="1">
      <c r="A308" s="271"/>
      <c r="B308" s="271"/>
      <c r="C308" s="271"/>
      <c r="D308" s="271"/>
      <c r="E308" s="258"/>
      <c r="F308" s="291"/>
      <c r="G308" s="291"/>
    </row>
    <row r="309" spans="1:7" ht="26.1" customHeight="1">
      <c r="A309" s="271"/>
      <c r="B309" s="271"/>
      <c r="C309" s="271"/>
      <c r="D309" s="271"/>
      <c r="E309" s="258"/>
      <c r="F309" s="291"/>
      <c r="G309" s="291"/>
    </row>
    <row r="310" spans="1:7" ht="26.1" customHeight="1">
      <c r="A310" s="271"/>
      <c r="B310" s="271"/>
      <c r="C310" s="271"/>
      <c r="D310" s="271"/>
      <c r="E310" s="258"/>
      <c r="F310" s="291"/>
      <c r="G310" s="291"/>
    </row>
    <row r="311" spans="1:7" ht="26.1" customHeight="1">
      <c r="A311" s="271"/>
      <c r="B311" s="271"/>
      <c r="C311" s="271"/>
      <c r="D311" s="271"/>
      <c r="E311" s="258"/>
      <c r="F311" s="291"/>
      <c r="G311" s="291"/>
    </row>
    <row r="312" spans="1:7" ht="26.1" customHeight="1">
      <c r="A312" s="271"/>
      <c r="B312" s="300"/>
      <c r="C312" s="271"/>
      <c r="D312" s="271"/>
      <c r="E312" s="258"/>
      <c r="F312" s="291"/>
      <c r="G312" s="291"/>
    </row>
    <row r="313" spans="1:7" ht="26.1" customHeight="1">
      <c r="A313" s="271"/>
      <c r="B313" s="271"/>
      <c r="C313" s="271"/>
      <c r="D313" s="271"/>
      <c r="E313" s="258"/>
      <c r="F313" s="291"/>
      <c r="G313" s="291"/>
    </row>
    <row r="314" spans="1:7" ht="26.1" customHeight="1">
      <c r="A314" s="271"/>
      <c r="B314" s="271"/>
      <c r="C314" s="271"/>
      <c r="D314" s="271"/>
      <c r="E314" s="258"/>
      <c r="F314" s="291"/>
      <c r="G314" s="291"/>
    </row>
    <row r="315" spans="1:7" ht="26.1" customHeight="1">
      <c r="A315" s="271"/>
      <c r="B315" s="271"/>
      <c r="C315" s="271"/>
      <c r="D315" s="271"/>
      <c r="E315" s="258"/>
      <c r="F315" s="291"/>
      <c r="G315" s="291"/>
    </row>
    <row r="316" spans="1:7" ht="26.1" customHeight="1">
      <c r="A316" s="271"/>
      <c r="B316" s="271"/>
      <c r="C316" s="271"/>
      <c r="D316" s="271"/>
      <c r="E316" s="258"/>
      <c r="F316" s="291"/>
      <c r="G316" s="291"/>
    </row>
    <row r="317" spans="1:7" ht="26.1" customHeight="1">
      <c r="A317" s="271"/>
      <c r="B317" s="271"/>
      <c r="C317" s="271"/>
      <c r="D317" s="271"/>
      <c r="E317" s="258"/>
      <c r="F317" s="291"/>
      <c r="G317" s="291"/>
    </row>
    <row r="318" spans="1:7" ht="26.1" customHeight="1">
      <c r="A318" s="271"/>
      <c r="B318" s="271"/>
      <c r="C318" s="271"/>
      <c r="D318" s="271"/>
      <c r="E318" s="258"/>
      <c r="F318" s="291"/>
      <c r="G318" s="291"/>
    </row>
    <row r="319" spans="1:7" ht="26.1" customHeight="1">
      <c r="A319" s="271"/>
      <c r="B319" s="271"/>
      <c r="C319" s="271"/>
      <c r="D319" s="271"/>
      <c r="E319" s="258"/>
      <c r="F319" s="291"/>
      <c r="G319" s="291"/>
    </row>
    <row r="320" spans="1:7" ht="26.1" customHeight="1">
      <c r="A320" s="271"/>
      <c r="B320" s="271"/>
      <c r="C320" s="271"/>
      <c r="D320" s="271"/>
      <c r="E320" s="258"/>
      <c r="F320" s="291"/>
      <c r="G320" s="291"/>
    </row>
    <row r="321" spans="1:7" ht="26.1" customHeight="1">
      <c r="A321" s="271"/>
      <c r="B321" s="271"/>
      <c r="C321" s="271"/>
      <c r="D321" s="271"/>
      <c r="E321" s="258"/>
      <c r="F321" s="291"/>
      <c r="G321" s="291"/>
    </row>
    <row r="322" spans="1:7" ht="26.1" customHeight="1">
      <c r="A322" s="271"/>
      <c r="B322" s="271"/>
      <c r="C322" s="271"/>
      <c r="D322" s="271"/>
      <c r="E322" s="258"/>
      <c r="F322" s="291"/>
      <c r="G322" s="291"/>
    </row>
    <row r="323" spans="1:7" ht="26.1" customHeight="1">
      <c r="A323" s="271"/>
      <c r="B323" s="271"/>
      <c r="C323" s="271"/>
      <c r="D323" s="271"/>
      <c r="E323" s="258"/>
      <c r="F323" s="291"/>
      <c r="G323" s="291"/>
    </row>
    <row r="324" spans="1:7" ht="26.1" customHeight="1">
      <c r="A324" s="290"/>
      <c r="B324" s="271"/>
      <c r="C324" s="258"/>
      <c r="D324" s="258"/>
      <c r="E324" s="258"/>
      <c r="F324" s="292"/>
      <c r="G324" s="293"/>
    </row>
    <row r="325" spans="1:7" ht="26.1" customHeight="1">
      <c r="A325" s="290"/>
      <c r="B325" s="271"/>
      <c r="C325" s="258"/>
      <c r="D325" s="258"/>
      <c r="E325" s="258"/>
      <c r="F325" s="292"/>
      <c r="G325" s="293"/>
    </row>
    <row r="326" spans="1:7" ht="26.1" customHeight="1">
      <c r="A326" s="290"/>
      <c r="B326" s="271"/>
      <c r="C326" s="258"/>
      <c r="D326" s="258"/>
      <c r="E326" s="258"/>
      <c r="F326" s="292"/>
      <c r="G326" s="293"/>
    </row>
    <row r="327" spans="1:7" ht="26.1" customHeight="1">
      <c r="A327" s="271"/>
      <c r="B327" s="294"/>
      <c r="C327" s="271"/>
      <c r="D327" s="271"/>
      <c r="E327" s="258"/>
      <c r="F327" s="292"/>
      <c r="G327" s="293"/>
    </row>
    <row r="328" spans="1:7" ht="26.1" customHeight="1">
      <c r="A328" s="313"/>
      <c r="B328" s="271"/>
      <c r="C328" s="271"/>
      <c r="D328" s="271"/>
      <c r="E328" s="303"/>
      <c r="F328" s="291"/>
      <c r="G328" s="291"/>
    </row>
    <row r="329" spans="1:7" ht="26.1" customHeight="1">
      <c r="A329" s="271"/>
      <c r="B329" s="271"/>
      <c r="C329" s="271"/>
      <c r="D329" s="271"/>
      <c r="E329" s="303"/>
      <c r="F329" s="291"/>
      <c r="G329" s="291"/>
    </row>
    <row r="330" spans="1:7" ht="26.1" customHeight="1">
      <c r="A330" s="271"/>
      <c r="B330" s="271"/>
      <c r="C330" s="271"/>
      <c r="D330" s="271"/>
      <c r="E330" s="303"/>
      <c r="F330" s="291"/>
      <c r="G330" s="291"/>
    </row>
    <row r="331" spans="1:7" ht="26.1" customHeight="1">
      <c r="A331" s="271"/>
      <c r="B331" s="271"/>
      <c r="C331" s="271"/>
      <c r="D331" s="271"/>
      <c r="E331" s="305"/>
      <c r="F331" s="298"/>
      <c r="G331" s="298"/>
    </row>
    <row r="332" spans="1:7" ht="26.1" customHeight="1">
      <c r="A332" s="271"/>
      <c r="B332" s="271"/>
      <c r="C332" s="271"/>
      <c r="D332" s="271"/>
      <c r="E332" s="305"/>
      <c r="F332" s="298"/>
      <c r="G332" s="298"/>
    </row>
    <row r="333" spans="1:7" ht="26.1" customHeight="1">
      <c r="A333" s="271"/>
      <c r="B333" s="271"/>
      <c r="C333" s="271"/>
      <c r="D333" s="271"/>
      <c r="E333" s="303"/>
      <c r="F333" s="291"/>
      <c r="G333" s="291"/>
    </row>
    <row r="334" spans="1:7" ht="26.1" customHeight="1">
      <c r="A334" s="271"/>
      <c r="B334" s="271"/>
      <c r="C334" s="271"/>
      <c r="D334" s="271"/>
      <c r="E334" s="303"/>
      <c r="F334" s="291"/>
      <c r="G334" s="291"/>
    </row>
    <row r="335" spans="1:7" ht="26.1" customHeight="1">
      <c r="A335" s="271"/>
      <c r="B335" s="271"/>
      <c r="C335" s="271"/>
      <c r="D335" s="271"/>
      <c r="E335" s="303"/>
      <c r="F335" s="291"/>
      <c r="G335" s="291"/>
    </row>
    <row r="336" spans="1:7" ht="26.1" customHeight="1">
      <c r="A336" s="271"/>
      <c r="B336" s="300"/>
      <c r="C336" s="271"/>
      <c r="D336" s="271"/>
      <c r="E336" s="303"/>
      <c r="F336" s="291"/>
      <c r="G336" s="291"/>
    </row>
    <row r="337" spans="1:7" ht="26.1" customHeight="1">
      <c r="A337" s="271"/>
      <c r="B337" s="271"/>
      <c r="C337" s="271"/>
      <c r="D337" s="271"/>
      <c r="E337" s="303"/>
      <c r="F337" s="291"/>
      <c r="G337" s="291"/>
    </row>
    <row r="338" spans="1:7" ht="26.1" customHeight="1">
      <c r="A338" s="271"/>
      <c r="B338" s="271"/>
      <c r="C338" s="271"/>
      <c r="D338" s="271"/>
      <c r="E338" s="303"/>
      <c r="F338" s="291"/>
      <c r="G338" s="291"/>
    </row>
    <row r="339" spans="1:7" ht="26.1" customHeight="1">
      <c r="A339" s="271"/>
      <c r="B339" s="271"/>
      <c r="C339" s="271"/>
      <c r="D339" s="271"/>
      <c r="E339" s="303"/>
      <c r="F339" s="291"/>
      <c r="G339" s="291"/>
    </row>
    <row r="340" spans="1:7" ht="26.1" customHeight="1">
      <c r="A340" s="271"/>
      <c r="B340" s="271"/>
      <c r="C340" s="271"/>
      <c r="D340" s="271"/>
      <c r="E340" s="303"/>
      <c r="F340" s="291"/>
      <c r="G340" s="291"/>
    </row>
    <row r="341" spans="1:7" ht="26.1" customHeight="1">
      <c r="A341" s="271"/>
      <c r="B341" s="271"/>
      <c r="C341" s="271"/>
      <c r="D341" s="271"/>
      <c r="E341" s="303"/>
      <c r="F341" s="291"/>
      <c r="G341" s="291"/>
    </row>
    <row r="342" spans="1:7" ht="26.1" customHeight="1">
      <c r="A342" s="271"/>
      <c r="B342" s="271"/>
      <c r="C342" s="271"/>
      <c r="D342" s="271"/>
      <c r="E342" s="303"/>
      <c r="F342" s="291"/>
      <c r="G342" s="291"/>
    </row>
    <row r="343" spans="1:7" ht="26.1" customHeight="1">
      <c r="A343" s="290"/>
      <c r="B343" s="271"/>
      <c r="C343" s="258"/>
      <c r="D343" s="258"/>
      <c r="E343" s="258"/>
      <c r="F343" s="292"/>
      <c r="G343" s="293"/>
    </row>
    <row r="344" spans="1:7" ht="26.1" customHeight="1">
      <c r="A344" s="290"/>
      <c r="B344" s="271"/>
      <c r="C344" s="258"/>
      <c r="D344" s="258"/>
      <c r="E344" s="258"/>
      <c r="F344" s="292"/>
      <c r="G344" s="293"/>
    </row>
    <row r="345" spans="1:7" ht="26.1" customHeight="1">
      <c r="A345" s="290"/>
      <c r="B345" s="271"/>
      <c r="C345" s="258"/>
      <c r="D345" s="258"/>
      <c r="E345" s="258"/>
      <c r="F345" s="292"/>
      <c r="G345" s="293"/>
    </row>
    <row r="346" spans="1:7" ht="26.1" customHeight="1">
      <c r="A346" s="666"/>
      <c r="B346" s="667"/>
      <c r="C346" s="667"/>
      <c r="D346" s="667"/>
      <c r="E346" s="668"/>
      <c r="F346" s="300"/>
      <c r="G346" s="300"/>
    </row>
    <row r="347" spans="1:7" ht="26.1" customHeight="1">
      <c r="A347" s="290"/>
      <c r="B347" s="271"/>
      <c r="C347" s="256"/>
      <c r="D347" s="256"/>
      <c r="E347" s="256"/>
      <c r="F347" s="291"/>
      <c r="G347" s="291"/>
    </row>
    <row r="348" spans="1:7" ht="26.1" customHeight="1">
      <c r="A348" s="290"/>
      <c r="B348" s="271"/>
      <c r="C348" s="256"/>
      <c r="D348" s="256"/>
      <c r="E348" s="256"/>
      <c r="F348" s="291"/>
      <c r="G348" s="291"/>
    </row>
    <row r="349" spans="1:7" ht="26.1" customHeight="1">
      <c r="A349" s="290"/>
      <c r="B349" s="258"/>
      <c r="C349" s="256"/>
      <c r="D349" s="256"/>
      <c r="E349" s="256"/>
      <c r="F349" s="291"/>
      <c r="G349" s="291"/>
    </row>
    <row r="350" spans="1:7" ht="26.1" customHeight="1">
      <c r="A350" s="290"/>
      <c r="B350" s="271"/>
      <c r="C350" s="256"/>
      <c r="D350" s="256"/>
      <c r="E350" s="256"/>
      <c r="F350" s="291"/>
      <c r="G350" s="291"/>
    </row>
    <row r="351" spans="1:7" ht="26.1" customHeight="1">
      <c r="A351" s="290"/>
      <c r="B351" s="271"/>
      <c r="C351" s="256"/>
      <c r="D351" s="256"/>
      <c r="E351" s="256"/>
      <c r="F351" s="291"/>
      <c r="G351" s="291"/>
    </row>
    <row r="352" spans="1:7" ht="26.1" customHeight="1">
      <c r="A352" s="290"/>
      <c r="B352" s="258"/>
      <c r="C352" s="256"/>
      <c r="D352" s="256"/>
      <c r="E352" s="256"/>
      <c r="F352" s="291"/>
      <c r="G352" s="291"/>
    </row>
    <row r="353" spans="1:7" ht="26.1" customHeight="1">
      <c r="A353" s="290"/>
      <c r="B353" s="258"/>
      <c r="C353" s="256"/>
      <c r="D353" s="256"/>
      <c r="E353" s="256"/>
      <c r="F353" s="291"/>
      <c r="G353" s="291"/>
    </row>
    <row r="354" spans="1:7" ht="26.1" customHeight="1">
      <c r="A354" s="290"/>
      <c r="B354" s="258"/>
      <c r="C354" s="256"/>
      <c r="D354" s="256"/>
      <c r="E354" s="256"/>
      <c r="F354" s="291"/>
      <c r="G354" s="291"/>
    </row>
    <row r="355" spans="1:7" ht="26.1" customHeight="1">
      <c r="A355" s="290"/>
      <c r="B355" s="309"/>
      <c r="C355" s="309"/>
      <c r="D355" s="309"/>
      <c r="E355" s="309"/>
      <c r="F355" s="309"/>
      <c r="G355" s="309"/>
    </row>
    <row r="356" spans="1:7" ht="26.1" customHeight="1">
      <c r="A356" s="666"/>
      <c r="B356" s="667"/>
      <c r="C356" s="667"/>
      <c r="D356" s="667"/>
      <c r="E356" s="668"/>
      <c r="F356" s="315"/>
      <c r="G356" s="316"/>
    </row>
    <row r="357" spans="1:7" ht="26.1" customHeight="1">
      <c r="A357" s="290"/>
      <c r="B357" s="271"/>
      <c r="C357" s="256"/>
      <c r="D357" s="256"/>
      <c r="E357" s="256"/>
      <c r="F357" s="291"/>
      <c r="G357" s="291"/>
    </row>
    <row r="358" spans="1:7" ht="26.1" customHeight="1">
      <c r="A358" s="290"/>
      <c r="B358" s="271"/>
      <c r="C358" s="256"/>
      <c r="D358" s="256"/>
      <c r="E358" s="256"/>
      <c r="F358" s="291"/>
      <c r="G358" s="291"/>
    </row>
    <row r="359" spans="1:7" ht="26.1" customHeight="1">
      <c r="A359" s="290"/>
      <c r="B359" s="271"/>
      <c r="C359" s="256"/>
      <c r="D359" s="256"/>
      <c r="E359" s="256"/>
      <c r="F359" s="291"/>
      <c r="G359" s="291"/>
    </row>
    <row r="360" spans="1:7" ht="26.1" customHeight="1">
      <c r="A360" s="290"/>
      <c r="B360" s="271"/>
      <c r="C360" s="256"/>
      <c r="D360" s="256"/>
      <c r="E360" s="256"/>
      <c r="F360" s="291"/>
      <c r="G360" s="291"/>
    </row>
    <row r="361" spans="1:7" ht="26.1" customHeight="1">
      <c r="A361" s="290"/>
      <c r="B361" s="258"/>
      <c r="C361" s="256"/>
      <c r="D361" s="256"/>
      <c r="E361" s="256"/>
      <c r="F361" s="315"/>
      <c r="G361" s="293"/>
    </row>
    <row r="362" spans="1:7" ht="26.1" customHeight="1">
      <c r="A362" s="295"/>
      <c r="B362" s="271"/>
      <c r="C362" s="317"/>
      <c r="D362" s="317"/>
      <c r="E362" s="291"/>
      <c r="F362" s="291"/>
      <c r="G362" s="291"/>
    </row>
    <row r="363" spans="1:7" ht="26.1" customHeight="1">
      <c r="A363" s="290"/>
      <c r="B363" s="271"/>
      <c r="C363" s="256"/>
      <c r="D363" s="256"/>
      <c r="E363" s="256"/>
      <c r="F363" s="291"/>
      <c r="G363" s="291"/>
    </row>
    <row r="364" spans="1:7" ht="26.1" customHeight="1">
      <c r="A364" s="290"/>
      <c r="B364" s="271"/>
      <c r="C364" s="256"/>
      <c r="D364" s="256"/>
      <c r="E364" s="256"/>
      <c r="F364" s="291"/>
      <c r="G364" s="291"/>
    </row>
    <row r="365" spans="1:7" ht="26.1" customHeight="1">
      <c r="A365" s="290"/>
      <c r="B365" s="271"/>
      <c r="C365" s="256"/>
      <c r="D365" s="256"/>
      <c r="E365" s="256"/>
      <c r="F365" s="291"/>
      <c r="G365" s="291"/>
    </row>
    <row r="366" spans="1:7" ht="26.1" customHeight="1">
      <c r="A366" s="290"/>
      <c r="B366" s="258"/>
      <c r="C366" s="256"/>
      <c r="D366" s="256"/>
      <c r="E366" s="256"/>
      <c r="F366" s="291"/>
      <c r="G366" s="291"/>
    </row>
    <row r="367" spans="1:7" ht="26.1" customHeight="1" thickBot="1">
      <c r="A367" s="318"/>
      <c r="B367" s="281"/>
      <c r="C367" s="281"/>
      <c r="D367" s="281"/>
      <c r="E367" s="281"/>
      <c r="F367" s="319"/>
      <c r="G367" s="320"/>
    </row>
    <row r="368" spans="1:7" ht="26.1" customHeight="1" thickTop="1">
      <c r="A368" s="321"/>
      <c r="B368" s="322"/>
      <c r="C368" s="322"/>
      <c r="D368" s="322"/>
      <c r="E368" s="322"/>
      <c r="F368" s="323"/>
      <c r="G368" s="323"/>
    </row>
    <row r="369" spans="1:7" ht="26.1" customHeight="1">
      <c r="A369" s="290"/>
      <c r="B369" s="258"/>
      <c r="C369" s="258"/>
      <c r="D369" s="258"/>
      <c r="E369" s="258"/>
      <c r="F369" s="315"/>
      <c r="G369" s="293"/>
    </row>
    <row r="370" spans="1:7" ht="26.1" customHeight="1">
      <c r="A370" s="290"/>
      <c r="B370" s="258"/>
      <c r="C370" s="258"/>
      <c r="D370" s="258"/>
      <c r="E370" s="258"/>
      <c r="F370" s="315"/>
      <c r="G370" s="293"/>
    </row>
    <row r="371" spans="1:7" ht="26.1" customHeight="1">
      <c r="A371" s="290"/>
      <c r="B371" s="258"/>
      <c r="C371" s="258"/>
      <c r="D371" s="258"/>
      <c r="E371" s="258"/>
      <c r="F371" s="315"/>
      <c r="G371" s="293"/>
    </row>
    <row r="372" spans="1:7" ht="26.1" customHeight="1">
      <c r="A372" s="290"/>
      <c r="B372" s="258"/>
      <c r="C372" s="258"/>
      <c r="D372" s="258"/>
      <c r="E372" s="258"/>
      <c r="F372" s="315"/>
      <c r="G372" s="293"/>
    </row>
    <row r="373" spans="1:7" ht="26.1" customHeight="1">
      <c r="A373" s="290"/>
      <c r="B373" s="258"/>
      <c r="C373" s="258"/>
      <c r="D373" s="258"/>
      <c r="E373" s="258"/>
      <c r="F373" s="315"/>
      <c r="G373" s="293"/>
    </row>
    <row r="374" spans="1:7" ht="26.1" customHeight="1">
      <c r="A374" s="290"/>
      <c r="B374" s="258"/>
      <c r="C374" s="258"/>
      <c r="D374" s="258"/>
      <c r="E374" s="258"/>
      <c r="F374" s="315"/>
      <c r="G374" s="293"/>
    </row>
    <row r="375" spans="1:7" ht="26.1" customHeight="1">
      <c r="A375" s="290"/>
      <c r="B375" s="258"/>
      <c r="C375" s="258"/>
      <c r="D375" s="258"/>
      <c r="E375" s="258"/>
      <c r="F375" s="315"/>
      <c r="G375" s="293"/>
    </row>
    <row r="376" spans="1:7" ht="26.1" customHeight="1">
      <c r="A376" s="290"/>
      <c r="B376" s="258"/>
      <c r="C376" s="258"/>
      <c r="D376" s="258"/>
      <c r="E376" s="258"/>
      <c r="F376" s="315"/>
      <c r="G376" s="293"/>
    </row>
    <row r="377" spans="1:7" ht="26.1" customHeight="1">
      <c r="A377" s="290"/>
      <c r="B377" s="258"/>
      <c r="C377" s="258"/>
      <c r="D377" s="258"/>
      <c r="E377" s="258"/>
      <c r="F377" s="315"/>
      <c r="G377" s="293"/>
    </row>
    <row r="378" spans="1:7" ht="26.1" customHeight="1">
      <c r="A378" s="290"/>
      <c r="B378" s="258"/>
      <c r="C378" s="258"/>
      <c r="D378" s="258"/>
      <c r="E378" s="258"/>
      <c r="F378" s="315"/>
      <c r="G378" s="293"/>
    </row>
    <row r="379" spans="1:7" ht="26.1" customHeight="1">
      <c r="A379" s="290"/>
      <c r="B379" s="258"/>
      <c r="C379" s="258"/>
      <c r="D379" s="258"/>
      <c r="E379" s="258"/>
      <c r="F379" s="315"/>
      <c r="G379" s="293"/>
    </row>
    <row r="380" spans="1:7" ht="26.1" customHeight="1">
      <c r="A380" s="290"/>
      <c r="B380" s="258"/>
      <c r="C380" s="258"/>
      <c r="D380" s="258"/>
      <c r="E380" s="258"/>
      <c r="F380" s="315"/>
      <c r="G380" s="293"/>
    </row>
    <row r="381" spans="1:7" ht="26.1" customHeight="1">
      <c r="A381" s="290"/>
      <c r="B381" s="258"/>
      <c r="C381" s="258"/>
      <c r="D381" s="258"/>
      <c r="E381" s="258"/>
      <c r="F381" s="315"/>
      <c r="G381" s="293"/>
    </row>
    <row r="382" spans="1:7" ht="26.1" customHeight="1">
      <c r="A382" s="290"/>
      <c r="B382" s="258"/>
      <c r="C382" s="258"/>
      <c r="D382" s="258"/>
      <c r="E382" s="258"/>
      <c r="F382" s="315"/>
      <c r="G382" s="293"/>
    </row>
    <row r="383" spans="1:7" ht="26.1" customHeight="1">
      <c r="A383" s="290"/>
      <c r="B383" s="258"/>
      <c r="C383" s="258"/>
      <c r="D383" s="258"/>
      <c r="E383" s="258"/>
      <c r="F383" s="315"/>
      <c r="G383" s="293"/>
    </row>
    <row r="384" spans="1:7" ht="26.1" customHeight="1">
      <c r="A384" s="290"/>
      <c r="B384" s="258"/>
      <c r="C384" s="258"/>
      <c r="D384" s="258"/>
      <c r="E384" s="258"/>
      <c r="F384" s="315"/>
      <c r="G384" s="293"/>
    </row>
    <row r="385" spans="1:7" ht="26.1" customHeight="1">
      <c r="A385" s="290"/>
      <c r="B385" s="258"/>
      <c r="C385" s="258"/>
      <c r="D385" s="258"/>
      <c r="E385" s="258"/>
      <c r="F385" s="315"/>
      <c r="G385" s="293"/>
    </row>
    <row r="386" spans="1:7" ht="26.1" customHeight="1">
      <c r="A386" s="290"/>
      <c r="B386" s="258"/>
      <c r="C386" s="258"/>
      <c r="D386" s="258"/>
      <c r="E386" s="258"/>
      <c r="F386" s="315"/>
      <c r="G386" s="293"/>
    </row>
    <row r="387" spans="1:7" ht="26.1" customHeight="1">
      <c r="A387" s="290"/>
      <c r="B387" s="258"/>
      <c r="C387" s="258"/>
      <c r="D387" s="258"/>
      <c r="E387" s="258"/>
      <c r="F387" s="315"/>
      <c r="G387" s="293"/>
    </row>
    <row r="388" spans="1:7" ht="26.1" customHeight="1">
      <c r="A388" s="290"/>
      <c r="B388" s="258"/>
      <c r="C388" s="258"/>
      <c r="D388" s="258"/>
      <c r="E388" s="258"/>
      <c r="F388" s="315"/>
      <c r="G388" s="293"/>
    </row>
    <row r="389" spans="1:7" ht="26.1" customHeight="1">
      <c r="A389" s="290"/>
      <c r="B389" s="258"/>
      <c r="C389" s="258"/>
      <c r="D389" s="258"/>
      <c r="E389" s="258"/>
      <c r="F389" s="315"/>
      <c r="G389" s="293"/>
    </row>
    <row r="390" spans="1:7" ht="26.1" customHeight="1">
      <c r="A390" s="290"/>
      <c r="B390" s="258"/>
      <c r="C390" s="258"/>
      <c r="D390" s="258"/>
      <c r="E390" s="258"/>
      <c r="F390" s="315"/>
      <c r="G390" s="293"/>
    </row>
    <row r="391" spans="1:7" ht="26.1" customHeight="1">
      <c r="A391" s="290"/>
      <c r="B391" s="258"/>
      <c r="C391" s="258"/>
      <c r="D391" s="258"/>
      <c r="E391" s="258"/>
      <c r="F391" s="315"/>
      <c r="G391" s="293"/>
    </row>
    <row r="392" spans="1:7" ht="26.1" customHeight="1">
      <c r="A392" s="290"/>
      <c r="B392" s="258"/>
      <c r="C392" s="258"/>
      <c r="D392" s="258"/>
      <c r="E392" s="258"/>
      <c r="F392" s="315"/>
      <c r="G392" s="293"/>
    </row>
    <row r="393" spans="1:7" ht="26.1" customHeight="1">
      <c r="A393" s="290"/>
      <c r="B393" s="258"/>
      <c r="C393" s="258"/>
      <c r="D393" s="258"/>
      <c r="E393" s="258"/>
      <c r="F393" s="315"/>
      <c r="G393" s="293"/>
    </row>
    <row r="394" spans="1:7" ht="26.1" customHeight="1">
      <c r="A394" s="290"/>
      <c r="B394" s="258"/>
      <c r="C394" s="258"/>
      <c r="D394" s="258"/>
      <c r="E394" s="258"/>
      <c r="F394" s="315"/>
      <c r="G394" s="293"/>
    </row>
    <row r="395" spans="1:7" ht="26.1" customHeight="1">
      <c r="A395" s="290"/>
      <c r="B395" s="258"/>
      <c r="C395" s="258"/>
      <c r="D395" s="258"/>
      <c r="E395" s="258"/>
      <c r="F395" s="315"/>
      <c r="G395" s="293"/>
    </row>
    <row r="396" spans="1:7" ht="26.1" customHeight="1">
      <c r="A396" s="290"/>
      <c r="B396" s="258"/>
      <c r="C396" s="258"/>
      <c r="D396" s="258"/>
      <c r="E396" s="258"/>
      <c r="F396" s="315"/>
      <c r="G396" s="293"/>
    </row>
    <row r="397" spans="1:7" ht="26.1" customHeight="1">
      <c r="A397" s="290"/>
      <c r="B397" s="258"/>
      <c r="C397" s="258"/>
      <c r="D397" s="258"/>
      <c r="E397" s="258"/>
      <c r="F397" s="315"/>
      <c r="G397" s="293"/>
    </row>
    <row r="398" spans="1:7" ht="26.1" customHeight="1">
      <c r="A398" s="290"/>
      <c r="B398" s="258"/>
      <c r="C398" s="258"/>
      <c r="D398" s="258"/>
      <c r="E398" s="258"/>
      <c r="F398" s="315"/>
      <c r="G398" s="293"/>
    </row>
    <row r="399" spans="1:7" ht="26.1" customHeight="1">
      <c r="A399" s="290"/>
      <c r="B399" s="258"/>
      <c r="C399" s="258"/>
      <c r="D399" s="258"/>
      <c r="E399" s="258"/>
      <c r="F399" s="315"/>
      <c r="G399" s="293"/>
    </row>
    <row r="400" spans="1:7" ht="26.1" customHeight="1">
      <c r="A400" s="290"/>
      <c r="B400" s="258"/>
      <c r="C400" s="258"/>
      <c r="D400" s="258"/>
      <c r="E400" s="258"/>
      <c r="F400" s="315"/>
      <c r="G400" s="293"/>
    </row>
    <row r="401" spans="1:7" ht="26.1" customHeight="1">
      <c r="A401" s="290"/>
      <c r="B401" s="258"/>
      <c r="C401" s="258"/>
      <c r="D401" s="258"/>
      <c r="E401" s="258"/>
      <c r="F401" s="315"/>
      <c r="G401" s="293"/>
    </row>
    <row r="402" spans="1:7" ht="26.1" customHeight="1">
      <c r="A402" s="290"/>
      <c r="B402" s="258"/>
      <c r="C402" s="258"/>
      <c r="D402" s="258"/>
      <c r="E402" s="258"/>
      <c r="F402" s="315"/>
      <c r="G402" s="293"/>
    </row>
    <row r="403" spans="1:7" ht="26.1" customHeight="1">
      <c r="A403" s="290"/>
      <c r="B403" s="258"/>
      <c r="C403" s="258"/>
      <c r="D403" s="258"/>
      <c r="E403" s="258"/>
      <c r="F403" s="315"/>
      <c r="G403" s="293"/>
    </row>
    <row r="404" spans="1:7" ht="26.1" customHeight="1">
      <c r="A404" s="290"/>
      <c r="B404" s="258"/>
      <c r="C404" s="258"/>
      <c r="D404" s="258"/>
      <c r="E404" s="258"/>
      <c r="F404" s="315"/>
      <c r="G404" s="293"/>
    </row>
    <row r="405" spans="1:7" ht="26.1" customHeight="1">
      <c r="A405" s="290"/>
      <c r="B405" s="258"/>
      <c r="C405" s="258"/>
      <c r="D405" s="258"/>
      <c r="E405" s="258"/>
      <c r="F405" s="315"/>
      <c r="G405" s="293"/>
    </row>
    <row r="406" spans="1:7" ht="26.1" customHeight="1">
      <c r="A406" s="290"/>
      <c r="B406" s="258"/>
      <c r="C406" s="258"/>
      <c r="D406" s="258"/>
      <c r="E406" s="258"/>
      <c r="F406" s="315"/>
      <c r="G406" s="293"/>
    </row>
    <row r="407" spans="1:7" ht="26.1" customHeight="1">
      <c r="A407" s="290"/>
      <c r="B407" s="258"/>
      <c r="C407" s="258"/>
      <c r="D407" s="258"/>
      <c r="E407" s="258"/>
      <c r="F407" s="315"/>
      <c r="G407" s="293"/>
    </row>
    <row r="408" spans="1:7" ht="26.1" customHeight="1">
      <c r="A408" s="290"/>
      <c r="B408" s="258"/>
      <c r="C408" s="258"/>
      <c r="D408" s="258"/>
      <c r="E408" s="258"/>
      <c r="F408" s="315"/>
      <c r="G408" s="293"/>
    </row>
    <row r="409" spans="1:7" ht="26.1" customHeight="1">
      <c r="A409" s="290"/>
      <c r="B409" s="258"/>
      <c r="C409" s="258"/>
      <c r="D409" s="258"/>
      <c r="E409" s="258"/>
      <c r="F409" s="315"/>
      <c r="G409" s="293"/>
    </row>
    <row r="410" spans="1:7" ht="26.1" customHeight="1">
      <c r="A410" s="290"/>
      <c r="B410" s="258"/>
      <c r="C410" s="258"/>
      <c r="D410" s="258"/>
      <c r="E410" s="258"/>
      <c r="F410" s="315"/>
      <c r="G410" s="293"/>
    </row>
    <row r="411" spans="1:7" ht="26.1" customHeight="1">
      <c r="A411" s="290"/>
      <c r="B411" s="258"/>
      <c r="C411" s="258"/>
      <c r="D411" s="258"/>
      <c r="E411" s="322"/>
      <c r="F411" s="315"/>
      <c r="G411" s="293"/>
    </row>
    <row r="412" spans="1:7" ht="26.1" customHeight="1">
      <c r="A412" s="290"/>
      <c r="B412" s="258"/>
      <c r="C412" s="258"/>
      <c r="D412" s="258"/>
      <c r="E412" s="258"/>
      <c r="F412" s="315"/>
      <c r="G412" s="293"/>
    </row>
    <row r="413" spans="1:7" ht="26.1" customHeight="1">
      <c r="A413" s="290"/>
      <c r="B413" s="258"/>
      <c r="C413" s="258"/>
      <c r="D413" s="258"/>
      <c r="E413" s="258"/>
      <c r="F413" s="315"/>
      <c r="G413" s="293"/>
    </row>
    <row r="414" spans="1:7" ht="20.100000000000001" customHeight="1">
      <c r="A414" s="290"/>
      <c r="B414" s="258"/>
      <c r="C414" s="258"/>
      <c r="D414" s="258"/>
      <c r="E414" s="258"/>
      <c r="F414" s="315"/>
      <c r="G414" s="293"/>
    </row>
    <row r="415" spans="1:7" ht="20.100000000000001" customHeight="1">
      <c r="A415" s="290"/>
      <c r="B415" s="258"/>
      <c r="C415" s="258"/>
      <c r="D415" s="258"/>
      <c r="E415" s="258"/>
      <c r="F415" s="315"/>
      <c r="G415" s="293"/>
    </row>
    <row r="416" spans="1:7" ht="20.100000000000001" customHeight="1">
      <c r="A416" s="290"/>
      <c r="B416" s="258"/>
      <c r="C416" s="258"/>
      <c r="D416" s="258"/>
      <c r="E416" s="258"/>
      <c r="F416" s="315"/>
      <c r="G416" s="293"/>
    </row>
    <row r="417" spans="1:7" ht="20.100000000000001" customHeight="1">
      <c r="A417" s="290"/>
      <c r="B417" s="258"/>
      <c r="C417" s="258"/>
      <c r="D417" s="258"/>
      <c r="E417" s="258"/>
      <c r="F417" s="315"/>
      <c r="G417" s="293"/>
    </row>
    <row r="418" spans="1:7" ht="20.100000000000001" customHeight="1">
      <c r="A418" s="290"/>
      <c r="B418" s="258"/>
      <c r="C418" s="258"/>
      <c r="D418" s="258"/>
      <c r="E418" s="258"/>
      <c r="F418" s="315"/>
      <c r="G418" s="293"/>
    </row>
    <row r="419" spans="1:7" ht="20.100000000000001" customHeight="1">
      <c r="A419" s="290"/>
      <c r="B419" s="258"/>
      <c r="C419" s="258"/>
      <c r="D419" s="258"/>
      <c r="E419" s="258"/>
      <c r="F419" s="315"/>
      <c r="G419" s="293"/>
    </row>
    <row r="420" spans="1:7" ht="20.100000000000001" customHeight="1">
      <c r="A420" s="290"/>
      <c r="B420" s="258"/>
      <c r="C420" s="258"/>
      <c r="D420" s="258"/>
      <c r="E420" s="258"/>
      <c r="F420" s="315"/>
      <c r="G420" s="293"/>
    </row>
    <row r="421" spans="1:7" ht="20.100000000000001" customHeight="1">
      <c r="A421" s="290"/>
      <c r="B421" s="258"/>
      <c r="C421" s="258"/>
      <c r="D421" s="258"/>
      <c r="E421" s="258"/>
      <c r="F421" s="315"/>
      <c r="G421" s="293"/>
    </row>
    <row r="422" spans="1:7" ht="20.100000000000001" customHeight="1">
      <c r="A422" s="290"/>
      <c r="B422" s="258"/>
      <c r="C422" s="258"/>
      <c r="D422" s="258"/>
      <c r="E422" s="258"/>
      <c r="F422" s="315"/>
      <c r="G422" s="293"/>
    </row>
    <row r="423" spans="1:7" ht="20.100000000000001" customHeight="1">
      <c r="A423" s="290"/>
      <c r="B423" s="258"/>
      <c r="C423" s="258"/>
      <c r="D423" s="258"/>
      <c r="E423" s="258"/>
      <c r="F423" s="315"/>
      <c r="G423" s="293"/>
    </row>
    <row r="424" spans="1:7" ht="20.100000000000001" customHeight="1">
      <c r="A424" s="290"/>
      <c r="B424" s="258"/>
      <c r="C424" s="258"/>
      <c r="D424" s="258"/>
      <c r="E424" s="258"/>
      <c r="F424" s="315"/>
      <c r="G424" s="293"/>
    </row>
    <row r="425" spans="1:7" ht="20.100000000000001" customHeight="1">
      <c r="A425" s="290"/>
      <c r="B425" s="258"/>
      <c r="C425" s="258"/>
      <c r="D425" s="258"/>
      <c r="E425" s="258"/>
      <c r="F425" s="315"/>
      <c r="G425" s="293"/>
    </row>
    <row r="426" spans="1:7" ht="20.100000000000001" customHeight="1">
      <c r="A426" s="290"/>
      <c r="B426" s="258"/>
      <c r="C426" s="258"/>
      <c r="D426" s="258"/>
      <c r="E426" s="258"/>
      <c r="F426" s="315"/>
      <c r="G426" s="293"/>
    </row>
    <row r="427" spans="1:7" ht="20.100000000000001" customHeight="1">
      <c r="A427" s="290"/>
      <c r="B427" s="258"/>
      <c r="C427" s="258"/>
      <c r="D427" s="258"/>
      <c r="E427" s="258"/>
      <c r="F427" s="315"/>
      <c r="G427" s="293"/>
    </row>
    <row r="428" spans="1:7" ht="20.100000000000001" customHeight="1">
      <c r="A428" s="290"/>
      <c r="B428" s="258"/>
      <c r="C428" s="258"/>
      <c r="D428" s="258"/>
      <c r="E428" s="258"/>
      <c r="F428" s="315"/>
      <c r="G428" s="293"/>
    </row>
    <row r="429" spans="1:7" ht="20.100000000000001" customHeight="1">
      <c r="A429" s="290"/>
      <c r="B429" s="258"/>
      <c r="C429" s="258"/>
      <c r="D429" s="258"/>
      <c r="E429" s="258"/>
      <c r="F429" s="315"/>
      <c r="G429" s="293"/>
    </row>
    <row r="430" spans="1:7" ht="20.100000000000001" customHeight="1">
      <c r="A430" s="290"/>
      <c r="B430" s="258"/>
      <c r="C430" s="258"/>
      <c r="D430" s="258"/>
      <c r="E430" s="258"/>
      <c r="F430" s="315"/>
      <c r="G430" s="293"/>
    </row>
    <row r="431" spans="1:7" ht="20.100000000000001" customHeight="1">
      <c r="A431" s="290"/>
      <c r="B431" s="258"/>
      <c r="C431" s="258"/>
      <c r="D431" s="258"/>
      <c r="E431" s="258"/>
      <c r="F431" s="315"/>
      <c r="G431" s="293"/>
    </row>
    <row r="432" spans="1:7" ht="20.100000000000001" customHeight="1">
      <c r="A432" s="290"/>
      <c r="B432" s="258"/>
      <c r="C432" s="258"/>
      <c r="D432" s="258"/>
      <c r="E432" s="258"/>
      <c r="F432" s="315"/>
      <c r="G432" s="293"/>
    </row>
    <row r="433" spans="1:7" ht="20.100000000000001" customHeight="1">
      <c r="A433" s="290"/>
      <c r="B433" s="258"/>
      <c r="C433" s="258"/>
      <c r="D433" s="258"/>
      <c r="E433" s="258"/>
      <c r="F433" s="315"/>
      <c r="G433" s="293"/>
    </row>
    <row r="434" spans="1:7" ht="20.100000000000001" customHeight="1">
      <c r="A434" s="290"/>
      <c r="B434" s="258"/>
      <c r="C434" s="258"/>
      <c r="D434" s="258"/>
      <c r="E434" s="258"/>
      <c r="F434" s="315"/>
      <c r="G434" s="293"/>
    </row>
    <row r="435" spans="1:7" ht="20.100000000000001" customHeight="1">
      <c r="A435" s="290"/>
      <c r="B435" s="258"/>
      <c r="C435" s="258"/>
      <c r="D435" s="258"/>
      <c r="E435" s="258"/>
      <c r="F435" s="315"/>
      <c r="G435" s="293"/>
    </row>
    <row r="436" spans="1:7" ht="20.100000000000001" customHeight="1">
      <c r="A436" s="290"/>
      <c r="B436" s="258"/>
      <c r="C436" s="258"/>
      <c r="D436" s="258"/>
      <c r="E436" s="258"/>
      <c r="F436" s="315"/>
      <c r="G436" s="293"/>
    </row>
    <row r="437" spans="1:7" ht="20.100000000000001" customHeight="1">
      <c r="A437" s="290"/>
      <c r="B437" s="258"/>
      <c r="C437" s="258"/>
      <c r="D437" s="258"/>
      <c r="E437" s="258"/>
      <c r="F437" s="315"/>
      <c r="G437" s="293"/>
    </row>
    <row r="438" spans="1:7" ht="20.100000000000001" customHeight="1">
      <c r="A438" s="290"/>
      <c r="B438" s="258"/>
      <c r="C438" s="258"/>
      <c r="D438" s="258"/>
      <c r="E438" s="258"/>
      <c r="F438" s="315"/>
      <c r="G438" s="293"/>
    </row>
    <row r="439" spans="1:7" ht="20.100000000000001" customHeight="1">
      <c r="A439" s="290"/>
      <c r="B439" s="258"/>
      <c r="C439" s="258"/>
      <c r="D439" s="258"/>
      <c r="E439" s="258"/>
      <c r="F439" s="315"/>
      <c r="G439" s="293"/>
    </row>
    <row r="440" spans="1:7" ht="20.100000000000001" customHeight="1">
      <c r="A440" s="290"/>
      <c r="B440" s="258"/>
      <c r="C440" s="258"/>
      <c r="D440" s="258"/>
      <c r="E440" s="258"/>
      <c r="F440" s="315"/>
      <c r="G440" s="293"/>
    </row>
    <row r="441" spans="1:7" ht="20.100000000000001" customHeight="1">
      <c r="A441" s="290"/>
      <c r="B441" s="258"/>
      <c r="C441" s="258"/>
      <c r="D441" s="258"/>
      <c r="E441" s="258"/>
      <c r="F441" s="315"/>
      <c r="G441" s="293"/>
    </row>
    <row r="442" spans="1:7" ht="20.100000000000001" customHeight="1">
      <c r="A442" s="290"/>
      <c r="B442" s="258"/>
      <c r="C442" s="258"/>
      <c r="D442" s="258"/>
      <c r="E442" s="258"/>
      <c r="F442" s="315"/>
      <c r="G442" s="293"/>
    </row>
    <row r="443" spans="1:7" ht="20.100000000000001" customHeight="1">
      <c r="A443" s="290"/>
      <c r="B443" s="258"/>
      <c r="C443" s="258"/>
      <c r="D443" s="258"/>
      <c r="E443" s="258"/>
      <c r="F443" s="315"/>
      <c r="G443" s="293"/>
    </row>
    <row r="444" spans="1:7" ht="20.100000000000001" customHeight="1">
      <c r="A444" s="290"/>
      <c r="B444" s="258"/>
      <c r="C444" s="258"/>
      <c r="D444" s="258"/>
      <c r="E444" s="258"/>
      <c r="F444" s="315"/>
      <c r="G444" s="293"/>
    </row>
    <row r="445" spans="1:7" ht="20.100000000000001" customHeight="1">
      <c r="A445" s="290"/>
      <c r="B445" s="258"/>
      <c r="C445" s="258"/>
      <c r="D445" s="258"/>
      <c r="E445" s="258"/>
      <c r="F445" s="324"/>
      <c r="G445" s="293"/>
    </row>
    <row r="446" spans="1:7" ht="20.100000000000001" customHeight="1">
      <c r="A446" s="290"/>
      <c r="B446" s="258"/>
      <c r="C446" s="258"/>
      <c r="D446" s="258"/>
      <c r="E446" s="258"/>
      <c r="F446" s="324"/>
      <c r="G446" s="293"/>
    </row>
    <row r="447" spans="1:7" ht="20.100000000000001" customHeight="1">
      <c r="A447" s="290"/>
      <c r="B447" s="258"/>
      <c r="C447" s="258"/>
      <c r="D447" s="258"/>
      <c r="E447" s="258"/>
      <c r="F447" s="324"/>
      <c r="G447" s="293"/>
    </row>
    <row r="448" spans="1:7" ht="20.100000000000001" customHeight="1">
      <c r="A448" s="290"/>
      <c r="B448" s="258"/>
      <c r="C448" s="258"/>
      <c r="D448" s="258"/>
      <c r="E448" s="258"/>
      <c r="F448" s="324"/>
      <c r="G448" s="293"/>
    </row>
    <row r="449" spans="1:7" ht="20.100000000000001" customHeight="1">
      <c r="A449" s="290"/>
      <c r="B449" s="258"/>
      <c r="C449" s="258"/>
      <c r="D449" s="258"/>
      <c r="E449" s="258"/>
      <c r="F449" s="324"/>
      <c r="G449" s="293"/>
    </row>
    <row r="450" spans="1:7" ht="20.100000000000001" customHeight="1">
      <c r="A450" s="290"/>
      <c r="B450" s="258"/>
      <c r="C450" s="258"/>
      <c r="D450" s="258"/>
      <c r="E450" s="258"/>
      <c r="F450" s="324"/>
      <c r="G450" s="324"/>
    </row>
    <row r="451" spans="1:7" ht="20.100000000000001" customHeight="1">
      <c r="A451" s="290"/>
      <c r="B451" s="258"/>
      <c r="C451" s="258"/>
      <c r="D451" s="258"/>
      <c r="E451" s="258"/>
      <c r="F451" s="324"/>
      <c r="G451" s="324"/>
    </row>
    <row r="452" spans="1:7" ht="20.100000000000001" customHeight="1">
      <c r="A452" s="290"/>
      <c r="B452" s="258"/>
      <c r="C452" s="258"/>
      <c r="D452" s="258"/>
      <c r="E452" s="258"/>
      <c r="F452" s="324"/>
      <c r="G452" s="324"/>
    </row>
    <row r="453" spans="1:7" ht="20.100000000000001" customHeight="1">
      <c r="A453" s="290"/>
      <c r="B453" s="258"/>
      <c r="C453" s="258"/>
      <c r="D453" s="258"/>
      <c r="E453" s="258"/>
      <c r="F453" s="324"/>
      <c r="G453" s="324"/>
    </row>
    <row r="454" spans="1:7" ht="20.100000000000001" customHeight="1">
      <c r="A454" s="290"/>
      <c r="B454" s="258"/>
      <c r="C454" s="258"/>
      <c r="D454" s="258"/>
      <c r="E454" s="258"/>
      <c r="F454" s="324"/>
      <c r="G454" s="324"/>
    </row>
    <row r="455" spans="1:7" ht="20.100000000000001" customHeight="1">
      <c r="A455" s="290"/>
      <c r="B455" s="258"/>
      <c r="C455" s="258"/>
      <c r="D455" s="258"/>
      <c r="E455" s="258"/>
      <c r="F455" s="324"/>
      <c r="G455" s="324"/>
    </row>
    <row r="456" spans="1:7" ht="20.100000000000001" customHeight="1">
      <c r="A456" s="290"/>
      <c r="B456" s="258"/>
      <c r="C456" s="258"/>
      <c r="D456" s="258"/>
      <c r="E456" s="258"/>
      <c r="F456" s="324"/>
      <c r="G456" s="324"/>
    </row>
    <row r="457" spans="1:7" ht="20.100000000000001" customHeight="1">
      <c r="A457" s="290"/>
      <c r="B457" s="258"/>
      <c r="C457" s="258"/>
      <c r="D457" s="258"/>
      <c r="E457" s="258"/>
      <c r="F457" s="324"/>
      <c r="G457" s="324"/>
    </row>
    <row r="458" spans="1:7" ht="20.100000000000001" customHeight="1">
      <c r="A458" s="290"/>
      <c r="B458" s="258"/>
      <c r="C458" s="258"/>
      <c r="D458" s="258"/>
      <c r="E458" s="258"/>
      <c r="F458" s="324"/>
      <c r="G458" s="324"/>
    </row>
    <row r="459" spans="1:7" ht="20.100000000000001" customHeight="1">
      <c r="A459" s="290"/>
      <c r="B459" s="258"/>
      <c r="C459" s="258"/>
      <c r="D459" s="258"/>
      <c r="E459" s="258"/>
      <c r="F459" s="324"/>
      <c r="G459" s="324"/>
    </row>
    <row r="460" spans="1:7" ht="20.100000000000001" customHeight="1">
      <c r="A460" s="290"/>
      <c r="B460" s="258"/>
      <c r="C460" s="258"/>
      <c r="D460" s="258"/>
      <c r="E460" s="258"/>
      <c r="F460" s="324"/>
      <c r="G460" s="324"/>
    </row>
    <row r="461" spans="1:7" ht="20.100000000000001" customHeight="1">
      <c r="A461" s="290"/>
      <c r="B461" s="258"/>
      <c r="C461" s="258"/>
      <c r="D461" s="258"/>
      <c r="E461" s="258"/>
      <c r="F461" s="324"/>
      <c r="G461" s="324"/>
    </row>
    <row r="462" spans="1:7" ht="20.100000000000001" customHeight="1">
      <c r="A462" s="290"/>
      <c r="B462" s="258"/>
      <c r="C462" s="258"/>
      <c r="D462" s="258"/>
      <c r="E462" s="258"/>
      <c r="F462" s="324"/>
      <c r="G462" s="324"/>
    </row>
    <row r="463" spans="1:7" ht="20.100000000000001" customHeight="1">
      <c r="A463" s="290"/>
      <c r="B463" s="258"/>
      <c r="C463" s="258"/>
      <c r="D463" s="258"/>
      <c r="E463" s="258"/>
      <c r="F463" s="324"/>
      <c r="G463" s="324"/>
    </row>
    <row r="464" spans="1:7" ht="20.100000000000001" customHeight="1">
      <c r="A464" s="290"/>
      <c r="B464" s="258"/>
      <c r="C464" s="258"/>
      <c r="D464" s="258"/>
      <c r="E464" s="258"/>
      <c r="F464" s="324"/>
      <c r="G464" s="324"/>
    </row>
    <row r="465" spans="1:7" ht="20.100000000000001" customHeight="1">
      <c r="A465" s="290"/>
      <c r="B465" s="258"/>
      <c r="C465" s="258"/>
      <c r="D465" s="258"/>
      <c r="E465" s="258"/>
      <c r="F465" s="324"/>
      <c r="G465" s="324"/>
    </row>
    <row r="466" spans="1:7" ht="20.100000000000001" customHeight="1">
      <c r="A466" s="290"/>
      <c r="B466" s="258"/>
      <c r="C466" s="258"/>
      <c r="D466" s="258"/>
      <c r="E466" s="258"/>
      <c r="F466" s="324"/>
      <c r="G466" s="324"/>
    </row>
    <row r="467" spans="1:7" ht="20.100000000000001" customHeight="1">
      <c r="A467" s="290"/>
      <c r="B467" s="258"/>
      <c r="C467" s="258"/>
      <c r="D467" s="258"/>
      <c r="E467" s="258"/>
      <c r="F467" s="324"/>
      <c r="G467" s="324"/>
    </row>
    <row r="468" spans="1:7" ht="20.100000000000001" customHeight="1">
      <c r="A468" s="290"/>
      <c r="B468" s="258"/>
      <c r="C468" s="258"/>
      <c r="D468" s="258"/>
      <c r="E468" s="258"/>
      <c r="F468" s="324"/>
      <c r="G468" s="324"/>
    </row>
    <row r="469" spans="1:7" ht="20.100000000000001" customHeight="1">
      <c r="A469" s="290"/>
      <c r="B469" s="258"/>
      <c r="C469" s="258"/>
      <c r="D469" s="258"/>
      <c r="E469" s="258"/>
      <c r="F469" s="324"/>
      <c r="G469" s="324"/>
    </row>
    <row r="470" spans="1:7" ht="20.100000000000001" customHeight="1">
      <c r="A470" s="290"/>
      <c r="B470" s="258"/>
      <c r="C470" s="258"/>
      <c r="D470" s="258"/>
      <c r="E470" s="258"/>
      <c r="F470" s="324"/>
      <c r="G470" s="324"/>
    </row>
    <row r="471" spans="1:7" ht="20.100000000000001" customHeight="1">
      <c r="A471" s="290"/>
      <c r="B471" s="258"/>
      <c r="C471" s="258"/>
      <c r="D471" s="258"/>
      <c r="E471" s="258"/>
      <c r="F471" s="324"/>
      <c r="G471" s="324"/>
    </row>
    <row r="472" spans="1:7" ht="20.100000000000001" customHeight="1">
      <c r="A472" s="290"/>
      <c r="B472" s="258"/>
      <c r="C472" s="258"/>
      <c r="D472" s="258"/>
      <c r="E472" s="258"/>
      <c r="F472" s="324"/>
      <c r="G472" s="324"/>
    </row>
    <row r="473" spans="1:7" ht="20.100000000000001" customHeight="1">
      <c r="A473" s="290"/>
      <c r="B473" s="258"/>
      <c r="C473" s="258"/>
      <c r="D473" s="258"/>
      <c r="E473" s="258"/>
      <c r="F473" s="324"/>
      <c r="G473" s="324"/>
    </row>
    <row r="474" spans="1:7" ht="20.100000000000001" customHeight="1">
      <c r="A474" s="290"/>
      <c r="B474" s="258"/>
      <c r="C474" s="258"/>
      <c r="D474" s="258"/>
      <c r="E474" s="258"/>
      <c r="F474" s="324"/>
      <c r="G474" s="324"/>
    </row>
    <row r="475" spans="1:7" ht="20.100000000000001" customHeight="1">
      <c r="A475" s="290"/>
      <c r="B475" s="258"/>
      <c r="C475" s="258"/>
      <c r="D475" s="258"/>
      <c r="E475" s="258"/>
      <c r="F475" s="324"/>
      <c r="G475" s="324"/>
    </row>
    <row r="476" spans="1:7" ht="20.100000000000001" customHeight="1">
      <c r="A476" s="290"/>
      <c r="B476" s="258"/>
      <c r="C476" s="258"/>
      <c r="D476" s="258"/>
      <c r="E476" s="258"/>
      <c r="F476" s="324"/>
      <c r="G476" s="324"/>
    </row>
    <row r="477" spans="1:7" ht="20.100000000000001" customHeight="1">
      <c r="A477" s="290"/>
      <c r="B477" s="258"/>
      <c r="C477" s="258"/>
      <c r="D477" s="258"/>
      <c r="E477" s="258"/>
      <c r="F477" s="324"/>
      <c r="G477" s="324"/>
    </row>
    <row r="478" spans="1:7" ht="20.100000000000001" customHeight="1">
      <c r="A478" s="290"/>
      <c r="B478" s="258"/>
      <c r="C478" s="258"/>
      <c r="D478" s="258"/>
      <c r="E478" s="258"/>
      <c r="F478" s="324"/>
      <c r="G478" s="324"/>
    </row>
    <row r="479" spans="1:7" ht="20.100000000000001" customHeight="1">
      <c r="A479" s="290"/>
      <c r="B479" s="258"/>
      <c r="C479" s="258"/>
      <c r="D479" s="258"/>
      <c r="E479" s="258"/>
      <c r="F479" s="324"/>
      <c r="G479" s="324"/>
    </row>
    <row r="480" spans="1:7" ht="20.100000000000001" customHeight="1">
      <c r="A480" s="290"/>
      <c r="B480" s="258"/>
      <c r="C480" s="258"/>
      <c r="D480" s="258"/>
      <c r="E480" s="258"/>
      <c r="F480" s="324"/>
      <c r="G480" s="324"/>
    </row>
    <row r="481" spans="1:7" ht="20.100000000000001" customHeight="1">
      <c r="A481" s="290"/>
      <c r="B481" s="258"/>
      <c r="C481" s="258"/>
      <c r="D481" s="258"/>
      <c r="E481" s="258"/>
      <c r="F481" s="324"/>
      <c r="G481" s="324"/>
    </row>
    <row r="482" spans="1:7" ht="20.100000000000001" customHeight="1">
      <c r="A482" s="290"/>
      <c r="B482" s="258"/>
      <c r="C482" s="258"/>
      <c r="D482" s="258"/>
      <c r="E482" s="258"/>
      <c r="F482" s="324"/>
      <c r="G482" s="324"/>
    </row>
    <row r="483" spans="1:7" ht="20.100000000000001" customHeight="1">
      <c r="A483" s="290"/>
      <c r="B483" s="258"/>
      <c r="C483" s="258"/>
      <c r="D483" s="258"/>
      <c r="E483" s="258"/>
      <c r="F483" s="324"/>
      <c r="G483" s="324"/>
    </row>
    <row r="484" spans="1:7" ht="20.100000000000001" customHeight="1">
      <c r="A484" s="290"/>
      <c r="B484" s="258"/>
      <c r="C484" s="258"/>
      <c r="D484" s="258"/>
      <c r="E484" s="258"/>
      <c r="F484" s="324"/>
      <c r="G484" s="324"/>
    </row>
    <row r="485" spans="1:7" ht="20.100000000000001" customHeight="1">
      <c r="A485" s="290"/>
      <c r="B485" s="258"/>
      <c r="C485" s="258"/>
      <c r="D485" s="258"/>
      <c r="E485" s="258"/>
      <c r="F485" s="324"/>
      <c r="G485" s="324"/>
    </row>
    <row r="486" spans="1:7" ht="20.100000000000001" customHeight="1">
      <c r="A486" s="290"/>
      <c r="B486" s="258"/>
      <c r="C486" s="258"/>
      <c r="D486" s="258"/>
      <c r="E486" s="258"/>
      <c r="F486" s="324"/>
      <c r="G486" s="324"/>
    </row>
    <row r="487" spans="1:7" ht="20.100000000000001" customHeight="1">
      <c r="A487" s="290"/>
      <c r="B487" s="258"/>
      <c r="C487" s="258"/>
      <c r="D487" s="258"/>
      <c r="E487" s="258"/>
      <c r="F487" s="324"/>
      <c r="G487" s="324"/>
    </row>
    <row r="488" spans="1:7" ht="20.100000000000001" customHeight="1">
      <c r="A488" s="290"/>
      <c r="B488" s="258"/>
      <c r="C488" s="258"/>
      <c r="D488" s="258"/>
      <c r="E488" s="258"/>
      <c r="F488" s="324"/>
      <c r="G488" s="324"/>
    </row>
    <row r="489" spans="1:7" ht="20.100000000000001" customHeight="1">
      <c r="A489" s="290"/>
      <c r="B489" s="258"/>
      <c r="C489" s="258"/>
      <c r="D489" s="258"/>
      <c r="E489" s="258"/>
      <c r="F489" s="324"/>
      <c r="G489" s="324"/>
    </row>
    <row r="490" spans="1:7" ht="20.100000000000001" customHeight="1">
      <c r="A490" s="290"/>
      <c r="B490" s="258"/>
      <c r="C490" s="258"/>
      <c r="D490" s="258"/>
      <c r="E490" s="258"/>
      <c r="F490" s="324"/>
      <c r="G490" s="324"/>
    </row>
    <row r="491" spans="1:7" ht="20.100000000000001" customHeight="1">
      <c r="A491" s="290"/>
      <c r="B491" s="258"/>
      <c r="C491" s="258"/>
      <c r="D491" s="258"/>
      <c r="E491" s="258"/>
      <c r="F491" s="324"/>
      <c r="G491" s="324"/>
    </row>
    <row r="492" spans="1:7" ht="20.100000000000001" customHeight="1">
      <c r="A492" s="290"/>
      <c r="B492" s="258"/>
      <c r="C492" s="258"/>
      <c r="D492" s="258"/>
      <c r="E492" s="258"/>
      <c r="F492" s="324"/>
      <c r="G492" s="324"/>
    </row>
    <row r="493" spans="1:7" ht="20.100000000000001" customHeight="1">
      <c r="A493" s="290"/>
      <c r="B493" s="258"/>
      <c r="C493" s="258"/>
      <c r="D493" s="258"/>
      <c r="E493" s="258"/>
      <c r="F493" s="324"/>
      <c r="G493" s="324"/>
    </row>
    <row r="494" spans="1:7" ht="20.100000000000001" customHeight="1">
      <c r="A494" s="290"/>
      <c r="B494" s="258"/>
      <c r="C494" s="258"/>
      <c r="D494" s="258"/>
      <c r="E494" s="258"/>
      <c r="F494" s="324"/>
      <c r="G494" s="324"/>
    </row>
    <row r="495" spans="1:7" ht="20.100000000000001" customHeight="1">
      <c r="A495" s="290"/>
      <c r="B495" s="258"/>
      <c r="C495" s="258"/>
      <c r="D495" s="258"/>
      <c r="E495" s="258"/>
      <c r="F495" s="324"/>
      <c r="G495" s="324"/>
    </row>
    <row r="496" spans="1:7" ht="20.100000000000001" customHeight="1">
      <c r="A496" s="290"/>
      <c r="B496" s="258"/>
      <c r="C496" s="258"/>
      <c r="D496" s="258"/>
      <c r="E496" s="258"/>
      <c r="F496" s="324"/>
      <c r="G496" s="324"/>
    </row>
    <row r="497" spans="1:7" ht="20.100000000000001" customHeight="1">
      <c r="A497" s="290"/>
      <c r="B497" s="258"/>
      <c r="C497" s="258"/>
      <c r="D497" s="258"/>
      <c r="E497" s="258"/>
      <c r="F497" s="324"/>
      <c r="G497" s="324"/>
    </row>
    <row r="498" spans="1:7" ht="20.100000000000001" customHeight="1">
      <c r="A498" s="290"/>
      <c r="B498" s="258"/>
      <c r="C498" s="258"/>
      <c r="D498" s="258"/>
      <c r="E498" s="258"/>
      <c r="F498" s="324"/>
      <c r="G498" s="324"/>
    </row>
    <row r="499" spans="1:7" ht="20.100000000000001" customHeight="1">
      <c r="A499" s="290"/>
      <c r="B499" s="258"/>
      <c r="C499" s="258"/>
      <c r="D499" s="258"/>
      <c r="E499" s="258"/>
      <c r="F499" s="324"/>
      <c r="G499" s="324"/>
    </row>
    <row r="500" spans="1:7" ht="20.100000000000001" customHeight="1">
      <c r="A500" s="290"/>
      <c r="B500" s="258"/>
      <c r="C500" s="258"/>
      <c r="D500" s="258"/>
      <c r="E500" s="258"/>
      <c r="F500" s="324"/>
      <c r="G500" s="324"/>
    </row>
    <row r="501" spans="1:7" ht="20.100000000000001" customHeight="1">
      <c r="A501" s="290"/>
      <c r="B501" s="258"/>
      <c r="C501" s="258"/>
      <c r="D501" s="258"/>
      <c r="E501" s="258"/>
      <c r="F501" s="324"/>
      <c r="G501" s="324"/>
    </row>
    <row r="502" spans="1:7" ht="20.100000000000001" customHeight="1">
      <c r="A502" s="290"/>
      <c r="B502" s="258"/>
      <c r="C502" s="258"/>
      <c r="D502" s="258"/>
      <c r="E502" s="258"/>
      <c r="F502" s="324"/>
      <c r="G502" s="324"/>
    </row>
    <row r="503" spans="1:7" ht="20.100000000000001" customHeight="1">
      <c r="A503" s="290"/>
      <c r="B503" s="258"/>
      <c r="C503" s="258"/>
      <c r="D503" s="258"/>
      <c r="E503" s="258"/>
      <c r="F503" s="324"/>
      <c r="G503" s="324"/>
    </row>
    <row r="504" spans="1:7" ht="20.100000000000001" customHeight="1">
      <c r="A504" s="290"/>
      <c r="B504" s="258"/>
      <c r="C504" s="258"/>
      <c r="D504" s="258"/>
      <c r="E504" s="258"/>
      <c r="F504" s="324"/>
      <c r="G504" s="324"/>
    </row>
    <row r="505" spans="1:7" ht="20.100000000000001" customHeight="1">
      <c r="A505" s="290"/>
      <c r="B505" s="258"/>
      <c r="C505" s="258"/>
      <c r="D505" s="258"/>
      <c r="E505" s="258"/>
      <c r="F505" s="324"/>
      <c r="G505" s="324"/>
    </row>
    <row r="506" spans="1:7" ht="20.100000000000001" customHeight="1">
      <c r="A506" s="290"/>
      <c r="B506" s="258"/>
      <c r="C506" s="258"/>
      <c r="D506" s="258"/>
      <c r="E506" s="258"/>
      <c r="F506" s="324"/>
      <c r="G506" s="324"/>
    </row>
    <row r="507" spans="1:7" ht="20.100000000000001" customHeight="1">
      <c r="A507" s="290"/>
      <c r="B507" s="258"/>
      <c r="C507" s="258"/>
      <c r="D507" s="258"/>
      <c r="E507" s="258"/>
      <c r="F507" s="324"/>
      <c r="G507" s="324"/>
    </row>
    <row r="508" spans="1:7" ht="20.100000000000001" customHeight="1">
      <c r="A508" s="290"/>
      <c r="B508" s="258"/>
      <c r="C508" s="258"/>
      <c r="D508" s="258"/>
      <c r="E508" s="258"/>
      <c r="F508" s="324"/>
      <c r="G508" s="324"/>
    </row>
    <row r="509" spans="1:7" ht="20.100000000000001" customHeight="1">
      <c r="A509" s="290"/>
      <c r="B509" s="258"/>
      <c r="C509" s="258"/>
      <c r="D509" s="258"/>
      <c r="E509" s="258"/>
      <c r="F509" s="324"/>
      <c r="G509" s="324"/>
    </row>
    <row r="510" spans="1:7" ht="20.100000000000001" customHeight="1">
      <c r="A510" s="290"/>
      <c r="B510" s="258"/>
      <c r="C510" s="258"/>
      <c r="D510" s="258"/>
      <c r="E510" s="258"/>
      <c r="F510" s="324"/>
      <c r="G510" s="324"/>
    </row>
    <row r="511" spans="1:7" ht="20.100000000000001" customHeight="1">
      <c r="A511" s="290"/>
      <c r="B511" s="258"/>
      <c r="C511" s="258"/>
      <c r="D511" s="258"/>
      <c r="E511" s="258"/>
      <c r="F511" s="324"/>
      <c r="G511" s="324"/>
    </row>
    <row r="512" spans="1:7" ht="20.100000000000001" customHeight="1">
      <c r="A512" s="290"/>
      <c r="B512" s="258"/>
      <c r="C512" s="258"/>
      <c r="D512" s="258"/>
      <c r="E512" s="258"/>
      <c r="F512" s="324"/>
      <c r="G512" s="324"/>
    </row>
    <row r="513" spans="1:7" ht="20.100000000000001" customHeight="1">
      <c r="A513" s="290"/>
      <c r="B513" s="258"/>
      <c r="C513" s="258"/>
      <c r="D513" s="258"/>
      <c r="E513" s="258"/>
      <c r="F513" s="324"/>
      <c r="G513" s="324"/>
    </row>
    <row r="514" spans="1:7" ht="20.100000000000001" customHeight="1">
      <c r="A514" s="290"/>
      <c r="B514" s="258"/>
      <c r="C514" s="258"/>
      <c r="D514" s="258"/>
      <c r="E514" s="258"/>
      <c r="F514" s="324"/>
      <c r="G514" s="324"/>
    </row>
    <row r="515" spans="1:7" ht="20.100000000000001" customHeight="1">
      <c r="A515" s="290"/>
      <c r="B515" s="258"/>
      <c r="C515" s="258"/>
      <c r="D515" s="258"/>
      <c r="E515" s="258"/>
      <c r="F515" s="324"/>
      <c r="G515" s="324"/>
    </row>
    <row r="516" spans="1:7" ht="20.100000000000001" customHeight="1">
      <c r="A516" s="290"/>
      <c r="B516" s="258"/>
      <c r="C516" s="258"/>
      <c r="D516" s="258"/>
      <c r="E516" s="258"/>
      <c r="F516" s="324"/>
      <c r="G516" s="324"/>
    </row>
    <row r="517" spans="1:7" ht="20.100000000000001" customHeight="1">
      <c r="A517" s="290"/>
      <c r="B517" s="258"/>
      <c r="C517" s="258"/>
      <c r="D517" s="258"/>
      <c r="E517" s="258"/>
      <c r="F517" s="324"/>
      <c r="G517" s="324"/>
    </row>
    <row r="518" spans="1:7" ht="20.100000000000001" customHeight="1">
      <c r="A518" s="290"/>
      <c r="B518" s="258"/>
      <c r="C518" s="258"/>
      <c r="D518" s="258"/>
      <c r="E518" s="258"/>
      <c r="F518" s="324"/>
      <c r="G518" s="324"/>
    </row>
    <row r="519" spans="1:7" ht="20.100000000000001" customHeight="1">
      <c r="A519" s="290"/>
      <c r="B519" s="258"/>
      <c r="C519" s="258"/>
      <c r="D519" s="258"/>
      <c r="E519" s="258"/>
      <c r="F519" s="324"/>
      <c r="G519" s="324"/>
    </row>
    <row r="520" spans="1:7" ht="20.100000000000001" customHeight="1">
      <c r="A520" s="290"/>
      <c r="B520" s="258"/>
      <c r="C520" s="258"/>
      <c r="D520" s="258"/>
      <c r="E520" s="258"/>
      <c r="F520" s="324"/>
      <c r="G520" s="324"/>
    </row>
    <row r="521" spans="1:7" ht="20.100000000000001" customHeight="1">
      <c r="A521" s="290"/>
      <c r="B521" s="258"/>
      <c r="C521" s="258"/>
      <c r="D521" s="258"/>
      <c r="E521" s="258"/>
      <c r="F521" s="324"/>
      <c r="G521" s="324"/>
    </row>
    <row r="522" spans="1:7" ht="20.100000000000001" customHeight="1">
      <c r="A522" s="290"/>
      <c r="B522" s="258"/>
      <c r="C522" s="258"/>
      <c r="D522" s="258"/>
      <c r="E522" s="258"/>
      <c r="F522" s="324"/>
      <c r="G522" s="324"/>
    </row>
    <row r="523" spans="1:7" ht="20.100000000000001" customHeight="1">
      <c r="A523" s="290"/>
      <c r="B523" s="258"/>
      <c r="C523" s="258"/>
      <c r="D523" s="258"/>
      <c r="E523" s="258"/>
      <c r="F523" s="324"/>
      <c r="G523" s="324"/>
    </row>
    <row r="524" spans="1:7" ht="20.100000000000001" customHeight="1">
      <c r="A524" s="290"/>
      <c r="B524" s="258"/>
      <c r="C524" s="258"/>
      <c r="D524" s="258"/>
      <c r="E524" s="258"/>
      <c r="F524" s="324"/>
      <c r="G524" s="324"/>
    </row>
    <row r="525" spans="1:7" ht="20.100000000000001" customHeight="1">
      <c r="A525" s="290"/>
      <c r="B525" s="258"/>
      <c r="C525" s="258"/>
      <c r="D525" s="258"/>
      <c r="E525" s="258"/>
      <c r="F525" s="324"/>
      <c r="G525" s="324"/>
    </row>
    <row r="526" spans="1:7" ht="20.100000000000001" customHeight="1">
      <c r="A526" s="290"/>
      <c r="B526" s="258"/>
      <c r="C526" s="258"/>
      <c r="D526" s="258"/>
      <c r="E526" s="258"/>
      <c r="F526" s="324"/>
      <c r="G526" s="324"/>
    </row>
    <row r="527" spans="1:7" ht="20.100000000000001" customHeight="1">
      <c r="A527" s="290"/>
      <c r="B527" s="258"/>
      <c r="C527" s="258"/>
      <c r="D527" s="258"/>
      <c r="E527" s="258"/>
      <c r="F527" s="324"/>
      <c r="G527" s="324"/>
    </row>
    <row r="528" spans="1:7" ht="20.100000000000001" customHeight="1">
      <c r="A528" s="290"/>
      <c r="B528" s="258"/>
      <c r="C528" s="258"/>
      <c r="D528" s="258"/>
      <c r="E528" s="258"/>
      <c r="F528" s="324"/>
      <c r="G528" s="324"/>
    </row>
    <row r="529" spans="1:7" ht="20.100000000000001" customHeight="1">
      <c r="A529" s="290"/>
      <c r="B529" s="258"/>
      <c r="C529" s="258"/>
      <c r="D529" s="258"/>
      <c r="E529" s="258"/>
      <c r="F529" s="324"/>
      <c r="G529" s="324"/>
    </row>
    <row r="530" spans="1:7" ht="20.100000000000001" customHeight="1">
      <c r="A530" s="290"/>
      <c r="B530" s="258"/>
      <c r="C530" s="258"/>
      <c r="D530" s="258"/>
      <c r="E530" s="258"/>
      <c r="F530" s="324"/>
      <c r="G530" s="324"/>
    </row>
    <row r="531" spans="1:7" ht="20.100000000000001" customHeight="1">
      <c r="A531" s="290"/>
      <c r="B531" s="258"/>
      <c r="C531" s="258"/>
      <c r="D531" s="258"/>
      <c r="E531" s="258"/>
      <c r="F531" s="324"/>
      <c r="G531" s="324"/>
    </row>
    <row r="532" spans="1:7" ht="20.100000000000001" customHeight="1">
      <c r="A532" s="290"/>
      <c r="B532" s="258"/>
      <c r="C532" s="258"/>
      <c r="D532" s="258"/>
      <c r="E532" s="258"/>
      <c r="F532" s="324"/>
      <c r="G532" s="324"/>
    </row>
    <row r="533" spans="1:7" ht="20.100000000000001" customHeight="1">
      <c r="A533" s="290"/>
      <c r="B533" s="258"/>
      <c r="C533" s="258"/>
      <c r="D533" s="258"/>
      <c r="E533" s="258"/>
      <c r="F533" s="324"/>
      <c r="G533" s="324"/>
    </row>
    <row r="534" spans="1:7" ht="20.100000000000001" customHeight="1">
      <c r="A534" s="290"/>
      <c r="B534" s="258"/>
      <c r="C534" s="258"/>
      <c r="D534" s="258"/>
      <c r="E534" s="258"/>
      <c r="F534" s="324"/>
      <c r="G534" s="324"/>
    </row>
    <row r="535" spans="1:7" ht="20.100000000000001" customHeight="1">
      <c r="A535" s="290"/>
      <c r="B535" s="258"/>
      <c r="C535" s="258"/>
      <c r="D535" s="258"/>
      <c r="E535" s="258"/>
      <c r="F535" s="324"/>
      <c r="G535" s="324"/>
    </row>
    <row r="536" spans="1:7" ht="20.100000000000001" customHeight="1">
      <c r="A536" s="290"/>
      <c r="B536" s="258"/>
      <c r="C536" s="258"/>
      <c r="D536" s="258"/>
      <c r="E536" s="258"/>
      <c r="F536" s="324"/>
      <c r="G536" s="324"/>
    </row>
    <row r="537" spans="1:7" ht="20.100000000000001" customHeight="1">
      <c r="A537" s="290"/>
      <c r="B537" s="258"/>
      <c r="C537" s="258"/>
      <c r="D537" s="258"/>
      <c r="E537" s="258"/>
      <c r="F537" s="324"/>
      <c r="G537" s="324"/>
    </row>
    <row r="538" spans="1:7" ht="20.100000000000001" customHeight="1">
      <c r="A538" s="290"/>
      <c r="B538" s="258"/>
      <c r="C538" s="258"/>
      <c r="D538" s="258"/>
      <c r="E538" s="258"/>
      <c r="F538" s="324"/>
      <c r="G538" s="324"/>
    </row>
    <row r="539" spans="1:7" ht="20.100000000000001" customHeight="1">
      <c r="A539" s="290"/>
      <c r="B539" s="258"/>
      <c r="C539" s="258"/>
      <c r="D539" s="258"/>
      <c r="E539" s="258"/>
      <c r="F539" s="324"/>
      <c r="G539" s="324"/>
    </row>
    <row r="540" spans="1:7" ht="20.100000000000001" customHeight="1">
      <c r="A540" s="290"/>
      <c r="B540" s="258"/>
      <c r="C540" s="258"/>
      <c r="D540" s="258"/>
      <c r="E540" s="258"/>
      <c r="F540" s="324"/>
      <c r="G540" s="324"/>
    </row>
    <row r="541" spans="1:7" ht="20.100000000000001" customHeight="1">
      <c r="A541" s="290"/>
      <c r="B541" s="258"/>
      <c r="C541" s="258"/>
      <c r="D541" s="258"/>
      <c r="E541" s="258"/>
      <c r="F541" s="324"/>
      <c r="G541" s="324"/>
    </row>
    <row r="542" spans="1:7" ht="20.100000000000001" customHeight="1">
      <c r="A542" s="290"/>
      <c r="B542" s="258"/>
      <c r="C542" s="258"/>
      <c r="D542" s="258"/>
      <c r="E542" s="258"/>
      <c r="F542" s="324"/>
      <c r="G542" s="324"/>
    </row>
    <row r="543" spans="1:7" ht="20.100000000000001" customHeight="1">
      <c r="A543" s="290"/>
      <c r="B543" s="258"/>
      <c r="C543" s="258"/>
      <c r="D543" s="258"/>
      <c r="E543" s="258"/>
      <c r="F543" s="324"/>
      <c r="G543" s="324"/>
    </row>
    <row r="544" spans="1:7" ht="20.100000000000001" customHeight="1">
      <c r="A544" s="290"/>
      <c r="B544" s="258"/>
      <c r="C544" s="258"/>
      <c r="D544" s="258"/>
      <c r="E544" s="258"/>
      <c r="F544" s="324"/>
      <c r="G544" s="324"/>
    </row>
    <row r="545" spans="1:7" ht="20.100000000000001" customHeight="1">
      <c r="A545" s="290"/>
      <c r="B545" s="258"/>
      <c r="C545" s="258"/>
      <c r="D545" s="258"/>
      <c r="E545" s="258"/>
      <c r="F545" s="324"/>
      <c r="G545" s="324"/>
    </row>
    <row r="546" spans="1:7" ht="20.100000000000001" customHeight="1">
      <c r="A546" s="290"/>
      <c r="B546" s="258"/>
      <c r="C546" s="258"/>
      <c r="D546" s="258"/>
      <c r="E546" s="258"/>
      <c r="F546" s="324"/>
      <c r="G546" s="324"/>
    </row>
    <row r="547" spans="1:7" ht="20.100000000000001" customHeight="1">
      <c r="A547" s="290"/>
      <c r="B547" s="258"/>
      <c r="C547" s="258"/>
      <c r="D547" s="258"/>
      <c r="E547" s="258"/>
      <c r="F547" s="324"/>
      <c r="G547" s="324"/>
    </row>
    <row r="548" spans="1:7" ht="20.100000000000001" customHeight="1">
      <c r="A548" s="290"/>
      <c r="B548" s="258"/>
      <c r="C548" s="258"/>
      <c r="D548" s="258"/>
      <c r="E548" s="258"/>
      <c r="F548" s="324"/>
      <c r="G548" s="324"/>
    </row>
    <row r="549" spans="1:7" ht="20.100000000000001" customHeight="1">
      <c r="A549" s="290"/>
      <c r="B549" s="258"/>
      <c r="C549" s="258"/>
      <c r="D549" s="258"/>
      <c r="E549" s="258"/>
      <c r="F549" s="324"/>
      <c r="G549" s="324"/>
    </row>
    <row r="550" spans="1:7" ht="20.100000000000001" customHeight="1">
      <c r="A550" s="290"/>
      <c r="B550" s="258"/>
      <c r="C550" s="258"/>
      <c r="D550" s="258"/>
      <c r="E550" s="258"/>
      <c r="F550" s="324"/>
      <c r="G550" s="324"/>
    </row>
    <row r="551" spans="1:7" ht="20.100000000000001" customHeight="1">
      <c r="A551" s="290"/>
      <c r="B551" s="258"/>
      <c r="C551" s="258"/>
      <c r="D551" s="258"/>
      <c r="E551" s="258"/>
      <c r="F551" s="324"/>
      <c r="G551" s="324"/>
    </row>
    <row r="552" spans="1:7" ht="20.100000000000001" customHeight="1">
      <c r="A552" s="290"/>
      <c r="B552" s="258"/>
      <c r="C552" s="258"/>
      <c r="D552" s="258"/>
      <c r="E552" s="258"/>
      <c r="F552" s="324"/>
      <c r="G552" s="324"/>
    </row>
    <row r="553" spans="1:7" ht="20.100000000000001" customHeight="1">
      <c r="A553" s="290"/>
      <c r="B553" s="258"/>
      <c r="C553" s="258"/>
      <c r="D553" s="258"/>
      <c r="E553" s="258"/>
      <c r="F553" s="324"/>
      <c r="G553" s="324"/>
    </row>
    <row r="554" spans="1:7" ht="20.100000000000001" customHeight="1">
      <c r="A554" s="290"/>
      <c r="B554" s="258"/>
      <c r="C554" s="258"/>
      <c r="D554" s="258"/>
      <c r="E554" s="258"/>
      <c r="F554" s="324"/>
      <c r="G554" s="324"/>
    </row>
    <row r="555" spans="1:7" ht="20.100000000000001" customHeight="1">
      <c r="A555" s="290"/>
      <c r="B555" s="258"/>
      <c r="C555" s="258"/>
      <c r="D555" s="258"/>
      <c r="E555" s="258"/>
      <c r="F555" s="324"/>
      <c r="G555" s="324"/>
    </row>
    <row r="556" spans="1:7" ht="20.100000000000001" customHeight="1">
      <c r="A556" s="290"/>
      <c r="B556" s="258"/>
      <c r="C556" s="258"/>
      <c r="D556" s="258"/>
      <c r="E556" s="258"/>
      <c r="F556" s="324"/>
      <c r="G556" s="324"/>
    </row>
    <row r="557" spans="1:7" ht="20.100000000000001" customHeight="1">
      <c r="A557" s="290"/>
      <c r="B557" s="258"/>
      <c r="C557" s="258"/>
      <c r="D557" s="258"/>
      <c r="E557" s="258"/>
      <c r="F557" s="324"/>
      <c r="G557" s="324"/>
    </row>
    <row r="558" spans="1:7" ht="20.100000000000001" customHeight="1">
      <c r="A558" s="290"/>
      <c r="B558" s="258"/>
      <c r="C558" s="258"/>
      <c r="D558" s="258"/>
      <c r="E558" s="258"/>
      <c r="F558" s="324"/>
      <c r="G558" s="324"/>
    </row>
    <row r="559" spans="1:7" ht="20.100000000000001" customHeight="1">
      <c r="A559" s="290"/>
      <c r="B559" s="258"/>
      <c r="C559" s="258"/>
      <c r="D559" s="258"/>
      <c r="E559" s="258"/>
      <c r="F559" s="324"/>
      <c r="G559" s="324"/>
    </row>
    <row r="560" spans="1:7" ht="20.100000000000001" customHeight="1">
      <c r="A560" s="290"/>
      <c r="B560" s="258"/>
      <c r="C560" s="258"/>
      <c r="D560" s="258"/>
      <c r="E560" s="258"/>
      <c r="F560" s="324"/>
      <c r="G560" s="324"/>
    </row>
    <row r="561" spans="1:7" ht="20.100000000000001" customHeight="1">
      <c r="A561" s="290"/>
      <c r="B561" s="258"/>
      <c r="C561" s="258"/>
      <c r="D561" s="258"/>
      <c r="E561" s="258"/>
      <c r="F561" s="324"/>
      <c r="G561" s="324"/>
    </row>
    <row r="562" spans="1:7" ht="20.100000000000001" customHeight="1">
      <c r="A562" s="290"/>
      <c r="B562" s="258"/>
      <c r="C562" s="258"/>
      <c r="D562" s="258"/>
      <c r="E562" s="258"/>
      <c r="F562" s="324"/>
      <c r="G562" s="324"/>
    </row>
    <row r="563" spans="1:7" ht="20.100000000000001" customHeight="1">
      <c r="A563" s="290"/>
      <c r="B563" s="258"/>
      <c r="C563" s="258"/>
      <c r="D563" s="258"/>
      <c r="E563" s="258"/>
      <c r="F563" s="324"/>
      <c r="G563" s="324"/>
    </row>
    <row r="564" spans="1:7" ht="20.100000000000001" customHeight="1">
      <c r="A564" s="290"/>
      <c r="B564" s="258"/>
      <c r="C564" s="258"/>
      <c r="D564" s="258"/>
      <c r="E564" s="258"/>
      <c r="F564" s="324"/>
      <c r="G564" s="324"/>
    </row>
    <row r="565" spans="1:7" ht="20.100000000000001" customHeight="1">
      <c r="A565" s="290"/>
      <c r="B565" s="258"/>
      <c r="C565" s="258"/>
      <c r="D565" s="258"/>
      <c r="E565" s="258"/>
      <c r="F565" s="324"/>
      <c r="G565" s="324"/>
    </row>
    <row r="566" spans="1:7" ht="20.100000000000001" customHeight="1">
      <c r="A566" s="290"/>
      <c r="B566" s="258"/>
      <c r="C566" s="258"/>
      <c r="D566" s="258"/>
      <c r="E566" s="258"/>
      <c r="F566" s="324"/>
      <c r="G566" s="324"/>
    </row>
    <row r="567" spans="1:7" ht="20.100000000000001" customHeight="1">
      <c r="A567" s="290"/>
      <c r="B567" s="258"/>
      <c r="C567" s="258"/>
      <c r="D567" s="258"/>
      <c r="E567" s="258"/>
      <c r="F567" s="324"/>
      <c r="G567" s="324"/>
    </row>
    <row r="568" spans="1:7" ht="20.100000000000001" customHeight="1">
      <c r="A568" s="290"/>
      <c r="B568" s="258"/>
      <c r="C568" s="258"/>
      <c r="D568" s="258"/>
      <c r="E568" s="258"/>
      <c r="F568" s="324"/>
      <c r="G568" s="324"/>
    </row>
    <row r="569" spans="1:7" ht="20.100000000000001" customHeight="1">
      <c r="A569" s="290"/>
      <c r="B569" s="258"/>
      <c r="C569" s="258"/>
      <c r="D569" s="258"/>
      <c r="E569" s="258"/>
      <c r="F569" s="324"/>
      <c r="G569" s="324"/>
    </row>
    <row r="570" spans="1:7" ht="20.100000000000001" customHeight="1">
      <c r="A570" s="290"/>
      <c r="B570" s="258"/>
      <c r="C570" s="258"/>
      <c r="D570" s="258"/>
      <c r="E570" s="258"/>
      <c r="F570" s="324"/>
      <c r="G570" s="324"/>
    </row>
    <row r="571" spans="1:7" ht="20.100000000000001" customHeight="1">
      <c r="A571" s="290"/>
      <c r="B571" s="258"/>
      <c r="C571" s="258"/>
      <c r="D571" s="258"/>
      <c r="E571" s="258"/>
      <c r="F571" s="324"/>
      <c r="G571" s="324"/>
    </row>
    <row r="572" spans="1:7" ht="20.100000000000001" customHeight="1">
      <c r="A572" s="290"/>
      <c r="B572" s="258"/>
      <c r="C572" s="258"/>
      <c r="D572" s="258"/>
      <c r="E572" s="258"/>
      <c r="F572" s="324"/>
      <c r="G572" s="324"/>
    </row>
    <row r="573" spans="1:7" ht="20.100000000000001" customHeight="1">
      <c r="A573" s="290"/>
      <c r="B573" s="258"/>
      <c r="C573" s="258"/>
      <c r="D573" s="258"/>
      <c r="E573" s="258"/>
      <c r="F573" s="324"/>
      <c r="G573" s="324"/>
    </row>
    <row r="574" spans="1:7" ht="20.100000000000001" customHeight="1">
      <c r="A574" s="290"/>
      <c r="B574" s="258"/>
      <c r="C574" s="258"/>
      <c r="D574" s="258"/>
      <c r="E574" s="258"/>
      <c r="F574" s="324"/>
      <c r="G574" s="324"/>
    </row>
    <row r="575" spans="1:7" ht="20.100000000000001" customHeight="1">
      <c r="A575" s="290"/>
      <c r="B575" s="258"/>
      <c r="C575" s="258"/>
      <c r="D575" s="258"/>
      <c r="E575" s="258"/>
      <c r="F575" s="324"/>
      <c r="G575" s="324"/>
    </row>
    <row r="576" spans="1:7" ht="20.100000000000001" customHeight="1">
      <c r="A576" s="290"/>
      <c r="B576" s="258"/>
      <c r="C576" s="258"/>
      <c r="D576" s="258"/>
      <c r="E576" s="258"/>
      <c r="F576" s="324"/>
      <c r="G576" s="324"/>
    </row>
    <row r="577" spans="1:7" ht="20.100000000000001" customHeight="1">
      <c r="A577" s="290"/>
      <c r="B577" s="258"/>
      <c r="C577" s="258"/>
      <c r="D577" s="258"/>
      <c r="E577" s="258"/>
      <c r="F577" s="324"/>
      <c r="G577" s="324"/>
    </row>
    <row r="578" spans="1:7" ht="20.100000000000001" customHeight="1">
      <c r="A578" s="290"/>
      <c r="B578" s="258"/>
      <c r="C578" s="258"/>
      <c r="D578" s="258"/>
      <c r="E578" s="258"/>
      <c r="F578" s="324"/>
      <c r="G578" s="324"/>
    </row>
    <row r="579" spans="1:7" ht="20.100000000000001" customHeight="1">
      <c r="A579" s="290"/>
      <c r="B579" s="258"/>
      <c r="C579" s="258"/>
      <c r="D579" s="258"/>
      <c r="E579" s="258"/>
      <c r="F579" s="324"/>
      <c r="G579" s="324"/>
    </row>
    <row r="580" spans="1:7" ht="20.100000000000001" customHeight="1">
      <c r="A580" s="290"/>
      <c r="B580" s="258"/>
      <c r="C580" s="258"/>
      <c r="D580" s="258"/>
      <c r="E580" s="258"/>
      <c r="F580" s="324"/>
      <c r="G580" s="324"/>
    </row>
    <row r="581" spans="1:7" ht="20.100000000000001" customHeight="1">
      <c r="A581" s="290"/>
      <c r="B581" s="258"/>
      <c r="C581" s="258"/>
      <c r="D581" s="258"/>
      <c r="E581" s="258"/>
      <c r="F581" s="324"/>
      <c r="G581" s="324"/>
    </row>
    <row r="582" spans="1:7" ht="20.100000000000001" customHeight="1">
      <c r="A582" s="290"/>
      <c r="B582" s="258"/>
      <c r="C582" s="258"/>
      <c r="D582" s="258"/>
      <c r="E582" s="258"/>
      <c r="F582" s="324"/>
      <c r="G582" s="324"/>
    </row>
    <row r="583" spans="1:7" ht="20.100000000000001" customHeight="1">
      <c r="A583" s="290"/>
      <c r="B583" s="258"/>
      <c r="C583" s="258"/>
      <c r="D583" s="258"/>
      <c r="E583" s="258"/>
      <c r="F583" s="324"/>
      <c r="G583" s="324"/>
    </row>
    <row r="584" spans="1:7" ht="20.100000000000001" customHeight="1">
      <c r="A584" s="290"/>
      <c r="B584" s="258"/>
      <c r="C584" s="258"/>
      <c r="D584" s="258"/>
      <c r="E584" s="258"/>
      <c r="F584" s="324"/>
      <c r="G584" s="324"/>
    </row>
    <row r="585" spans="1:7" ht="20.100000000000001" customHeight="1">
      <c r="A585" s="290"/>
      <c r="B585" s="258"/>
      <c r="C585" s="258"/>
      <c r="D585" s="258"/>
      <c r="E585" s="258"/>
      <c r="F585" s="324"/>
      <c r="G585" s="324"/>
    </row>
    <row r="586" spans="1:7" ht="20.100000000000001" customHeight="1">
      <c r="A586" s="290"/>
      <c r="B586" s="258"/>
      <c r="C586" s="258"/>
      <c r="D586" s="258"/>
      <c r="E586" s="258"/>
      <c r="F586" s="324"/>
      <c r="G586" s="324"/>
    </row>
    <row r="587" spans="1:7" ht="20.100000000000001" customHeight="1">
      <c r="A587" s="290"/>
      <c r="B587" s="258"/>
      <c r="C587" s="258"/>
      <c r="D587" s="258"/>
      <c r="E587" s="258"/>
      <c r="F587" s="324"/>
      <c r="G587" s="324"/>
    </row>
    <row r="588" spans="1:7" ht="20.100000000000001" customHeight="1">
      <c r="A588" s="290"/>
      <c r="B588" s="258"/>
      <c r="C588" s="258"/>
      <c r="D588" s="258"/>
      <c r="E588" s="258"/>
      <c r="F588" s="324"/>
      <c r="G588" s="324"/>
    </row>
    <row r="589" spans="1:7" ht="20.100000000000001" customHeight="1">
      <c r="A589" s="290"/>
      <c r="B589" s="258"/>
      <c r="C589" s="258"/>
      <c r="D589" s="258"/>
      <c r="E589" s="258"/>
      <c r="F589" s="324"/>
      <c r="G589" s="324"/>
    </row>
    <row r="590" spans="1:7" ht="20.100000000000001" customHeight="1">
      <c r="A590" s="290"/>
      <c r="B590" s="258"/>
      <c r="C590" s="258"/>
      <c r="D590" s="258"/>
      <c r="E590" s="258"/>
      <c r="F590" s="324"/>
      <c r="G590" s="324"/>
    </row>
    <row r="591" spans="1:7" ht="20.100000000000001" customHeight="1">
      <c r="A591" s="290"/>
      <c r="B591" s="258"/>
      <c r="C591" s="258"/>
      <c r="D591" s="258"/>
      <c r="E591" s="258"/>
      <c r="F591" s="324"/>
      <c r="G591" s="324"/>
    </row>
    <row r="592" spans="1:7" ht="20.100000000000001" customHeight="1">
      <c r="A592" s="290"/>
      <c r="B592" s="258"/>
      <c r="C592" s="258"/>
      <c r="D592" s="258"/>
      <c r="E592" s="258"/>
      <c r="F592" s="324"/>
      <c r="G592" s="324"/>
    </row>
    <row r="593" spans="1:7" ht="20.100000000000001" customHeight="1">
      <c r="A593" s="290"/>
      <c r="B593" s="258"/>
      <c r="C593" s="258"/>
      <c r="D593" s="258"/>
      <c r="E593" s="258"/>
      <c r="F593" s="324"/>
      <c r="G593" s="324"/>
    </row>
    <row r="594" spans="1:7" ht="20.100000000000001" customHeight="1">
      <c r="A594" s="290"/>
      <c r="B594" s="258"/>
      <c r="C594" s="258"/>
      <c r="D594" s="258"/>
      <c r="E594" s="258"/>
      <c r="F594" s="324"/>
      <c r="G594" s="324"/>
    </row>
    <row r="595" spans="1:7" ht="20.100000000000001" customHeight="1">
      <c r="A595" s="290"/>
      <c r="B595" s="258"/>
      <c r="C595" s="258"/>
      <c r="D595" s="258"/>
      <c r="E595" s="258"/>
      <c r="F595" s="324"/>
      <c r="G595" s="324"/>
    </row>
    <row r="596" spans="1:7" ht="20.100000000000001" customHeight="1">
      <c r="A596" s="290"/>
      <c r="B596" s="258"/>
      <c r="C596" s="258"/>
      <c r="D596" s="258"/>
      <c r="E596" s="258"/>
      <c r="F596" s="324"/>
      <c r="G596" s="324"/>
    </row>
    <row r="597" spans="1:7" ht="20.100000000000001" customHeight="1">
      <c r="A597" s="290"/>
      <c r="B597" s="258"/>
      <c r="C597" s="258"/>
      <c r="D597" s="258"/>
      <c r="E597" s="258"/>
      <c r="F597" s="324"/>
      <c r="G597" s="324"/>
    </row>
    <row r="598" spans="1:7" ht="20.100000000000001" customHeight="1">
      <c r="A598" s="290"/>
      <c r="B598" s="258"/>
      <c r="C598" s="258"/>
      <c r="D598" s="258"/>
      <c r="E598" s="258"/>
      <c r="F598" s="324"/>
      <c r="G598" s="324"/>
    </row>
    <row r="599" spans="1:7" ht="20.100000000000001" customHeight="1">
      <c r="A599" s="290"/>
      <c r="B599" s="258"/>
      <c r="C599" s="258"/>
      <c r="D599" s="258"/>
      <c r="E599" s="258"/>
      <c r="F599" s="324"/>
      <c r="G599" s="324"/>
    </row>
    <row r="600" spans="1:7" ht="20.100000000000001" customHeight="1">
      <c r="A600" s="290"/>
      <c r="B600" s="258"/>
      <c r="C600" s="258"/>
      <c r="D600" s="258"/>
      <c r="E600" s="258"/>
      <c r="F600" s="324"/>
      <c r="G600" s="324"/>
    </row>
    <row r="601" spans="1:7" ht="20.100000000000001" customHeight="1">
      <c r="A601" s="290"/>
      <c r="B601" s="258"/>
      <c r="C601" s="258"/>
      <c r="D601" s="258"/>
      <c r="E601" s="258"/>
      <c r="F601" s="324"/>
      <c r="G601" s="324"/>
    </row>
    <row r="602" spans="1:7" ht="20.100000000000001" customHeight="1">
      <c r="A602" s="290"/>
      <c r="B602" s="258"/>
      <c r="C602" s="258"/>
      <c r="D602" s="258"/>
      <c r="E602" s="258"/>
      <c r="F602" s="324"/>
      <c r="G602" s="324"/>
    </row>
    <row r="603" spans="1:7" ht="20.100000000000001" customHeight="1">
      <c r="A603" s="290"/>
      <c r="B603" s="258"/>
      <c r="C603" s="258"/>
      <c r="D603" s="258"/>
      <c r="E603" s="258"/>
      <c r="F603" s="324"/>
      <c r="G603" s="324"/>
    </row>
    <row r="604" spans="1:7" ht="20.100000000000001" customHeight="1">
      <c r="A604" s="290"/>
      <c r="B604" s="258"/>
      <c r="C604" s="258"/>
      <c r="D604" s="258"/>
      <c r="E604" s="258"/>
      <c r="F604" s="324"/>
      <c r="G604" s="324"/>
    </row>
    <row r="605" spans="1:7" ht="20.100000000000001" customHeight="1">
      <c r="A605" s="290"/>
      <c r="B605" s="258"/>
      <c r="C605" s="258"/>
      <c r="D605" s="258"/>
      <c r="E605" s="258"/>
      <c r="F605" s="324"/>
      <c r="G605" s="324"/>
    </row>
    <row r="606" spans="1:7" ht="20.100000000000001" customHeight="1">
      <c r="A606" s="290"/>
      <c r="B606" s="258"/>
      <c r="C606" s="258"/>
      <c r="D606" s="258"/>
      <c r="E606" s="258"/>
      <c r="F606" s="324"/>
      <c r="G606" s="324"/>
    </row>
    <row r="607" spans="1:7" ht="20.100000000000001" customHeight="1">
      <c r="A607" s="290"/>
      <c r="B607" s="258"/>
      <c r="C607" s="258"/>
      <c r="D607" s="258"/>
      <c r="E607" s="258"/>
      <c r="F607" s="324"/>
      <c r="G607" s="324"/>
    </row>
    <row r="608" spans="1:7" ht="20.100000000000001" customHeight="1">
      <c r="A608" s="290"/>
      <c r="B608" s="258"/>
      <c r="C608" s="258"/>
      <c r="D608" s="258"/>
      <c r="E608" s="258"/>
      <c r="F608" s="324"/>
      <c r="G608" s="324"/>
    </row>
    <row r="609" spans="1:7" ht="20.100000000000001" customHeight="1">
      <c r="A609" s="290"/>
      <c r="B609" s="258"/>
      <c r="C609" s="258"/>
      <c r="D609" s="258"/>
      <c r="E609" s="258"/>
      <c r="F609" s="324"/>
      <c r="G609" s="324"/>
    </row>
    <row r="610" spans="1:7" ht="20.100000000000001" customHeight="1">
      <c r="A610" s="290"/>
      <c r="B610" s="258"/>
      <c r="C610" s="258"/>
      <c r="D610" s="258"/>
      <c r="E610" s="258"/>
      <c r="F610" s="324"/>
      <c r="G610" s="324"/>
    </row>
    <row r="611" spans="1:7" ht="20.100000000000001" customHeight="1">
      <c r="A611" s="290"/>
      <c r="B611" s="258"/>
      <c r="C611" s="258"/>
      <c r="D611" s="258"/>
      <c r="E611" s="258"/>
      <c r="F611" s="324"/>
      <c r="G611" s="324"/>
    </row>
    <row r="612" spans="1:7" ht="20.100000000000001" customHeight="1">
      <c r="A612" s="290"/>
      <c r="B612" s="258"/>
      <c r="C612" s="258"/>
      <c r="D612" s="258"/>
      <c r="E612" s="258"/>
      <c r="F612" s="324"/>
      <c r="G612" s="324"/>
    </row>
    <row r="613" spans="1:7" ht="20.100000000000001" customHeight="1">
      <c r="A613" s="290"/>
      <c r="B613" s="258"/>
      <c r="C613" s="258"/>
      <c r="D613" s="258"/>
      <c r="E613" s="258"/>
      <c r="F613" s="324"/>
      <c r="G613" s="324"/>
    </row>
    <row r="614" spans="1:7" ht="20.100000000000001" customHeight="1">
      <c r="A614" s="290"/>
      <c r="B614" s="258"/>
      <c r="C614" s="258"/>
      <c r="D614" s="258"/>
      <c r="E614" s="258"/>
      <c r="F614" s="324"/>
      <c r="G614" s="324"/>
    </row>
    <row r="615" spans="1:7" ht="20.100000000000001" customHeight="1">
      <c r="A615" s="290"/>
      <c r="B615" s="258"/>
      <c r="C615" s="258"/>
      <c r="D615" s="258"/>
      <c r="E615" s="258"/>
      <c r="F615" s="324"/>
      <c r="G615" s="324"/>
    </row>
    <row r="616" spans="1:7" ht="20.100000000000001" customHeight="1">
      <c r="A616" s="290"/>
      <c r="B616" s="258"/>
      <c r="C616" s="258"/>
      <c r="D616" s="258"/>
      <c r="E616" s="258"/>
      <c r="F616" s="324"/>
      <c r="G616" s="324"/>
    </row>
    <row r="617" spans="1:7" ht="20.100000000000001" customHeight="1">
      <c r="A617" s="290"/>
      <c r="B617" s="258"/>
      <c r="C617" s="258"/>
      <c r="D617" s="258"/>
      <c r="E617" s="258"/>
      <c r="F617" s="324"/>
      <c r="G617" s="324"/>
    </row>
    <row r="618" spans="1:7" ht="20.100000000000001" customHeight="1">
      <c r="A618" s="290"/>
      <c r="B618" s="258"/>
      <c r="C618" s="258"/>
      <c r="D618" s="258"/>
      <c r="E618" s="258"/>
      <c r="F618" s="324"/>
      <c r="G618" s="324"/>
    </row>
    <row r="619" spans="1:7" ht="20.100000000000001" customHeight="1">
      <c r="A619" s="290"/>
      <c r="B619" s="258"/>
      <c r="C619" s="258"/>
      <c r="D619" s="258"/>
      <c r="E619" s="258"/>
      <c r="F619" s="324"/>
      <c r="G619" s="324"/>
    </row>
    <row r="620" spans="1:7" ht="20.100000000000001" customHeight="1">
      <c r="A620" s="290"/>
      <c r="B620" s="258"/>
      <c r="C620" s="258"/>
      <c r="D620" s="258"/>
      <c r="E620" s="258"/>
      <c r="F620" s="324"/>
      <c r="G620" s="324"/>
    </row>
    <row r="621" spans="1:7" ht="20.100000000000001" customHeight="1">
      <c r="A621" s="290"/>
      <c r="B621" s="258"/>
      <c r="C621" s="258"/>
      <c r="D621" s="258"/>
      <c r="E621" s="258"/>
      <c r="F621" s="324"/>
      <c r="G621" s="324"/>
    </row>
    <row r="622" spans="1:7" ht="20.100000000000001" customHeight="1">
      <c r="A622" s="290"/>
      <c r="B622" s="258"/>
      <c r="C622" s="258"/>
      <c r="D622" s="258"/>
      <c r="E622" s="258"/>
      <c r="F622" s="324"/>
      <c r="G622" s="324"/>
    </row>
    <row r="623" spans="1:7" ht="20.100000000000001" customHeight="1">
      <c r="A623" s="290"/>
      <c r="B623" s="258"/>
      <c r="C623" s="258"/>
      <c r="D623" s="258"/>
      <c r="E623" s="258"/>
      <c r="F623" s="324"/>
      <c r="G623" s="324"/>
    </row>
    <row r="624" spans="1:7" ht="20.100000000000001" customHeight="1">
      <c r="A624" s="290"/>
      <c r="B624" s="258"/>
      <c r="C624" s="258"/>
      <c r="D624" s="258"/>
      <c r="E624" s="258"/>
      <c r="F624" s="324"/>
      <c r="G624" s="324"/>
    </row>
    <row r="625" spans="1:7" ht="20.100000000000001" customHeight="1">
      <c r="A625" s="290"/>
      <c r="B625" s="258"/>
      <c r="C625" s="258"/>
      <c r="D625" s="258"/>
      <c r="E625" s="258"/>
      <c r="F625" s="324"/>
      <c r="G625" s="324"/>
    </row>
    <row r="626" spans="1:7" ht="20.100000000000001" customHeight="1">
      <c r="A626" s="290"/>
      <c r="B626" s="258"/>
      <c r="C626" s="258"/>
      <c r="D626" s="258"/>
      <c r="E626" s="258"/>
      <c r="F626" s="324"/>
      <c r="G626" s="324"/>
    </row>
    <row r="627" spans="1:7" ht="20.100000000000001" customHeight="1">
      <c r="A627" s="290"/>
      <c r="B627" s="258"/>
      <c r="C627" s="258"/>
      <c r="D627" s="258"/>
      <c r="E627" s="258"/>
      <c r="F627" s="324"/>
      <c r="G627" s="324"/>
    </row>
    <row r="628" spans="1:7" ht="20.100000000000001" customHeight="1">
      <c r="A628" s="290"/>
      <c r="B628" s="258"/>
      <c r="C628" s="258"/>
      <c r="D628" s="258"/>
      <c r="E628" s="258"/>
      <c r="F628" s="324"/>
      <c r="G628" s="324"/>
    </row>
    <row r="629" spans="1:7" ht="20.100000000000001" customHeight="1">
      <c r="A629" s="290"/>
      <c r="B629" s="258"/>
      <c r="C629" s="258"/>
      <c r="D629" s="258"/>
      <c r="E629" s="258"/>
      <c r="F629" s="324"/>
      <c r="G629" s="324"/>
    </row>
    <row r="630" spans="1:7" ht="20.100000000000001" customHeight="1">
      <c r="A630" s="290"/>
      <c r="B630" s="258"/>
      <c r="C630" s="258"/>
      <c r="D630" s="258"/>
      <c r="E630" s="258"/>
      <c r="F630" s="324"/>
      <c r="G630" s="324"/>
    </row>
    <row r="631" spans="1:7" ht="20.100000000000001" customHeight="1">
      <c r="A631" s="290"/>
      <c r="B631" s="258"/>
      <c r="C631" s="258"/>
      <c r="D631" s="258"/>
      <c r="E631" s="258"/>
      <c r="F631" s="324"/>
      <c r="G631" s="324"/>
    </row>
    <row r="632" spans="1:7" ht="20.100000000000001" customHeight="1">
      <c r="A632" s="290"/>
      <c r="B632" s="258"/>
      <c r="C632" s="258"/>
      <c r="D632" s="258"/>
      <c r="E632" s="258"/>
      <c r="F632" s="324"/>
      <c r="G632" s="324"/>
    </row>
    <row r="633" spans="1:7" ht="20.100000000000001" customHeight="1">
      <c r="A633" s="290"/>
      <c r="B633" s="258"/>
      <c r="C633" s="258"/>
      <c r="D633" s="258"/>
      <c r="E633" s="258"/>
      <c r="F633" s="324"/>
      <c r="G633" s="324"/>
    </row>
    <row r="634" spans="1:7" ht="20.100000000000001" customHeight="1">
      <c r="A634" s="290"/>
      <c r="B634" s="258"/>
      <c r="C634" s="258"/>
      <c r="D634" s="258"/>
      <c r="E634" s="258"/>
      <c r="F634" s="324"/>
      <c r="G634" s="324"/>
    </row>
    <row r="635" spans="1:7" ht="20.100000000000001" customHeight="1">
      <c r="A635" s="290"/>
      <c r="B635" s="258"/>
      <c r="C635" s="258"/>
      <c r="D635" s="258"/>
      <c r="E635" s="258"/>
      <c r="F635" s="324"/>
      <c r="G635" s="324"/>
    </row>
    <row r="636" spans="1:7" ht="20.100000000000001" customHeight="1">
      <c r="A636" s="290"/>
      <c r="B636" s="258"/>
      <c r="C636" s="258"/>
      <c r="D636" s="258"/>
      <c r="E636" s="258"/>
      <c r="F636" s="324"/>
      <c r="G636" s="324"/>
    </row>
    <row r="637" spans="1:7" ht="20.100000000000001" customHeight="1">
      <c r="A637" s="290"/>
      <c r="B637" s="258"/>
      <c r="C637" s="258"/>
      <c r="D637" s="258"/>
      <c r="E637" s="258"/>
      <c r="F637" s="324"/>
      <c r="G637" s="324"/>
    </row>
    <row r="638" spans="1:7" ht="20.100000000000001" customHeight="1">
      <c r="A638" s="290"/>
      <c r="B638" s="258"/>
      <c r="C638" s="258"/>
      <c r="D638" s="258"/>
      <c r="E638" s="258"/>
      <c r="F638" s="324"/>
      <c r="G638" s="324"/>
    </row>
    <row r="639" spans="1:7" ht="20.100000000000001" customHeight="1">
      <c r="A639" s="290"/>
      <c r="B639" s="258"/>
      <c r="C639" s="258"/>
      <c r="D639" s="258"/>
      <c r="E639" s="258"/>
      <c r="F639" s="324"/>
      <c r="G639" s="324"/>
    </row>
    <row r="640" spans="1:7" ht="20.100000000000001" customHeight="1">
      <c r="A640" s="290"/>
      <c r="B640" s="258"/>
      <c r="C640" s="258"/>
      <c r="D640" s="258"/>
      <c r="E640" s="258"/>
      <c r="F640" s="324"/>
      <c r="G640" s="324"/>
    </row>
    <row r="641" spans="1:7" ht="20.100000000000001" customHeight="1">
      <c r="A641" s="290"/>
      <c r="B641" s="258"/>
      <c r="C641" s="258"/>
      <c r="D641" s="258"/>
      <c r="E641" s="258"/>
      <c r="F641" s="324"/>
      <c r="G641" s="324"/>
    </row>
    <row r="642" spans="1:7" ht="20.100000000000001" customHeight="1">
      <c r="A642" s="290"/>
      <c r="B642" s="258"/>
      <c r="C642" s="258"/>
      <c r="D642" s="258"/>
      <c r="E642" s="258"/>
      <c r="F642" s="324"/>
      <c r="G642" s="324"/>
    </row>
    <row r="643" spans="1:7" ht="20.100000000000001" customHeight="1">
      <c r="A643" s="290"/>
      <c r="B643" s="258"/>
      <c r="C643" s="258"/>
      <c r="D643" s="258"/>
      <c r="E643" s="258"/>
      <c r="F643" s="324"/>
      <c r="G643" s="324"/>
    </row>
    <row r="644" spans="1:7" ht="20.100000000000001" customHeight="1">
      <c r="A644" s="290"/>
      <c r="B644" s="258"/>
      <c r="C644" s="258"/>
      <c r="D644" s="258"/>
      <c r="E644" s="258"/>
      <c r="F644" s="324"/>
      <c r="G644" s="324"/>
    </row>
    <row r="645" spans="1:7" ht="20.100000000000001" customHeight="1">
      <c r="A645" s="290"/>
      <c r="B645" s="258"/>
      <c r="C645" s="258"/>
      <c r="D645" s="258"/>
      <c r="E645" s="258"/>
      <c r="F645" s="324"/>
      <c r="G645" s="324"/>
    </row>
    <row r="646" spans="1:7" ht="20.100000000000001" customHeight="1">
      <c r="A646" s="290"/>
      <c r="B646" s="258"/>
      <c r="C646" s="258"/>
      <c r="D646" s="258"/>
      <c r="E646" s="258"/>
      <c r="F646" s="324"/>
      <c r="G646" s="324"/>
    </row>
    <row r="647" spans="1:7" ht="20.100000000000001" customHeight="1">
      <c r="A647" s="290"/>
      <c r="B647" s="258"/>
      <c r="C647" s="258"/>
      <c r="D647" s="258"/>
      <c r="E647" s="258"/>
      <c r="F647" s="324"/>
      <c r="G647" s="324"/>
    </row>
    <row r="648" spans="1:7" ht="20.100000000000001" customHeight="1">
      <c r="A648" s="290"/>
      <c r="B648" s="258"/>
      <c r="C648" s="258"/>
      <c r="D648" s="258"/>
      <c r="E648" s="258"/>
      <c r="F648" s="324"/>
      <c r="G648" s="324"/>
    </row>
    <row r="649" spans="1:7" ht="20.100000000000001" customHeight="1">
      <c r="A649" s="290"/>
      <c r="B649" s="258"/>
      <c r="C649" s="258"/>
      <c r="D649" s="258"/>
      <c r="E649" s="258"/>
      <c r="F649" s="324"/>
      <c r="G649" s="324"/>
    </row>
    <row r="650" spans="1:7" ht="20.100000000000001" customHeight="1">
      <c r="A650" s="290"/>
      <c r="B650" s="258"/>
      <c r="C650" s="258"/>
      <c r="D650" s="258"/>
      <c r="E650" s="258"/>
      <c r="F650" s="324"/>
      <c r="G650" s="324"/>
    </row>
    <row r="651" spans="1:7" ht="20.100000000000001" customHeight="1">
      <c r="A651" s="290"/>
      <c r="B651" s="258"/>
      <c r="C651" s="258"/>
      <c r="D651" s="258"/>
      <c r="E651" s="258"/>
      <c r="F651" s="324"/>
      <c r="G651" s="324"/>
    </row>
    <row r="652" spans="1:7" ht="20.100000000000001" customHeight="1">
      <c r="A652" s="290"/>
      <c r="B652" s="258"/>
      <c r="C652" s="258"/>
      <c r="D652" s="258"/>
      <c r="E652" s="258"/>
      <c r="F652" s="324"/>
      <c r="G652" s="324"/>
    </row>
    <row r="653" spans="1:7" ht="20.100000000000001" customHeight="1">
      <c r="A653" s="290"/>
      <c r="B653" s="258"/>
      <c r="C653" s="258"/>
      <c r="D653" s="258"/>
      <c r="E653" s="258"/>
      <c r="F653" s="324"/>
      <c r="G653" s="324"/>
    </row>
    <row r="654" spans="1:7" ht="20.100000000000001" customHeight="1">
      <c r="A654" s="290"/>
      <c r="B654" s="258"/>
      <c r="C654" s="258"/>
      <c r="D654" s="258"/>
      <c r="E654" s="258"/>
      <c r="F654" s="324"/>
      <c r="G654" s="324"/>
    </row>
    <row r="655" spans="1:7" ht="20.100000000000001" customHeight="1">
      <c r="A655" s="290"/>
      <c r="B655" s="258"/>
      <c r="C655" s="258"/>
      <c r="D655" s="258"/>
      <c r="E655" s="258"/>
      <c r="F655" s="324"/>
      <c r="G655" s="324"/>
    </row>
    <row r="656" spans="1:7" ht="20.100000000000001" customHeight="1">
      <c r="A656" s="290"/>
      <c r="B656" s="258"/>
      <c r="C656" s="258"/>
      <c r="D656" s="258"/>
      <c r="E656" s="258"/>
      <c r="F656" s="324"/>
      <c r="G656" s="324"/>
    </row>
    <row r="657" spans="1:7" ht="20.100000000000001" customHeight="1">
      <c r="A657" s="290"/>
      <c r="B657" s="258"/>
      <c r="C657" s="258"/>
      <c r="D657" s="258"/>
      <c r="E657" s="258"/>
      <c r="F657" s="324"/>
      <c r="G657" s="324"/>
    </row>
    <row r="658" spans="1:7" ht="20.100000000000001" customHeight="1">
      <c r="A658" s="290"/>
      <c r="B658" s="258"/>
      <c r="C658" s="258"/>
      <c r="D658" s="258"/>
      <c r="E658" s="258"/>
      <c r="F658" s="324"/>
      <c r="G658" s="324"/>
    </row>
    <row r="659" spans="1:7" ht="20.100000000000001" customHeight="1">
      <c r="A659" s="290"/>
      <c r="B659" s="258"/>
      <c r="C659" s="258"/>
      <c r="D659" s="258"/>
      <c r="E659" s="258"/>
      <c r="F659" s="324"/>
      <c r="G659" s="324"/>
    </row>
    <row r="660" spans="1:7" ht="20.100000000000001" customHeight="1">
      <c r="A660" s="290"/>
      <c r="B660" s="258"/>
      <c r="C660" s="258"/>
      <c r="D660" s="258"/>
      <c r="E660" s="258"/>
      <c r="F660" s="324"/>
      <c r="G660" s="324"/>
    </row>
    <row r="661" spans="1:7" ht="20.100000000000001" customHeight="1">
      <c r="A661" s="290"/>
      <c r="B661" s="258"/>
      <c r="C661" s="258"/>
      <c r="D661" s="258"/>
      <c r="E661" s="258"/>
      <c r="F661" s="324"/>
      <c r="G661" s="324"/>
    </row>
    <row r="662" spans="1:7" ht="20.100000000000001" customHeight="1">
      <c r="A662" s="290"/>
      <c r="B662" s="258"/>
      <c r="C662" s="258"/>
      <c r="D662" s="258"/>
      <c r="E662" s="258"/>
      <c r="F662" s="324"/>
      <c r="G662" s="324"/>
    </row>
    <row r="663" spans="1:7" ht="20.100000000000001" customHeight="1">
      <c r="A663" s="290"/>
      <c r="B663" s="258"/>
      <c r="C663" s="258"/>
      <c r="D663" s="258"/>
      <c r="E663" s="258"/>
      <c r="F663" s="324"/>
      <c r="G663" s="324"/>
    </row>
    <row r="664" spans="1:7" ht="20.100000000000001" customHeight="1">
      <c r="A664" s="290"/>
      <c r="B664" s="258"/>
      <c r="C664" s="258"/>
      <c r="D664" s="258"/>
      <c r="E664" s="258"/>
      <c r="F664" s="324"/>
      <c r="G664" s="324"/>
    </row>
    <row r="665" spans="1:7" ht="20.100000000000001" customHeight="1">
      <c r="A665" s="290"/>
      <c r="B665" s="258"/>
      <c r="C665" s="258"/>
      <c r="D665" s="258"/>
      <c r="E665" s="258"/>
      <c r="F665" s="324"/>
      <c r="G665" s="324"/>
    </row>
    <row r="666" spans="1:7" ht="20.100000000000001" customHeight="1">
      <c r="A666" s="290"/>
      <c r="B666" s="258"/>
      <c r="C666" s="258"/>
      <c r="D666" s="258"/>
      <c r="E666" s="258"/>
      <c r="F666" s="324"/>
      <c r="G666" s="324"/>
    </row>
    <row r="667" spans="1:7" ht="20.100000000000001" customHeight="1">
      <c r="A667" s="290"/>
      <c r="B667" s="258"/>
      <c r="C667" s="258"/>
      <c r="D667" s="258"/>
      <c r="E667" s="258"/>
      <c r="F667" s="324"/>
      <c r="G667" s="324"/>
    </row>
    <row r="668" spans="1:7" ht="20.100000000000001" customHeight="1">
      <c r="A668" s="290"/>
      <c r="B668" s="258"/>
      <c r="C668" s="258"/>
      <c r="D668" s="258"/>
      <c r="E668" s="258"/>
      <c r="F668" s="324"/>
      <c r="G668" s="324"/>
    </row>
    <row r="669" spans="1:7" ht="20.100000000000001" customHeight="1">
      <c r="A669" s="290"/>
      <c r="B669" s="258"/>
      <c r="C669" s="258"/>
      <c r="D669" s="258"/>
      <c r="E669" s="258"/>
      <c r="F669" s="324"/>
      <c r="G669" s="324"/>
    </row>
    <row r="670" spans="1:7" ht="20.100000000000001" customHeight="1">
      <c r="A670" s="290"/>
      <c r="B670" s="258"/>
      <c r="C670" s="258"/>
      <c r="D670" s="258"/>
      <c r="E670" s="258"/>
      <c r="F670" s="324"/>
      <c r="G670" s="324"/>
    </row>
    <row r="671" spans="1:7" ht="20.100000000000001" customHeight="1">
      <c r="A671" s="290"/>
      <c r="B671" s="258"/>
      <c r="C671" s="258"/>
      <c r="D671" s="258"/>
      <c r="E671" s="258"/>
      <c r="F671" s="324"/>
      <c r="G671" s="324"/>
    </row>
    <row r="672" spans="1:7" ht="20.100000000000001" customHeight="1">
      <c r="A672" s="290"/>
      <c r="B672" s="258"/>
      <c r="C672" s="258"/>
      <c r="D672" s="258"/>
      <c r="E672" s="258"/>
      <c r="F672" s="324"/>
      <c r="G672" s="324"/>
    </row>
    <row r="673" spans="1:7" ht="20.100000000000001" customHeight="1">
      <c r="A673" s="290"/>
      <c r="B673" s="258"/>
      <c r="C673" s="258"/>
      <c r="D673" s="258"/>
      <c r="E673" s="258"/>
      <c r="F673" s="324"/>
      <c r="G673" s="324"/>
    </row>
    <row r="674" spans="1:7" ht="20.100000000000001" customHeight="1">
      <c r="A674" s="290"/>
      <c r="B674" s="258"/>
      <c r="C674" s="258"/>
      <c r="D674" s="258"/>
      <c r="E674" s="258"/>
      <c r="F674" s="324"/>
      <c r="G674" s="324"/>
    </row>
    <row r="675" spans="1:7" ht="20.100000000000001" customHeight="1">
      <c r="A675" s="290"/>
      <c r="B675" s="258"/>
      <c r="C675" s="258"/>
      <c r="D675" s="258"/>
      <c r="E675" s="258"/>
      <c r="F675" s="324"/>
      <c r="G675" s="324"/>
    </row>
    <row r="676" spans="1:7" ht="20.100000000000001" customHeight="1">
      <c r="A676" s="290"/>
      <c r="B676" s="258"/>
      <c r="C676" s="258"/>
      <c r="D676" s="258"/>
      <c r="E676" s="258"/>
      <c r="F676" s="324"/>
      <c r="G676" s="324"/>
    </row>
    <row r="677" spans="1:7" ht="20.100000000000001" customHeight="1">
      <c r="A677" s="290"/>
      <c r="B677" s="258"/>
      <c r="C677" s="258"/>
      <c r="D677" s="258"/>
      <c r="E677" s="258"/>
      <c r="F677" s="324"/>
      <c r="G677" s="324"/>
    </row>
    <row r="678" spans="1:7" ht="20.100000000000001" customHeight="1">
      <c r="A678" s="290"/>
      <c r="B678" s="258"/>
      <c r="C678" s="258"/>
      <c r="D678" s="258"/>
      <c r="E678" s="258"/>
      <c r="F678" s="324"/>
      <c r="G678" s="324"/>
    </row>
    <row r="679" spans="1:7" ht="20.100000000000001" customHeight="1">
      <c r="A679" s="290"/>
      <c r="B679" s="258"/>
      <c r="C679" s="258"/>
      <c r="D679" s="258"/>
      <c r="E679" s="258"/>
      <c r="F679" s="324"/>
      <c r="G679" s="324"/>
    </row>
    <row r="680" spans="1:7" ht="20.100000000000001" customHeight="1">
      <c r="A680" s="290"/>
      <c r="B680" s="258"/>
      <c r="C680" s="258"/>
      <c r="D680" s="258"/>
      <c r="E680" s="258"/>
      <c r="F680" s="324"/>
      <c r="G680" s="324"/>
    </row>
    <row r="681" spans="1:7" ht="20.100000000000001" customHeight="1">
      <c r="A681" s="290"/>
      <c r="B681" s="258"/>
      <c r="C681" s="258"/>
      <c r="D681" s="258"/>
      <c r="E681" s="258"/>
      <c r="F681" s="324"/>
      <c r="G681" s="324"/>
    </row>
    <row r="682" spans="1:7" ht="20.100000000000001" customHeight="1">
      <c r="A682" s="290"/>
      <c r="B682" s="258"/>
      <c r="C682" s="258"/>
      <c r="D682" s="258"/>
      <c r="E682" s="258"/>
      <c r="F682" s="324"/>
      <c r="G682" s="324"/>
    </row>
    <row r="683" spans="1:7" ht="20.100000000000001" customHeight="1">
      <c r="A683" s="290"/>
      <c r="B683" s="258"/>
      <c r="C683" s="258"/>
      <c r="D683" s="258"/>
      <c r="E683" s="258"/>
      <c r="F683" s="324"/>
      <c r="G683" s="324"/>
    </row>
    <row r="684" spans="1:7" ht="20.100000000000001" customHeight="1">
      <c r="A684" s="290"/>
      <c r="B684" s="258"/>
      <c r="C684" s="258"/>
      <c r="D684" s="258"/>
      <c r="E684" s="258"/>
      <c r="F684" s="324"/>
      <c r="G684" s="324"/>
    </row>
    <row r="685" spans="1:7" ht="20.100000000000001" customHeight="1">
      <c r="A685" s="290"/>
      <c r="B685" s="258"/>
      <c r="C685" s="258"/>
      <c r="D685" s="258"/>
      <c r="E685" s="258"/>
      <c r="F685" s="324"/>
      <c r="G685" s="324"/>
    </row>
    <row r="686" spans="1:7" ht="20.100000000000001" customHeight="1">
      <c r="A686" s="290"/>
      <c r="B686" s="258"/>
      <c r="C686" s="258"/>
      <c r="D686" s="258"/>
      <c r="E686" s="258"/>
      <c r="F686" s="324"/>
      <c r="G686" s="324"/>
    </row>
    <row r="687" spans="1:7" ht="20.100000000000001" customHeight="1">
      <c r="A687" s="290"/>
      <c r="B687" s="258"/>
      <c r="C687" s="258"/>
      <c r="D687" s="258"/>
      <c r="E687" s="258"/>
      <c r="F687" s="324"/>
      <c r="G687" s="324"/>
    </row>
    <row r="688" spans="1:7" ht="20.100000000000001" customHeight="1">
      <c r="A688" s="290"/>
      <c r="B688" s="258"/>
      <c r="C688" s="258"/>
      <c r="D688" s="258"/>
      <c r="E688" s="258"/>
      <c r="F688" s="324"/>
      <c r="G688" s="324"/>
    </row>
    <row r="689" spans="1:7" ht="20.100000000000001" customHeight="1">
      <c r="A689" s="290"/>
      <c r="B689" s="258"/>
      <c r="C689" s="258"/>
      <c r="D689" s="258"/>
      <c r="E689" s="258"/>
      <c r="F689" s="324"/>
      <c r="G689" s="324"/>
    </row>
    <row r="690" spans="1:7" ht="20.100000000000001" customHeight="1">
      <c r="A690" s="290"/>
      <c r="B690" s="258"/>
      <c r="C690" s="258"/>
      <c r="D690" s="258"/>
      <c r="E690" s="258"/>
      <c r="F690" s="324"/>
      <c r="G690" s="324"/>
    </row>
    <row r="691" spans="1:7" ht="20.100000000000001" customHeight="1">
      <c r="A691" s="290"/>
      <c r="B691" s="258"/>
      <c r="C691" s="258"/>
      <c r="D691" s="258"/>
      <c r="E691" s="258"/>
      <c r="F691" s="324"/>
      <c r="G691" s="324"/>
    </row>
    <row r="692" spans="1:7" ht="20.100000000000001" customHeight="1">
      <c r="A692" s="290"/>
      <c r="B692" s="258"/>
      <c r="C692" s="258"/>
      <c r="D692" s="258"/>
      <c r="E692" s="258"/>
      <c r="F692" s="324"/>
      <c r="G692" s="324"/>
    </row>
    <row r="693" spans="1:7" ht="20.100000000000001" customHeight="1">
      <c r="A693" s="290"/>
      <c r="B693" s="258"/>
      <c r="C693" s="258"/>
      <c r="D693" s="258"/>
      <c r="E693" s="258"/>
      <c r="F693" s="324"/>
      <c r="G693" s="324"/>
    </row>
    <row r="694" spans="1:7" ht="20.100000000000001" customHeight="1">
      <c r="A694" s="290"/>
      <c r="B694" s="258"/>
      <c r="C694" s="258"/>
      <c r="D694" s="258"/>
      <c r="E694" s="258"/>
      <c r="F694" s="324"/>
      <c r="G694" s="324"/>
    </row>
    <row r="695" spans="1:7" ht="20.100000000000001" customHeight="1">
      <c r="A695" s="290"/>
      <c r="B695" s="258"/>
      <c r="C695" s="258"/>
      <c r="D695" s="258"/>
      <c r="E695" s="258"/>
      <c r="F695" s="324"/>
      <c r="G695" s="324"/>
    </row>
    <row r="696" spans="1:7" ht="20.100000000000001" customHeight="1">
      <c r="A696" s="290"/>
      <c r="B696" s="258"/>
      <c r="C696" s="258"/>
      <c r="D696" s="258"/>
      <c r="E696" s="258"/>
      <c r="F696" s="324"/>
      <c r="G696" s="324"/>
    </row>
    <row r="697" spans="1:7" ht="20.100000000000001" customHeight="1">
      <c r="A697" s="290"/>
      <c r="B697" s="258"/>
      <c r="C697" s="258"/>
      <c r="D697" s="258"/>
      <c r="E697" s="258"/>
      <c r="F697" s="324"/>
      <c r="G697" s="324"/>
    </row>
    <row r="698" spans="1:7" ht="20.100000000000001" customHeight="1">
      <c r="A698" s="290"/>
      <c r="B698" s="258"/>
      <c r="C698" s="258"/>
      <c r="D698" s="258"/>
      <c r="E698" s="258"/>
      <c r="F698" s="324"/>
      <c r="G698" s="324"/>
    </row>
    <row r="699" spans="1:7" ht="20.100000000000001" customHeight="1">
      <c r="A699" s="290"/>
      <c r="B699" s="258"/>
      <c r="C699" s="258"/>
      <c r="D699" s="258"/>
      <c r="E699" s="258"/>
      <c r="F699" s="324"/>
      <c r="G699" s="324"/>
    </row>
    <row r="700" spans="1:7" ht="20.100000000000001" customHeight="1">
      <c r="A700" s="290"/>
      <c r="B700" s="258"/>
      <c r="C700" s="258"/>
      <c r="D700" s="258"/>
      <c r="E700" s="258"/>
      <c r="F700" s="324"/>
      <c r="G700" s="324"/>
    </row>
    <row r="701" spans="1:7" ht="20.100000000000001" customHeight="1">
      <c r="A701" s="290"/>
      <c r="B701" s="258"/>
      <c r="C701" s="258"/>
      <c r="D701" s="258"/>
      <c r="E701" s="258"/>
      <c r="F701" s="324"/>
      <c r="G701" s="324"/>
    </row>
    <row r="702" spans="1:7" ht="20.100000000000001" customHeight="1">
      <c r="A702" s="290"/>
      <c r="B702" s="258"/>
      <c r="C702" s="258"/>
      <c r="D702" s="258"/>
      <c r="E702" s="258"/>
      <c r="F702" s="324"/>
      <c r="G702" s="324"/>
    </row>
    <row r="703" spans="1:7" ht="20.100000000000001" customHeight="1">
      <c r="A703" s="290"/>
      <c r="B703" s="258"/>
      <c r="C703" s="258"/>
      <c r="D703" s="258"/>
      <c r="E703" s="258"/>
      <c r="F703" s="324"/>
      <c r="G703" s="324"/>
    </row>
    <row r="704" spans="1:7" ht="20.100000000000001" customHeight="1">
      <c r="A704" s="290"/>
      <c r="B704" s="258"/>
      <c r="C704" s="258"/>
      <c r="D704" s="258"/>
      <c r="E704" s="258"/>
      <c r="F704" s="324"/>
      <c r="G704" s="324"/>
    </row>
    <row r="705" spans="1:7" ht="20.100000000000001" customHeight="1">
      <c r="A705" s="290"/>
      <c r="B705" s="258"/>
      <c r="C705" s="258"/>
      <c r="D705" s="258"/>
      <c r="E705" s="258"/>
      <c r="F705" s="324"/>
      <c r="G705" s="324"/>
    </row>
    <row r="706" spans="1:7" ht="20.100000000000001" customHeight="1">
      <c r="A706" s="290"/>
      <c r="B706" s="258"/>
      <c r="C706" s="258"/>
      <c r="D706" s="258"/>
      <c r="E706" s="258"/>
      <c r="F706" s="324"/>
      <c r="G706" s="324"/>
    </row>
    <row r="707" spans="1:7" ht="20.100000000000001" customHeight="1">
      <c r="A707" s="290"/>
      <c r="B707" s="258"/>
      <c r="C707" s="258"/>
      <c r="D707" s="258"/>
      <c r="E707" s="258"/>
      <c r="F707" s="324"/>
      <c r="G707" s="324"/>
    </row>
    <row r="708" spans="1:7" ht="20.100000000000001" customHeight="1">
      <c r="A708" s="290"/>
      <c r="B708" s="258"/>
      <c r="C708" s="258"/>
      <c r="D708" s="258"/>
      <c r="E708" s="258"/>
      <c r="F708" s="324"/>
      <c r="G708" s="324"/>
    </row>
    <row r="709" spans="1:7" ht="20.100000000000001" customHeight="1">
      <c r="A709" s="290"/>
      <c r="B709" s="258"/>
      <c r="C709" s="258"/>
      <c r="D709" s="258"/>
      <c r="E709" s="258"/>
      <c r="F709" s="324"/>
      <c r="G709" s="324"/>
    </row>
    <row r="710" spans="1:7" ht="20.100000000000001" customHeight="1">
      <c r="A710" s="290"/>
      <c r="B710" s="258"/>
      <c r="C710" s="258"/>
      <c r="D710" s="258"/>
      <c r="E710" s="258"/>
      <c r="F710" s="324"/>
      <c r="G710" s="324"/>
    </row>
    <row r="711" spans="1:7" ht="20.100000000000001" customHeight="1">
      <c r="A711" s="290"/>
      <c r="B711" s="258"/>
      <c r="C711" s="258"/>
      <c r="D711" s="258"/>
      <c r="E711" s="258"/>
      <c r="F711" s="324"/>
      <c r="G711" s="324"/>
    </row>
    <row r="712" spans="1:7" ht="20.100000000000001" customHeight="1">
      <c r="A712" s="290"/>
      <c r="B712" s="258"/>
      <c r="C712" s="258"/>
      <c r="D712" s="258"/>
      <c r="E712" s="258"/>
      <c r="F712" s="324"/>
      <c r="G712" s="324"/>
    </row>
    <row r="713" spans="1:7" ht="20.100000000000001" customHeight="1">
      <c r="A713" s="290"/>
      <c r="B713" s="258"/>
      <c r="C713" s="258"/>
      <c r="D713" s="258"/>
      <c r="E713" s="258"/>
      <c r="F713" s="324"/>
      <c r="G713" s="324"/>
    </row>
    <row r="714" spans="1:7" ht="20.100000000000001" customHeight="1">
      <c r="A714" s="290"/>
      <c r="B714" s="258"/>
      <c r="C714" s="258"/>
      <c r="D714" s="258"/>
      <c r="E714" s="258"/>
      <c r="F714" s="324"/>
      <c r="G714" s="324"/>
    </row>
    <row r="715" spans="1:7" ht="20.100000000000001" customHeight="1">
      <c r="A715" s="290"/>
      <c r="B715" s="258"/>
      <c r="C715" s="258"/>
      <c r="D715" s="258"/>
      <c r="E715" s="258"/>
      <c r="F715" s="324"/>
      <c r="G715" s="324"/>
    </row>
    <row r="716" spans="1:7" ht="20.100000000000001" customHeight="1">
      <c r="A716" s="290"/>
      <c r="B716" s="258"/>
      <c r="C716" s="258"/>
      <c r="D716" s="258"/>
      <c r="E716" s="258"/>
      <c r="F716" s="324"/>
      <c r="G716" s="324"/>
    </row>
    <row r="717" spans="1:7" ht="20.100000000000001" customHeight="1">
      <c r="A717" s="290"/>
      <c r="B717" s="258"/>
      <c r="C717" s="258"/>
      <c r="D717" s="258"/>
      <c r="E717" s="258"/>
      <c r="F717" s="324"/>
      <c r="G717" s="324"/>
    </row>
    <row r="718" spans="1:7" ht="20.100000000000001" customHeight="1">
      <c r="A718" s="290"/>
      <c r="B718" s="258"/>
      <c r="C718" s="258"/>
      <c r="D718" s="258"/>
      <c r="E718" s="258"/>
      <c r="F718" s="324"/>
      <c r="G718" s="324"/>
    </row>
    <row r="719" spans="1:7" ht="20.100000000000001" customHeight="1">
      <c r="A719" s="290"/>
      <c r="B719" s="258"/>
      <c r="C719" s="258"/>
      <c r="D719" s="258"/>
      <c r="E719" s="258"/>
      <c r="F719" s="324"/>
      <c r="G719" s="324"/>
    </row>
    <row r="720" spans="1:7" ht="20.100000000000001" customHeight="1">
      <c r="A720" s="290"/>
      <c r="B720" s="258"/>
      <c r="C720" s="258"/>
      <c r="D720" s="258"/>
      <c r="E720" s="258"/>
      <c r="F720" s="324"/>
      <c r="G720" s="324"/>
    </row>
    <row r="721" spans="1:7" ht="20.100000000000001" customHeight="1">
      <c r="A721" s="290"/>
      <c r="B721" s="258"/>
      <c r="C721" s="258"/>
      <c r="D721" s="258"/>
      <c r="E721" s="258"/>
      <c r="F721" s="324"/>
      <c r="G721" s="324"/>
    </row>
    <row r="722" spans="1:7" ht="20.100000000000001" customHeight="1">
      <c r="A722" s="290"/>
      <c r="B722" s="258"/>
      <c r="C722" s="258"/>
      <c r="D722" s="258"/>
      <c r="E722" s="258"/>
      <c r="F722" s="324"/>
      <c r="G722" s="324"/>
    </row>
    <row r="723" spans="1:7" ht="20.100000000000001" customHeight="1">
      <c r="A723" s="290"/>
      <c r="B723" s="258"/>
      <c r="C723" s="258"/>
      <c r="D723" s="258"/>
      <c r="E723" s="258"/>
      <c r="F723" s="324"/>
      <c r="G723" s="324"/>
    </row>
    <row r="724" spans="1:7" ht="20.100000000000001" customHeight="1">
      <c r="A724" s="290"/>
      <c r="B724" s="258"/>
      <c r="C724" s="258"/>
      <c r="D724" s="258"/>
      <c r="E724" s="258"/>
      <c r="F724" s="324"/>
      <c r="G724" s="324"/>
    </row>
    <row r="725" spans="1:7" ht="20.100000000000001" customHeight="1">
      <c r="A725" s="290"/>
      <c r="B725" s="258"/>
      <c r="C725" s="258"/>
      <c r="D725" s="258"/>
      <c r="E725" s="258"/>
      <c r="F725" s="324"/>
      <c r="G725" s="324"/>
    </row>
    <row r="726" spans="1:7" ht="20.100000000000001" customHeight="1">
      <c r="A726" s="290"/>
      <c r="B726" s="258"/>
      <c r="C726" s="258"/>
      <c r="D726" s="258"/>
      <c r="E726" s="258"/>
      <c r="F726" s="324"/>
      <c r="G726" s="324"/>
    </row>
    <row r="727" spans="1:7" ht="20.100000000000001" customHeight="1">
      <c r="A727" s="290"/>
      <c r="B727" s="258"/>
      <c r="C727" s="258"/>
      <c r="D727" s="258"/>
      <c r="E727" s="258"/>
      <c r="F727" s="324"/>
      <c r="G727" s="324"/>
    </row>
    <row r="728" spans="1:7" ht="20.100000000000001" customHeight="1">
      <c r="A728" s="290"/>
      <c r="B728" s="258"/>
      <c r="C728" s="258"/>
      <c r="D728" s="258"/>
      <c r="E728" s="258"/>
      <c r="F728" s="324"/>
      <c r="G728" s="324"/>
    </row>
    <row r="729" spans="1:7" ht="20.100000000000001" customHeight="1">
      <c r="A729" s="290"/>
      <c r="B729" s="258"/>
      <c r="C729" s="258"/>
      <c r="D729" s="258"/>
      <c r="E729" s="258"/>
      <c r="F729" s="324"/>
      <c r="G729" s="324"/>
    </row>
    <row r="730" spans="1:7" ht="20.100000000000001" customHeight="1">
      <c r="A730" s="290"/>
      <c r="B730" s="258"/>
      <c r="C730" s="258"/>
      <c r="D730" s="258"/>
      <c r="E730" s="258"/>
      <c r="F730" s="324"/>
      <c r="G730" s="324"/>
    </row>
    <row r="731" spans="1:7" ht="20.100000000000001" customHeight="1">
      <c r="A731" s="290"/>
      <c r="B731" s="258"/>
      <c r="C731" s="258"/>
      <c r="D731" s="258"/>
      <c r="E731" s="258"/>
      <c r="F731" s="324"/>
      <c r="G731" s="324"/>
    </row>
    <row r="732" spans="1:7" ht="20.100000000000001" customHeight="1">
      <c r="A732" s="290"/>
      <c r="B732" s="258"/>
      <c r="C732" s="258"/>
      <c r="D732" s="258"/>
      <c r="E732" s="258"/>
      <c r="F732" s="324"/>
      <c r="G732" s="324"/>
    </row>
    <row r="733" spans="1:7" ht="20.100000000000001" customHeight="1">
      <c r="A733" s="290"/>
      <c r="B733" s="258"/>
      <c r="C733" s="258"/>
      <c r="D733" s="258"/>
      <c r="E733" s="258"/>
      <c r="F733" s="324"/>
      <c r="G733" s="324"/>
    </row>
    <row r="734" spans="1:7" ht="20.100000000000001" customHeight="1">
      <c r="A734" s="290"/>
      <c r="B734" s="258"/>
      <c r="C734" s="258"/>
      <c r="D734" s="258"/>
      <c r="E734" s="258"/>
      <c r="F734" s="324"/>
      <c r="G734" s="324"/>
    </row>
    <row r="735" spans="1:7" ht="20.100000000000001" customHeight="1">
      <c r="A735" s="290"/>
      <c r="B735" s="258"/>
      <c r="C735" s="258"/>
      <c r="D735" s="258"/>
      <c r="E735" s="258"/>
      <c r="F735" s="324"/>
      <c r="G735" s="324"/>
    </row>
    <row r="736" spans="1:7" ht="20.100000000000001" customHeight="1">
      <c r="A736" s="290"/>
      <c r="B736" s="258"/>
      <c r="C736" s="258"/>
      <c r="D736" s="258"/>
      <c r="E736" s="258"/>
      <c r="F736" s="324"/>
      <c r="G736" s="324"/>
    </row>
    <row r="737" spans="1:7" ht="20.100000000000001" customHeight="1">
      <c r="A737" s="290"/>
      <c r="B737" s="258"/>
      <c r="C737" s="258"/>
      <c r="D737" s="258"/>
      <c r="E737" s="258"/>
      <c r="F737" s="324"/>
      <c r="G737" s="324"/>
    </row>
    <row r="738" spans="1:7" ht="20.100000000000001" customHeight="1">
      <c r="A738" s="290"/>
      <c r="B738" s="258"/>
      <c r="C738" s="258"/>
      <c r="D738" s="258"/>
      <c r="E738" s="258"/>
      <c r="F738" s="324"/>
      <c r="G738" s="324"/>
    </row>
    <row r="739" spans="1:7" ht="20.100000000000001" customHeight="1">
      <c r="A739" s="290"/>
      <c r="B739" s="258"/>
      <c r="C739" s="258"/>
      <c r="D739" s="258"/>
      <c r="E739" s="258"/>
      <c r="F739" s="324"/>
      <c r="G739" s="324"/>
    </row>
    <row r="740" spans="1:7" ht="20.100000000000001" customHeight="1">
      <c r="A740" s="290"/>
      <c r="B740" s="258"/>
      <c r="C740" s="258"/>
      <c r="D740" s="258"/>
      <c r="E740" s="258"/>
      <c r="F740" s="324"/>
      <c r="G740" s="324"/>
    </row>
    <row r="741" spans="1:7" ht="20.100000000000001" customHeight="1">
      <c r="A741" s="290"/>
      <c r="B741" s="258"/>
      <c r="C741" s="258"/>
      <c r="D741" s="258"/>
      <c r="E741" s="258"/>
      <c r="F741" s="324"/>
      <c r="G741" s="324"/>
    </row>
    <row r="742" spans="1:7" ht="20.100000000000001" customHeight="1">
      <c r="A742" s="290"/>
      <c r="B742" s="258"/>
      <c r="C742" s="258"/>
      <c r="D742" s="258"/>
      <c r="E742" s="258"/>
      <c r="F742" s="324"/>
      <c r="G742" s="324"/>
    </row>
    <row r="743" spans="1:7" ht="20.100000000000001" customHeight="1">
      <c r="A743" s="290"/>
      <c r="B743" s="258"/>
      <c r="C743" s="258"/>
      <c r="D743" s="258"/>
      <c r="E743" s="258"/>
      <c r="F743" s="324"/>
      <c r="G743" s="324"/>
    </row>
    <row r="744" spans="1:7" ht="20.100000000000001" customHeight="1">
      <c r="A744" s="290"/>
      <c r="B744" s="258"/>
      <c r="C744" s="258"/>
      <c r="D744" s="258"/>
      <c r="E744" s="258"/>
      <c r="F744" s="324"/>
      <c r="G744" s="324"/>
    </row>
    <row r="745" spans="1:7" ht="20.100000000000001" customHeight="1">
      <c r="A745" s="290"/>
      <c r="B745" s="258"/>
      <c r="C745" s="258"/>
      <c r="D745" s="258"/>
      <c r="E745" s="258"/>
      <c r="F745" s="324"/>
      <c r="G745" s="324"/>
    </row>
    <row r="746" spans="1:7" ht="20.100000000000001" customHeight="1">
      <c r="A746" s="290"/>
      <c r="B746" s="258"/>
      <c r="C746" s="258"/>
      <c r="D746" s="258"/>
      <c r="E746" s="258"/>
      <c r="F746" s="324"/>
      <c r="G746" s="324"/>
    </row>
    <row r="747" spans="1:7" ht="20.100000000000001" customHeight="1">
      <c r="A747" s="290"/>
      <c r="B747" s="258"/>
      <c r="C747" s="258"/>
      <c r="D747" s="258"/>
      <c r="E747" s="258"/>
      <c r="F747" s="324"/>
      <c r="G747" s="324"/>
    </row>
    <row r="748" spans="1:7" ht="20.100000000000001" customHeight="1">
      <c r="A748" s="290"/>
      <c r="B748" s="258"/>
      <c r="C748" s="258"/>
      <c r="D748" s="258"/>
      <c r="E748" s="258"/>
      <c r="F748" s="324"/>
      <c r="G748" s="324"/>
    </row>
    <row r="749" spans="1:7" ht="20.100000000000001" customHeight="1">
      <c r="A749" s="290"/>
      <c r="B749" s="258"/>
      <c r="C749" s="258"/>
      <c r="D749" s="258"/>
      <c r="E749" s="258"/>
      <c r="F749" s="324"/>
      <c r="G749" s="324"/>
    </row>
    <row r="750" spans="1:7" ht="20.100000000000001" customHeight="1">
      <c r="A750" s="290"/>
      <c r="B750" s="258"/>
      <c r="C750" s="258"/>
      <c r="D750" s="258"/>
      <c r="E750" s="258"/>
      <c r="F750" s="324"/>
      <c r="G750" s="324"/>
    </row>
    <row r="751" spans="1:7" ht="20.100000000000001" customHeight="1">
      <c r="A751" s="290"/>
      <c r="B751" s="258"/>
      <c r="C751" s="258"/>
      <c r="D751" s="258"/>
      <c r="E751" s="258"/>
      <c r="F751" s="324"/>
      <c r="G751" s="324"/>
    </row>
    <row r="752" spans="1:7" ht="20.100000000000001" customHeight="1">
      <c r="A752" s="290"/>
      <c r="B752" s="258"/>
      <c r="C752" s="258"/>
      <c r="D752" s="258"/>
      <c r="E752" s="258"/>
      <c r="F752" s="324"/>
      <c r="G752" s="324"/>
    </row>
    <row r="753" spans="1:7" ht="20.100000000000001" customHeight="1">
      <c r="A753" s="290"/>
      <c r="B753" s="258"/>
      <c r="C753" s="258"/>
      <c r="D753" s="258"/>
      <c r="E753" s="258"/>
      <c r="F753" s="324"/>
      <c r="G753" s="324"/>
    </row>
    <row r="754" spans="1:7" ht="20.100000000000001" customHeight="1">
      <c r="A754" s="290"/>
      <c r="B754" s="258"/>
      <c r="C754" s="258"/>
      <c r="D754" s="258"/>
      <c r="E754" s="258"/>
      <c r="F754" s="324"/>
      <c r="G754" s="324"/>
    </row>
    <row r="755" spans="1:7" ht="20.100000000000001" customHeight="1">
      <c r="A755" s="290"/>
      <c r="B755" s="258"/>
      <c r="C755" s="258"/>
      <c r="D755" s="258"/>
      <c r="E755" s="258"/>
      <c r="F755" s="324"/>
      <c r="G755" s="324"/>
    </row>
    <row r="756" spans="1:7" ht="20.100000000000001" customHeight="1">
      <c r="A756" s="290"/>
      <c r="B756" s="258"/>
      <c r="C756" s="258"/>
      <c r="D756" s="258"/>
      <c r="E756" s="258"/>
      <c r="F756" s="324"/>
      <c r="G756" s="324"/>
    </row>
    <row r="757" spans="1:7" ht="20.100000000000001" customHeight="1">
      <c r="A757" s="290"/>
      <c r="B757" s="258"/>
      <c r="C757" s="258"/>
      <c r="D757" s="258"/>
      <c r="E757" s="258"/>
      <c r="F757" s="324"/>
      <c r="G757" s="324"/>
    </row>
    <row r="758" spans="1:7" ht="20.100000000000001" customHeight="1">
      <c r="A758" s="290"/>
      <c r="B758" s="258"/>
      <c r="C758" s="258"/>
      <c r="D758" s="258"/>
      <c r="E758" s="258"/>
      <c r="F758" s="324"/>
      <c r="G758" s="324"/>
    </row>
    <row r="759" spans="1:7" ht="20.100000000000001" customHeight="1">
      <c r="A759" s="290"/>
      <c r="B759" s="258"/>
      <c r="C759" s="258"/>
      <c r="D759" s="258"/>
      <c r="E759" s="258"/>
      <c r="F759" s="324"/>
      <c r="G759" s="324"/>
    </row>
    <row r="760" spans="1:7" ht="20.100000000000001" customHeight="1">
      <c r="A760" s="290"/>
      <c r="B760" s="258"/>
      <c r="C760" s="258"/>
      <c r="D760" s="258"/>
      <c r="E760" s="258"/>
      <c r="F760" s="324"/>
      <c r="G760" s="324"/>
    </row>
    <row r="761" spans="1:7" ht="20.100000000000001" customHeight="1">
      <c r="A761" s="290"/>
      <c r="B761" s="258"/>
      <c r="C761" s="258"/>
      <c r="D761" s="258"/>
      <c r="E761" s="258"/>
      <c r="F761" s="324"/>
      <c r="G761" s="324"/>
    </row>
    <row r="762" spans="1:7" ht="20.100000000000001" customHeight="1">
      <c r="A762" s="290"/>
      <c r="B762" s="258"/>
      <c r="C762" s="258"/>
      <c r="D762" s="258"/>
      <c r="E762" s="258"/>
      <c r="F762" s="324"/>
      <c r="G762" s="324"/>
    </row>
    <row r="763" spans="1:7" ht="20.100000000000001" customHeight="1">
      <c r="A763" s="290"/>
      <c r="B763" s="258"/>
      <c r="C763" s="258"/>
      <c r="D763" s="258"/>
      <c r="E763" s="258"/>
      <c r="F763" s="324"/>
      <c r="G763" s="324"/>
    </row>
    <row r="764" spans="1:7" ht="20.100000000000001" customHeight="1">
      <c r="A764" s="290"/>
      <c r="B764" s="258"/>
      <c r="C764" s="258"/>
      <c r="D764" s="258"/>
      <c r="E764" s="258"/>
      <c r="F764" s="324"/>
      <c r="G764" s="324"/>
    </row>
    <row r="765" spans="1:7" ht="20.100000000000001" customHeight="1">
      <c r="A765" s="290"/>
      <c r="B765" s="258"/>
      <c r="C765" s="258"/>
      <c r="D765" s="258"/>
      <c r="E765" s="258"/>
      <c r="F765" s="324"/>
      <c r="G765" s="324"/>
    </row>
    <row r="766" spans="1:7" ht="20.100000000000001" customHeight="1">
      <c r="A766" s="290"/>
      <c r="B766" s="258"/>
      <c r="C766" s="258"/>
      <c r="D766" s="258"/>
      <c r="E766" s="258"/>
      <c r="F766" s="324"/>
      <c r="G766" s="324"/>
    </row>
    <row r="767" spans="1:7" ht="20.100000000000001" customHeight="1">
      <c r="A767" s="290"/>
      <c r="B767" s="258"/>
      <c r="C767" s="258"/>
      <c r="D767" s="258"/>
      <c r="E767" s="258"/>
      <c r="F767" s="324"/>
      <c r="G767" s="324"/>
    </row>
    <row r="768" spans="1:7" ht="20.100000000000001" customHeight="1">
      <c r="A768" s="290"/>
      <c r="B768" s="258"/>
      <c r="C768" s="258"/>
      <c r="D768" s="258"/>
      <c r="E768" s="258"/>
      <c r="F768" s="324"/>
      <c r="G768" s="324"/>
    </row>
    <row r="769" spans="1:7" ht="20.100000000000001" customHeight="1">
      <c r="A769" s="290"/>
      <c r="B769" s="258"/>
      <c r="C769" s="258"/>
      <c r="D769" s="258"/>
      <c r="E769" s="258"/>
      <c r="F769" s="324"/>
      <c r="G769" s="324"/>
    </row>
    <row r="770" spans="1:7" ht="20.100000000000001" customHeight="1">
      <c r="A770" s="290"/>
      <c r="B770" s="258"/>
      <c r="C770" s="258"/>
      <c r="D770" s="258"/>
      <c r="E770" s="258"/>
      <c r="F770" s="324"/>
      <c r="G770" s="324"/>
    </row>
    <row r="771" spans="1:7" ht="20.100000000000001" customHeight="1">
      <c r="A771" s="290"/>
      <c r="B771" s="258"/>
      <c r="C771" s="258"/>
      <c r="D771" s="258"/>
      <c r="E771" s="258"/>
      <c r="F771" s="324"/>
      <c r="G771" s="324"/>
    </row>
    <row r="772" spans="1:7" ht="20.100000000000001" customHeight="1">
      <c r="A772" s="290"/>
      <c r="B772" s="258"/>
      <c r="C772" s="258"/>
      <c r="D772" s="258"/>
      <c r="E772" s="258"/>
      <c r="F772" s="324"/>
      <c r="G772" s="324"/>
    </row>
    <row r="773" spans="1:7" ht="20.100000000000001" customHeight="1">
      <c r="A773" s="290"/>
      <c r="B773" s="258"/>
      <c r="C773" s="258"/>
      <c r="D773" s="258"/>
      <c r="E773" s="258"/>
      <c r="F773" s="324"/>
      <c r="G773" s="324"/>
    </row>
    <row r="774" spans="1:7" ht="20.100000000000001" customHeight="1">
      <c r="A774" s="290"/>
      <c r="B774" s="258"/>
      <c r="C774" s="258"/>
      <c r="D774" s="258"/>
      <c r="E774" s="258"/>
      <c r="F774" s="324"/>
      <c r="G774" s="324"/>
    </row>
    <row r="775" spans="1:7" ht="20.100000000000001" customHeight="1">
      <c r="A775" s="290"/>
      <c r="B775" s="258"/>
      <c r="C775" s="258"/>
      <c r="D775" s="258"/>
      <c r="E775" s="258"/>
      <c r="F775" s="324"/>
      <c r="G775" s="324"/>
    </row>
    <row r="776" spans="1:7" ht="20.100000000000001" customHeight="1">
      <c r="A776" s="290"/>
      <c r="B776" s="258"/>
      <c r="C776" s="258"/>
      <c r="D776" s="258"/>
      <c r="E776" s="258"/>
      <c r="F776" s="324"/>
      <c r="G776" s="324"/>
    </row>
    <row r="777" spans="1:7" ht="20.100000000000001" customHeight="1">
      <c r="A777" s="290"/>
      <c r="B777" s="258"/>
      <c r="C777" s="258"/>
      <c r="D777" s="258"/>
      <c r="E777" s="258"/>
      <c r="F777" s="324"/>
      <c r="G777" s="324"/>
    </row>
    <row r="778" spans="1:7" ht="20.100000000000001" customHeight="1">
      <c r="A778" s="290"/>
      <c r="B778" s="258"/>
      <c r="C778" s="258"/>
      <c r="D778" s="258"/>
      <c r="E778" s="258"/>
      <c r="F778" s="324"/>
      <c r="G778" s="324"/>
    </row>
    <row r="779" spans="1:7" ht="20.100000000000001" customHeight="1">
      <c r="A779" s="290"/>
      <c r="B779" s="258"/>
      <c r="C779" s="258"/>
      <c r="D779" s="258"/>
      <c r="E779" s="258"/>
      <c r="F779" s="324"/>
      <c r="G779" s="324"/>
    </row>
    <row r="780" spans="1:7" ht="20.100000000000001" customHeight="1">
      <c r="A780" s="290"/>
      <c r="B780" s="258"/>
      <c r="C780" s="258"/>
      <c r="D780" s="258"/>
      <c r="E780" s="258"/>
      <c r="F780" s="324"/>
      <c r="G780" s="324"/>
    </row>
    <row r="781" spans="1:7" ht="20.100000000000001" customHeight="1">
      <c r="A781" s="290"/>
      <c r="B781" s="258"/>
      <c r="C781" s="258"/>
      <c r="D781" s="258"/>
      <c r="E781" s="258"/>
      <c r="F781" s="324"/>
      <c r="G781" s="324"/>
    </row>
    <row r="782" spans="1:7" ht="20.100000000000001" customHeight="1">
      <c r="A782" s="290"/>
      <c r="B782" s="258"/>
      <c r="C782" s="258"/>
      <c r="D782" s="258"/>
      <c r="E782" s="258"/>
      <c r="F782" s="324"/>
      <c r="G782" s="324"/>
    </row>
    <row r="783" spans="1:7" ht="20.100000000000001" customHeight="1">
      <c r="A783" s="290"/>
      <c r="B783" s="258"/>
      <c r="C783" s="258"/>
      <c r="D783" s="258"/>
      <c r="E783" s="258"/>
      <c r="F783" s="324"/>
      <c r="G783" s="324"/>
    </row>
    <row r="784" spans="1:7" ht="20.100000000000001" customHeight="1">
      <c r="A784" s="290"/>
      <c r="B784" s="258"/>
      <c r="C784" s="258"/>
      <c r="D784" s="258"/>
      <c r="E784" s="258"/>
      <c r="F784" s="324"/>
      <c r="G784" s="324"/>
    </row>
    <row r="785" spans="1:7" ht="20.100000000000001" customHeight="1">
      <c r="A785" s="290"/>
      <c r="B785" s="258"/>
      <c r="C785" s="258"/>
      <c r="D785" s="258"/>
      <c r="E785" s="258"/>
      <c r="F785" s="324"/>
      <c r="G785" s="324"/>
    </row>
    <row r="786" spans="1:7" ht="20.100000000000001" customHeight="1">
      <c r="A786" s="290"/>
      <c r="B786" s="258"/>
      <c r="C786" s="258"/>
      <c r="D786" s="258"/>
      <c r="E786" s="258"/>
      <c r="F786" s="324"/>
      <c r="G786" s="324"/>
    </row>
    <row r="787" spans="1:7" ht="20.100000000000001" customHeight="1">
      <c r="A787" s="290"/>
      <c r="B787" s="258"/>
      <c r="C787" s="258"/>
      <c r="D787" s="258"/>
      <c r="E787" s="258"/>
      <c r="F787" s="324"/>
      <c r="G787" s="324"/>
    </row>
    <row r="788" spans="1:7" ht="20.100000000000001" customHeight="1">
      <c r="A788" s="290"/>
      <c r="B788" s="258"/>
      <c r="C788" s="258"/>
      <c r="D788" s="258"/>
      <c r="E788" s="258"/>
      <c r="F788" s="324"/>
      <c r="G788" s="324"/>
    </row>
    <row r="789" spans="1:7" ht="20.100000000000001" customHeight="1">
      <c r="A789" s="290"/>
      <c r="B789" s="258"/>
      <c r="C789" s="258"/>
      <c r="D789" s="258"/>
      <c r="E789" s="258"/>
      <c r="F789" s="324"/>
      <c r="G789" s="324"/>
    </row>
    <row r="790" spans="1:7" ht="20.100000000000001" customHeight="1">
      <c r="A790" s="290"/>
      <c r="B790" s="258"/>
      <c r="C790" s="258"/>
      <c r="D790" s="258"/>
      <c r="E790" s="258"/>
      <c r="F790" s="324"/>
      <c r="G790" s="324"/>
    </row>
    <row r="791" spans="1:7" ht="20.100000000000001" customHeight="1">
      <c r="A791" s="290"/>
      <c r="B791" s="258"/>
      <c r="C791" s="258"/>
      <c r="D791" s="258"/>
      <c r="E791" s="258"/>
      <c r="F791" s="324"/>
      <c r="G791" s="324"/>
    </row>
    <row r="792" spans="1:7" ht="20.100000000000001" customHeight="1">
      <c r="A792" s="290"/>
      <c r="B792" s="258"/>
      <c r="C792" s="258"/>
      <c r="D792" s="258"/>
      <c r="E792" s="258"/>
      <c r="F792" s="324"/>
      <c r="G792" s="324"/>
    </row>
    <row r="793" spans="1:7" ht="20.100000000000001" customHeight="1">
      <c r="A793" s="290"/>
      <c r="B793" s="258"/>
      <c r="C793" s="258"/>
      <c r="D793" s="258"/>
      <c r="E793" s="258"/>
      <c r="F793" s="324"/>
      <c r="G793" s="324"/>
    </row>
    <row r="794" spans="1:7" ht="20.100000000000001" customHeight="1">
      <c r="A794" s="290"/>
      <c r="B794" s="258"/>
      <c r="C794" s="258"/>
      <c r="D794" s="258"/>
      <c r="E794" s="258"/>
      <c r="F794" s="324"/>
      <c r="G794" s="324"/>
    </row>
    <row r="795" spans="1:7" ht="20.100000000000001" customHeight="1">
      <c r="A795" s="290"/>
      <c r="B795" s="258"/>
      <c r="C795" s="258"/>
      <c r="D795" s="258"/>
      <c r="E795" s="258"/>
      <c r="F795" s="324"/>
      <c r="G795" s="324"/>
    </row>
    <row r="796" spans="1:7" ht="20.100000000000001" customHeight="1">
      <c r="A796" s="290"/>
      <c r="B796" s="258"/>
      <c r="C796" s="258"/>
      <c r="D796" s="258"/>
      <c r="E796" s="258"/>
      <c r="F796" s="324"/>
      <c r="G796" s="324"/>
    </row>
    <row r="797" spans="1:7" ht="20.100000000000001" customHeight="1">
      <c r="A797" s="290"/>
      <c r="B797" s="258"/>
      <c r="C797" s="258"/>
      <c r="D797" s="258"/>
      <c r="E797" s="258"/>
      <c r="F797" s="324"/>
      <c r="G797" s="324"/>
    </row>
    <row r="798" spans="1:7" ht="20.100000000000001" customHeight="1">
      <c r="A798" s="290"/>
      <c r="B798" s="258"/>
      <c r="C798" s="258"/>
      <c r="D798" s="258"/>
      <c r="E798" s="258"/>
      <c r="F798" s="324"/>
      <c r="G798" s="324"/>
    </row>
    <row r="799" spans="1:7" ht="20.100000000000001" customHeight="1">
      <c r="A799" s="290"/>
      <c r="B799" s="258"/>
      <c r="C799" s="258"/>
      <c r="D799" s="258"/>
      <c r="E799" s="258"/>
      <c r="F799" s="324"/>
      <c r="G799" s="324"/>
    </row>
    <row r="800" spans="1:7" ht="20.100000000000001" customHeight="1">
      <c r="A800" s="290"/>
      <c r="B800" s="258"/>
      <c r="C800" s="258"/>
      <c r="D800" s="258"/>
      <c r="E800" s="258"/>
      <c r="F800" s="324"/>
      <c r="G800" s="324"/>
    </row>
    <row r="801" spans="1:7" ht="20.100000000000001" customHeight="1">
      <c r="A801" s="290"/>
      <c r="B801" s="258"/>
      <c r="C801" s="258"/>
      <c r="D801" s="258"/>
      <c r="E801" s="258"/>
      <c r="F801" s="324"/>
      <c r="G801" s="324"/>
    </row>
    <row r="802" spans="1:7" ht="20.100000000000001" customHeight="1">
      <c r="A802" s="290"/>
      <c r="B802" s="258"/>
      <c r="C802" s="258"/>
      <c r="D802" s="258"/>
      <c r="E802" s="258"/>
      <c r="F802" s="324"/>
      <c r="G802" s="324"/>
    </row>
    <row r="803" spans="1:7" ht="20.100000000000001" customHeight="1">
      <c r="A803" s="290"/>
      <c r="B803" s="258"/>
      <c r="C803" s="258"/>
      <c r="D803" s="258"/>
      <c r="E803" s="258"/>
      <c r="F803" s="324"/>
      <c r="G803" s="324"/>
    </row>
    <row r="804" spans="1:7" ht="20.100000000000001" customHeight="1">
      <c r="A804" s="290"/>
      <c r="B804" s="258"/>
      <c r="C804" s="258"/>
      <c r="D804" s="258"/>
      <c r="E804" s="258"/>
      <c r="F804" s="324"/>
      <c r="G804" s="324"/>
    </row>
    <row r="805" spans="1:7" ht="20.100000000000001" customHeight="1">
      <c r="A805" s="290"/>
      <c r="B805" s="258"/>
      <c r="C805" s="258"/>
      <c r="D805" s="258"/>
      <c r="E805" s="258"/>
      <c r="F805" s="324"/>
      <c r="G805" s="324"/>
    </row>
    <row r="806" spans="1:7" ht="20.100000000000001" customHeight="1">
      <c r="A806" s="290"/>
      <c r="B806" s="258"/>
      <c r="C806" s="258"/>
      <c r="D806" s="258"/>
      <c r="E806" s="258"/>
      <c r="F806" s="324"/>
      <c r="G806" s="324"/>
    </row>
    <row r="807" spans="1:7" ht="20.100000000000001" customHeight="1">
      <c r="A807" s="290"/>
      <c r="B807" s="258"/>
      <c r="C807" s="258"/>
      <c r="D807" s="258"/>
      <c r="E807" s="258"/>
      <c r="F807" s="324"/>
      <c r="G807" s="324"/>
    </row>
    <row r="808" spans="1:7" ht="20.100000000000001" customHeight="1">
      <c r="A808" s="290"/>
      <c r="B808" s="258"/>
      <c r="C808" s="258"/>
      <c r="D808" s="258"/>
      <c r="E808" s="258"/>
      <c r="F808" s="324"/>
      <c r="G808" s="324"/>
    </row>
    <row r="809" spans="1:7" ht="20.100000000000001" customHeight="1">
      <c r="A809" s="290"/>
      <c r="B809" s="258"/>
      <c r="C809" s="258"/>
      <c r="D809" s="258"/>
      <c r="E809" s="258"/>
      <c r="F809" s="324"/>
      <c r="G809" s="324"/>
    </row>
    <row r="810" spans="1:7" ht="20.100000000000001" customHeight="1">
      <c r="A810" s="290"/>
      <c r="B810" s="258"/>
      <c r="C810" s="258"/>
      <c r="D810" s="258"/>
      <c r="E810" s="258"/>
      <c r="F810" s="324"/>
      <c r="G810" s="324"/>
    </row>
    <row r="811" spans="1:7" ht="20.100000000000001" customHeight="1">
      <c r="A811" s="290"/>
      <c r="B811" s="258"/>
      <c r="C811" s="258"/>
      <c r="D811" s="258"/>
      <c r="E811" s="258"/>
      <c r="F811" s="324"/>
      <c r="G811" s="324"/>
    </row>
    <row r="812" spans="1:7" ht="20.100000000000001" customHeight="1">
      <c r="A812" s="290"/>
      <c r="B812" s="258"/>
      <c r="C812" s="258"/>
      <c r="D812" s="258"/>
      <c r="E812" s="258"/>
      <c r="F812" s="324"/>
      <c r="G812" s="324"/>
    </row>
    <row r="813" spans="1:7" ht="20.100000000000001" customHeight="1">
      <c r="A813" s="290"/>
      <c r="B813" s="258"/>
      <c r="C813" s="258"/>
      <c r="D813" s="258"/>
      <c r="E813" s="258"/>
      <c r="F813" s="324"/>
      <c r="G813" s="324"/>
    </row>
    <row r="814" spans="1:7" ht="20.100000000000001" customHeight="1">
      <c r="A814" s="290"/>
      <c r="B814" s="258"/>
      <c r="C814" s="258"/>
      <c r="D814" s="258"/>
      <c r="E814" s="258"/>
      <c r="F814" s="324"/>
      <c r="G814" s="324"/>
    </row>
    <row r="815" spans="1:7" ht="20.100000000000001" customHeight="1">
      <c r="A815" s="290"/>
      <c r="B815" s="258"/>
      <c r="C815" s="258"/>
      <c r="D815" s="258"/>
      <c r="E815" s="258"/>
      <c r="F815" s="324"/>
      <c r="G815" s="324"/>
    </row>
    <row r="816" spans="1:7" ht="20.100000000000001" customHeight="1">
      <c r="A816" s="290"/>
      <c r="B816" s="258"/>
      <c r="C816" s="258"/>
      <c r="D816" s="258"/>
      <c r="E816" s="258"/>
      <c r="F816" s="324"/>
      <c r="G816" s="324"/>
    </row>
    <row r="817" spans="1:7" ht="20.100000000000001" customHeight="1">
      <c r="A817" s="290"/>
      <c r="B817" s="258"/>
      <c r="C817" s="258"/>
      <c r="D817" s="258"/>
      <c r="E817" s="258"/>
      <c r="F817" s="324"/>
      <c r="G817" s="324"/>
    </row>
    <row r="818" spans="1:7" ht="20.100000000000001" customHeight="1">
      <c r="A818" s="290"/>
      <c r="B818" s="258"/>
      <c r="C818" s="258"/>
      <c r="D818" s="258"/>
      <c r="E818" s="258"/>
      <c r="F818" s="324"/>
      <c r="G818" s="324"/>
    </row>
    <row r="819" spans="1:7" ht="20.100000000000001" customHeight="1">
      <c r="A819" s="290"/>
      <c r="B819" s="258"/>
      <c r="C819" s="258"/>
      <c r="D819" s="258"/>
      <c r="E819" s="258"/>
      <c r="F819" s="324"/>
      <c r="G819" s="324"/>
    </row>
    <row r="820" spans="1:7" ht="20.100000000000001" customHeight="1">
      <c r="A820" s="290"/>
      <c r="B820" s="258"/>
      <c r="C820" s="258"/>
      <c r="D820" s="258"/>
      <c r="E820" s="258"/>
      <c r="F820" s="324"/>
      <c r="G820" s="324"/>
    </row>
    <row r="821" spans="1:7" ht="20.100000000000001" customHeight="1">
      <c r="A821" s="290"/>
      <c r="B821" s="258"/>
      <c r="C821" s="258"/>
      <c r="D821" s="258"/>
      <c r="E821" s="258"/>
      <c r="F821" s="324"/>
      <c r="G821" s="324"/>
    </row>
    <row r="822" spans="1:7" ht="20.100000000000001" customHeight="1">
      <c r="A822" s="290"/>
      <c r="B822" s="258"/>
      <c r="C822" s="258"/>
      <c r="D822" s="258"/>
      <c r="E822" s="258"/>
      <c r="F822" s="324"/>
      <c r="G822" s="324"/>
    </row>
    <row r="823" spans="1:7" ht="20.100000000000001" customHeight="1">
      <c r="A823" s="290"/>
      <c r="B823" s="258"/>
      <c r="C823" s="258"/>
      <c r="D823" s="258"/>
      <c r="E823" s="258"/>
      <c r="F823" s="324"/>
      <c r="G823" s="324"/>
    </row>
    <row r="824" spans="1:7" ht="20.100000000000001" customHeight="1">
      <c r="A824" s="290"/>
      <c r="B824" s="258"/>
      <c r="C824" s="258"/>
      <c r="D824" s="258"/>
      <c r="E824" s="258"/>
      <c r="F824" s="324"/>
      <c r="G824" s="324"/>
    </row>
    <row r="825" spans="1:7" ht="20.100000000000001" customHeight="1">
      <c r="A825" s="290"/>
      <c r="B825" s="258"/>
      <c r="C825" s="258"/>
      <c r="D825" s="258"/>
      <c r="E825" s="258"/>
      <c r="F825" s="324"/>
      <c r="G825" s="324"/>
    </row>
    <row r="826" spans="1:7" ht="20.100000000000001" customHeight="1">
      <c r="A826" s="290"/>
      <c r="B826" s="258"/>
      <c r="C826" s="258"/>
      <c r="D826" s="258"/>
      <c r="E826" s="258"/>
      <c r="F826" s="324"/>
      <c r="G826" s="324"/>
    </row>
    <row r="827" spans="1:7" ht="20.100000000000001" customHeight="1">
      <c r="A827" s="290"/>
      <c r="B827" s="258"/>
      <c r="C827" s="258"/>
      <c r="D827" s="258"/>
      <c r="E827" s="258"/>
      <c r="F827" s="324"/>
      <c r="G827" s="324"/>
    </row>
    <row r="828" spans="1:7" ht="20.100000000000001" customHeight="1">
      <c r="A828" s="290"/>
      <c r="B828" s="258"/>
      <c r="C828" s="258"/>
      <c r="D828" s="258"/>
      <c r="E828" s="258"/>
      <c r="F828" s="324"/>
      <c r="G828" s="324"/>
    </row>
    <row r="829" spans="1:7" ht="20.100000000000001" customHeight="1">
      <c r="A829" s="290"/>
      <c r="B829" s="258"/>
      <c r="C829" s="258"/>
      <c r="D829" s="258"/>
      <c r="E829" s="258"/>
      <c r="F829" s="324"/>
      <c r="G829" s="324"/>
    </row>
    <row r="830" spans="1:7" ht="20.100000000000001" customHeight="1">
      <c r="A830" s="290"/>
      <c r="B830" s="258"/>
      <c r="C830" s="258"/>
      <c r="D830" s="258"/>
      <c r="E830" s="258"/>
      <c r="F830" s="324"/>
      <c r="G830" s="324"/>
    </row>
    <row r="831" spans="1:7" ht="20.100000000000001" customHeight="1">
      <c r="A831" s="290"/>
      <c r="B831" s="258"/>
      <c r="C831" s="258"/>
      <c r="D831" s="258"/>
      <c r="E831" s="258"/>
      <c r="F831" s="324"/>
      <c r="G831" s="324"/>
    </row>
    <row r="832" spans="1:7" ht="20.100000000000001" customHeight="1">
      <c r="A832" s="290"/>
      <c r="B832" s="258"/>
      <c r="C832" s="258"/>
      <c r="D832" s="258"/>
      <c r="E832" s="258"/>
      <c r="F832" s="324"/>
      <c r="G832" s="324"/>
    </row>
    <row r="833" spans="1:7" ht="20.100000000000001" customHeight="1">
      <c r="A833" s="290"/>
      <c r="B833" s="258"/>
      <c r="C833" s="258"/>
      <c r="D833" s="258"/>
      <c r="E833" s="258"/>
      <c r="F833" s="324"/>
      <c r="G833" s="324"/>
    </row>
    <row r="834" spans="1:7" ht="20.100000000000001" customHeight="1">
      <c r="A834" s="290"/>
      <c r="B834" s="258"/>
      <c r="C834" s="258"/>
      <c r="D834" s="258"/>
      <c r="E834" s="258"/>
      <c r="F834" s="324"/>
      <c r="G834" s="324"/>
    </row>
    <row r="835" spans="1:7" ht="20.100000000000001" customHeight="1">
      <c r="A835" s="290"/>
      <c r="B835" s="258"/>
      <c r="C835" s="258"/>
      <c r="D835" s="258"/>
      <c r="E835" s="258"/>
      <c r="F835" s="324"/>
      <c r="G835" s="324"/>
    </row>
    <row r="836" spans="1:7" ht="20.100000000000001" customHeight="1">
      <c r="A836" s="290"/>
      <c r="B836" s="258"/>
      <c r="C836" s="258"/>
      <c r="D836" s="258"/>
      <c r="E836" s="258"/>
      <c r="F836" s="324"/>
      <c r="G836" s="324"/>
    </row>
    <row r="837" spans="1:7" ht="20.100000000000001" customHeight="1">
      <c r="A837" s="290"/>
      <c r="B837" s="258"/>
      <c r="C837" s="258"/>
      <c r="D837" s="258"/>
      <c r="E837" s="258"/>
      <c r="F837" s="324"/>
      <c r="G837" s="324"/>
    </row>
    <row r="838" spans="1:7" ht="20.100000000000001" customHeight="1">
      <c r="A838" s="290"/>
      <c r="B838" s="258"/>
      <c r="C838" s="258"/>
      <c r="D838" s="258"/>
      <c r="E838" s="258"/>
      <c r="F838" s="324"/>
      <c r="G838" s="324"/>
    </row>
    <row r="839" spans="1:7" ht="20.100000000000001" customHeight="1">
      <c r="A839" s="290"/>
      <c r="B839" s="258"/>
      <c r="C839" s="258"/>
      <c r="D839" s="258"/>
      <c r="E839" s="258"/>
      <c r="F839" s="324"/>
      <c r="G839" s="324"/>
    </row>
    <row r="840" spans="1:7" ht="20.100000000000001" customHeight="1">
      <c r="A840" s="290"/>
      <c r="B840" s="258"/>
      <c r="C840" s="258"/>
      <c r="D840" s="258"/>
      <c r="E840" s="258"/>
      <c r="F840" s="324"/>
      <c r="G840" s="324"/>
    </row>
    <row r="841" spans="1:7" ht="20.100000000000001" customHeight="1">
      <c r="A841" s="290"/>
      <c r="B841" s="258"/>
      <c r="C841" s="258"/>
      <c r="D841" s="258"/>
      <c r="E841" s="258"/>
      <c r="F841" s="324"/>
      <c r="G841" s="324"/>
    </row>
    <row r="842" spans="1:7" ht="20.100000000000001" customHeight="1">
      <c r="A842" s="290"/>
      <c r="B842" s="258"/>
      <c r="C842" s="258"/>
      <c r="D842" s="258"/>
      <c r="E842" s="258"/>
      <c r="F842" s="324"/>
      <c r="G842" s="324"/>
    </row>
    <row r="843" spans="1:7" ht="20.100000000000001" customHeight="1">
      <c r="A843" s="290"/>
      <c r="B843" s="258"/>
      <c r="C843" s="258"/>
      <c r="D843" s="258"/>
      <c r="E843" s="258"/>
      <c r="F843" s="324"/>
      <c r="G843" s="324"/>
    </row>
    <row r="844" spans="1:7" ht="20.100000000000001" customHeight="1">
      <c r="A844" s="290"/>
      <c r="B844" s="258"/>
      <c r="C844" s="258"/>
      <c r="D844" s="258"/>
      <c r="E844" s="258"/>
      <c r="F844" s="324"/>
      <c r="G844" s="324"/>
    </row>
    <row r="845" spans="1:7" ht="20.100000000000001" customHeight="1">
      <c r="A845" s="290"/>
      <c r="B845" s="258"/>
      <c r="C845" s="258"/>
      <c r="D845" s="258"/>
      <c r="E845" s="258"/>
      <c r="F845" s="324"/>
      <c r="G845" s="324"/>
    </row>
    <row r="846" spans="1:7" ht="20.100000000000001" customHeight="1">
      <c r="A846" s="290"/>
      <c r="B846" s="258"/>
      <c r="C846" s="258"/>
      <c r="D846" s="258"/>
      <c r="E846" s="258"/>
      <c r="F846" s="324"/>
      <c r="G846" s="324"/>
    </row>
    <row r="847" spans="1:7" ht="20.100000000000001" customHeight="1">
      <c r="A847" s="290"/>
      <c r="B847" s="258"/>
      <c r="C847" s="258"/>
      <c r="D847" s="258"/>
      <c r="E847" s="258"/>
      <c r="F847" s="324"/>
      <c r="G847" s="324"/>
    </row>
    <row r="848" spans="1:7" ht="20.100000000000001" customHeight="1">
      <c r="A848" s="290"/>
      <c r="B848" s="258"/>
      <c r="C848" s="258"/>
      <c r="D848" s="258"/>
      <c r="E848" s="258"/>
      <c r="F848" s="324"/>
      <c r="G848" s="324"/>
    </row>
    <row r="849" spans="1:7" ht="20.100000000000001" customHeight="1">
      <c r="A849" s="290"/>
      <c r="B849" s="258"/>
      <c r="C849" s="258"/>
      <c r="D849" s="258"/>
      <c r="E849" s="258"/>
      <c r="F849" s="324"/>
      <c r="G849" s="324"/>
    </row>
    <row r="850" spans="1:7" ht="20.100000000000001" customHeight="1">
      <c r="A850" s="290"/>
      <c r="B850" s="258"/>
      <c r="C850" s="258"/>
      <c r="D850" s="258"/>
      <c r="E850" s="258"/>
      <c r="F850" s="324"/>
      <c r="G850" s="324"/>
    </row>
    <row r="851" spans="1:7" ht="20.100000000000001" customHeight="1">
      <c r="A851" s="290"/>
      <c r="B851" s="258"/>
      <c r="C851" s="258"/>
      <c r="D851" s="258"/>
      <c r="E851" s="258"/>
      <c r="F851" s="324"/>
      <c r="G851" s="324"/>
    </row>
    <row r="852" spans="1:7" ht="20.100000000000001" customHeight="1">
      <c r="A852" s="290"/>
      <c r="B852" s="258"/>
      <c r="C852" s="258"/>
      <c r="D852" s="258"/>
      <c r="E852" s="258"/>
      <c r="F852" s="324"/>
      <c r="G852" s="324"/>
    </row>
    <row r="853" spans="1:7" ht="20.100000000000001" customHeight="1">
      <c r="A853" s="290"/>
      <c r="B853" s="258"/>
      <c r="C853" s="258"/>
      <c r="D853" s="258"/>
      <c r="E853" s="258"/>
      <c r="F853" s="324"/>
      <c r="G853" s="324"/>
    </row>
    <row r="854" spans="1:7" ht="20.100000000000001" customHeight="1">
      <c r="A854" s="290"/>
      <c r="B854" s="258"/>
      <c r="C854" s="258"/>
      <c r="D854" s="258"/>
      <c r="E854" s="258"/>
      <c r="F854" s="324"/>
      <c r="G854" s="324"/>
    </row>
    <row r="855" spans="1:7" ht="20.100000000000001" customHeight="1">
      <c r="A855" s="290"/>
      <c r="B855" s="258"/>
      <c r="C855" s="258"/>
      <c r="D855" s="258"/>
      <c r="E855" s="258"/>
      <c r="F855" s="324"/>
      <c r="G855" s="324"/>
    </row>
    <row r="856" spans="1:7" ht="20.100000000000001" customHeight="1">
      <c r="A856" s="290"/>
      <c r="B856" s="258"/>
      <c r="C856" s="258"/>
      <c r="D856" s="258"/>
      <c r="E856" s="258"/>
      <c r="F856" s="324"/>
      <c r="G856" s="324"/>
    </row>
    <row r="857" spans="1:7" ht="20.100000000000001" customHeight="1">
      <c r="A857" s="290"/>
      <c r="B857" s="258"/>
      <c r="C857" s="258"/>
      <c r="D857" s="258"/>
      <c r="E857" s="258"/>
      <c r="F857" s="324"/>
      <c r="G857" s="324"/>
    </row>
    <row r="858" spans="1:7" ht="20.100000000000001" customHeight="1">
      <c r="A858" s="290"/>
      <c r="B858" s="258"/>
      <c r="C858" s="258"/>
      <c r="D858" s="258"/>
      <c r="E858" s="258"/>
      <c r="F858" s="324"/>
      <c r="G858" s="324"/>
    </row>
    <row r="859" spans="1:7" ht="20.100000000000001" customHeight="1">
      <c r="A859" s="290"/>
      <c r="B859" s="258"/>
      <c r="C859" s="258"/>
      <c r="D859" s="258"/>
      <c r="E859" s="258"/>
      <c r="F859" s="324"/>
      <c r="G859" s="324"/>
    </row>
    <row r="860" spans="1:7" ht="20.100000000000001" customHeight="1">
      <c r="A860" s="290"/>
      <c r="B860" s="258"/>
      <c r="C860" s="258"/>
      <c r="D860" s="258"/>
      <c r="E860" s="258"/>
      <c r="F860" s="324"/>
      <c r="G860" s="324"/>
    </row>
    <row r="861" spans="1:7" ht="20.100000000000001" customHeight="1">
      <c r="A861" s="290"/>
      <c r="B861" s="258"/>
      <c r="C861" s="258"/>
      <c r="D861" s="258"/>
      <c r="E861" s="258"/>
      <c r="F861" s="324"/>
      <c r="G861" s="324"/>
    </row>
    <row r="862" spans="1:7" ht="20.100000000000001" customHeight="1">
      <c r="A862" s="290"/>
      <c r="B862" s="258"/>
      <c r="C862" s="258"/>
      <c r="D862" s="258"/>
      <c r="E862" s="258"/>
      <c r="F862" s="324"/>
      <c r="G862" s="324"/>
    </row>
    <row r="863" spans="1:7" ht="20.100000000000001" customHeight="1">
      <c r="A863" s="290"/>
      <c r="B863" s="258"/>
      <c r="C863" s="258"/>
      <c r="D863" s="258"/>
      <c r="E863" s="258"/>
      <c r="F863" s="324"/>
      <c r="G863" s="324"/>
    </row>
    <row r="864" spans="1:7" ht="20.100000000000001" customHeight="1">
      <c r="A864" s="290"/>
      <c r="B864" s="258"/>
      <c r="C864" s="258"/>
      <c r="D864" s="258"/>
      <c r="E864" s="258"/>
      <c r="F864" s="324"/>
      <c r="G864" s="324"/>
    </row>
    <row r="865" spans="1:7" ht="20.100000000000001" customHeight="1">
      <c r="A865" s="290"/>
      <c r="B865" s="258"/>
      <c r="C865" s="258"/>
      <c r="D865" s="258"/>
      <c r="E865" s="258"/>
      <c r="F865" s="324"/>
      <c r="G865" s="324"/>
    </row>
    <row r="866" spans="1:7" ht="20.100000000000001" customHeight="1">
      <c r="A866" s="290"/>
      <c r="B866" s="258"/>
      <c r="C866" s="258"/>
      <c r="D866" s="258"/>
      <c r="E866" s="258"/>
      <c r="F866" s="324"/>
      <c r="G866" s="324"/>
    </row>
    <row r="867" spans="1:7" ht="20.100000000000001" customHeight="1">
      <c r="A867" s="290"/>
      <c r="B867" s="258"/>
      <c r="C867" s="258"/>
      <c r="D867" s="258"/>
      <c r="E867" s="258"/>
      <c r="F867" s="324"/>
      <c r="G867" s="324"/>
    </row>
    <row r="868" spans="1:7" ht="20.100000000000001" customHeight="1">
      <c r="A868" s="290"/>
      <c r="B868" s="258"/>
      <c r="C868" s="258"/>
      <c r="D868" s="258"/>
      <c r="E868" s="258"/>
      <c r="F868" s="324"/>
      <c r="G868" s="324"/>
    </row>
    <row r="869" spans="1:7" ht="20.100000000000001" customHeight="1">
      <c r="A869" s="290"/>
      <c r="B869" s="258"/>
      <c r="C869" s="258"/>
      <c r="D869" s="258"/>
      <c r="E869" s="258"/>
      <c r="F869" s="324"/>
      <c r="G869" s="324"/>
    </row>
    <row r="870" spans="1:7" ht="20.100000000000001" customHeight="1">
      <c r="A870" s="290"/>
      <c r="B870" s="258"/>
      <c r="C870" s="258"/>
      <c r="D870" s="258"/>
      <c r="E870" s="258"/>
      <c r="F870" s="324"/>
      <c r="G870" s="324"/>
    </row>
    <row r="871" spans="1:7" ht="20.100000000000001" customHeight="1">
      <c r="A871" s="290"/>
      <c r="B871" s="258"/>
      <c r="C871" s="258"/>
      <c r="D871" s="258"/>
      <c r="E871" s="258"/>
      <c r="F871" s="324"/>
      <c r="G871" s="324"/>
    </row>
    <row r="872" spans="1:7" ht="20.100000000000001" customHeight="1">
      <c r="A872" s="290"/>
      <c r="B872" s="258"/>
      <c r="C872" s="258"/>
      <c r="D872" s="258"/>
      <c r="E872" s="258"/>
      <c r="F872" s="324"/>
      <c r="G872" s="324"/>
    </row>
    <row r="873" spans="1:7" ht="20.100000000000001" customHeight="1">
      <c r="A873" s="290"/>
      <c r="B873" s="258"/>
      <c r="C873" s="258"/>
      <c r="D873" s="258"/>
      <c r="E873" s="258"/>
      <c r="F873" s="324"/>
      <c r="G873" s="324"/>
    </row>
    <row r="874" spans="1:7" ht="20.100000000000001" customHeight="1">
      <c r="A874" s="290"/>
      <c r="B874" s="258"/>
      <c r="C874" s="258"/>
      <c r="D874" s="258"/>
      <c r="E874" s="258"/>
      <c r="F874" s="324"/>
      <c r="G874" s="324"/>
    </row>
    <row r="875" spans="1:7" ht="20.100000000000001" customHeight="1">
      <c r="A875" s="290"/>
      <c r="B875" s="258"/>
      <c r="C875" s="258"/>
      <c r="D875" s="258"/>
      <c r="E875" s="258"/>
      <c r="F875" s="324"/>
      <c r="G875" s="324"/>
    </row>
    <row r="876" spans="1:7" ht="20.100000000000001" customHeight="1">
      <c r="A876" s="290"/>
      <c r="B876" s="258"/>
      <c r="C876" s="258"/>
      <c r="D876" s="258"/>
      <c r="E876" s="258"/>
      <c r="F876" s="324"/>
      <c r="G876" s="324"/>
    </row>
    <row r="877" spans="1:7" ht="20.100000000000001" customHeight="1">
      <c r="A877" s="290"/>
      <c r="B877" s="258"/>
      <c r="C877" s="258"/>
      <c r="D877" s="258"/>
      <c r="E877" s="258"/>
      <c r="F877" s="324"/>
      <c r="G877" s="324"/>
    </row>
    <row r="878" spans="1:7" ht="20.100000000000001" customHeight="1">
      <c r="A878" s="290"/>
      <c r="B878" s="258"/>
      <c r="C878" s="258"/>
      <c r="D878" s="258"/>
      <c r="E878" s="258"/>
      <c r="F878" s="324"/>
      <c r="G878" s="324"/>
    </row>
    <row r="879" spans="1:7" ht="20.100000000000001" customHeight="1">
      <c r="A879" s="290"/>
      <c r="B879" s="258"/>
      <c r="C879" s="258"/>
      <c r="D879" s="258"/>
      <c r="E879" s="258"/>
      <c r="F879" s="324"/>
      <c r="G879" s="324"/>
    </row>
    <row r="880" spans="1:7" ht="20.100000000000001" customHeight="1">
      <c r="A880" s="290"/>
      <c r="B880" s="258"/>
      <c r="C880" s="258"/>
      <c r="D880" s="258"/>
      <c r="E880" s="258"/>
      <c r="F880" s="324"/>
      <c r="G880" s="324"/>
    </row>
    <row r="881" spans="1:7" ht="20.100000000000001" customHeight="1">
      <c r="A881" s="290"/>
      <c r="B881" s="258"/>
      <c r="C881" s="258"/>
      <c r="D881" s="258"/>
      <c r="E881" s="258"/>
      <c r="F881" s="324"/>
      <c r="G881" s="324"/>
    </row>
    <row r="882" spans="1:7" ht="20.100000000000001" customHeight="1">
      <c r="A882" s="290"/>
      <c r="B882" s="258"/>
      <c r="C882" s="258"/>
      <c r="D882" s="258"/>
      <c r="E882" s="258"/>
      <c r="F882" s="324"/>
      <c r="G882" s="324"/>
    </row>
    <row r="883" spans="1:7" ht="20.100000000000001" customHeight="1">
      <c r="A883" s="290"/>
      <c r="B883" s="258"/>
      <c r="C883" s="258"/>
      <c r="D883" s="258"/>
      <c r="E883" s="258"/>
      <c r="F883" s="324"/>
      <c r="G883" s="324"/>
    </row>
    <row r="884" spans="1:7" ht="20.100000000000001" customHeight="1">
      <c r="A884" s="290"/>
      <c r="B884" s="258"/>
      <c r="C884" s="258"/>
      <c r="D884" s="258"/>
      <c r="E884" s="258"/>
      <c r="F884" s="324"/>
      <c r="G884" s="324"/>
    </row>
    <row r="885" spans="1:7" ht="20.100000000000001" customHeight="1">
      <c r="A885" s="290"/>
      <c r="B885" s="258"/>
      <c r="C885" s="258"/>
      <c r="D885" s="258"/>
      <c r="E885" s="258"/>
      <c r="F885" s="324"/>
      <c r="G885" s="324"/>
    </row>
    <row r="886" spans="1:7" ht="20.100000000000001" customHeight="1">
      <c r="A886" s="290"/>
      <c r="B886" s="258"/>
      <c r="C886" s="258"/>
      <c r="D886" s="258"/>
      <c r="E886" s="258"/>
      <c r="F886" s="324"/>
      <c r="G886" s="324"/>
    </row>
    <row r="887" spans="1:7" ht="20.100000000000001" customHeight="1">
      <c r="A887" s="290"/>
      <c r="B887" s="258"/>
      <c r="C887" s="258"/>
      <c r="D887" s="258"/>
      <c r="E887" s="258"/>
      <c r="F887" s="324"/>
      <c r="G887" s="324"/>
    </row>
    <row r="888" spans="1:7" ht="20.100000000000001" customHeight="1">
      <c r="A888" s="290"/>
      <c r="B888" s="258"/>
      <c r="C888" s="258"/>
      <c r="D888" s="258"/>
      <c r="E888" s="258"/>
      <c r="F888" s="324"/>
      <c r="G888" s="324"/>
    </row>
    <row r="889" spans="1:7" ht="20.100000000000001" customHeight="1">
      <c r="A889" s="290"/>
      <c r="B889" s="258"/>
      <c r="C889" s="258"/>
      <c r="D889" s="258"/>
      <c r="E889" s="258"/>
      <c r="F889" s="324"/>
      <c r="G889" s="324"/>
    </row>
    <row r="890" spans="1:7" ht="20.100000000000001" customHeight="1">
      <c r="A890" s="290"/>
      <c r="B890" s="258"/>
      <c r="C890" s="258"/>
      <c r="D890" s="258"/>
      <c r="E890" s="258"/>
      <c r="F890" s="324"/>
      <c r="G890" s="324"/>
    </row>
    <row r="891" spans="1:7" ht="20.100000000000001" customHeight="1">
      <c r="A891" s="290"/>
      <c r="B891" s="258"/>
      <c r="C891" s="258"/>
      <c r="D891" s="258"/>
      <c r="E891" s="258"/>
      <c r="F891" s="324"/>
      <c r="G891" s="324"/>
    </row>
    <row r="892" spans="1:7" ht="20.100000000000001" customHeight="1">
      <c r="A892" s="290"/>
      <c r="B892" s="258"/>
      <c r="C892" s="258"/>
      <c r="D892" s="258"/>
      <c r="E892" s="258"/>
      <c r="F892" s="324"/>
      <c r="G892" s="324"/>
    </row>
    <row r="893" spans="1:7" ht="20.100000000000001" customHeight="1">
      <c r="A893" s="290"/>
      <c r="B893" s="258"/>
      <c r="C893" s="258"/>
      <c r="D893" s="258"/>
      <c r="E893" s="258"/>
      <c r="F893" s="324"/>
      <c r="G893" s="324"/>
    </row>
    <row r="894" spans="1:7" ht="20.100000000000001" customHeight="1">
      <c r="A894" s="290"/>
      <c r="B894" s="258"/>
      <c r="C894" s="258"/>
      <c r="D894" s="258"/>
      <c r="E894" s="258"/>
      <c r="F894" s="324"/>
      <c r="G894" s="324"/>
    </row>
    <row r="895" spans="1:7" ht="20.100000000000001" customHeight="1">
      <c r="A895" s="290"/>
      <c r="B895" s="258"/>
      <c r="C895" s="258"/>
      <c r="D895" s="258"/>
      <c r="E895" s="258"/>
      <c r="F895" s="324"/>
      <c r="G895" s="324"/>
    </row>
    <row r="896" spans="1:7" ht="20.100000000000001" customHeight="1">
      <c r="A896" s="290"/>
      <c r="B896" s="258"/>
      <c r="C896" s="258"/>
      <c r="D896" s="258"/>
      <c r="E896" s="258"/>
      <c r="F896" s="324"/>
      <c r="G896" s="324"/>
    </row>
    <row r="897" spans="1:7" ht="20.100000000000001" customHeight="1">
      <c r="A897" s="290"/>
      <c r="B897" s="258"/>
      <c r="C897" s="258"/>
      <c r="D897" s="258"/>
      <c r="E897" s="258"/>
      <c r="F897" s="324"/>
      <c r="G897" s="324"/>
    </row>
    <row r="898" spans="1:7" ht="20.100000000000001" customHeight="1">
      <c r="A898" s="290"/>
      <c r="B898" s="258"/>
      <c r="C898" s="258"/>
      <c r="D898" s="258"/>
      <c r="E898" s="258"/>
      <c r="F898" s="324"/>
      <c r="G898" s="324"/>
    </row>
    <row r="899" spans="1:7" ht="20.100000000000001" customHeight="1">
      <c r="A899" s="290"/>
      <c r="B899" s="258"/>
      <c r="C899" s="258"/>
      <c r="D899" s="258"/>
      <c r="E899" s="258"/>
      <c r="F899" s="324"/>
      <c r="G899" s="324"/>
    </row>
    <row r="900" spans="1:7" ht="20.100000000000001" customHeight="1">
      <c r="A900" s="290"/>
      <c r="B900" s="258"/>
      <c r="C900" s="258"/>
      <c r="D900" s="258"/>
      <c r="E900" s="258"/>
      <c r="F900" s="324"/>
      <c r="G900" s="324"/>
    </row>
    <row r="901" spans="1:7" ht="20.100000000000001" customHeight="1">
      <c r="A901" s="290"/>
      <c r="B901" s="258"/>
      <c r="C901" s="258"/>
      <c r="D901" s="258"/>
      <c r="E901" s="258"/>
      <c r="F901" s="324"/>
      <c r="G901" s="324"/>
    </row>
    <row r="902" spans="1:7" ht="20.100000000000001" customHeight="1">
      <c r="A902" s="290"/>
      <c r="B902" s="258"/>
      <c r="C902" s="258"/>
      <c r="D902" s="258"/>
      <c r="E902" s="258"/>
      <c r="F902" s="324"/>
      <c r="G902" s="324"/>
    </row>
    <row r="903" spans="1:7" ht="20.100000000000001" customHeight="1">
      <c r="A903" s="290"/>
      <c r="B903" s="258"/>
      <c r="C903" s="258"/>
      <c r="D903" s="258"/>
      <c r="E903" s="258"/>
      <c r="F903" s="324"/>
      <c r="G903" s="324"/>
    </row>
    <row r="904" spans="1:7" ht="20.100000000000001" customHeight="1">
      <c r="A904" s="290"/>
      <c r="B904" s="258"/>
      <c r="C904" s="258"/>
      <c r="D904" s="258"/>
      <c r="E904" s="258"/>
      <c r="F904" s="324"/>
      <c r="G904" s="324"/>
    </row>
    <row r="905" spans="1:7" ht="20.100000000000001" customHeight="1">
      <c r="A905" s="290"/>
      <c r="B905" s="258"/>
      <c r="C905" s="258"/>
      <c r="D905" s="258"/>
      <c r="E905" s="258"/>
      <c r="F905" s="324"/>
      <c r="G905" s="324"/>
    </row>
    <row r="906" spans="1:7" ht="20.100000000000001" customHeight="1">
      <c r="A906" s="290"/>
      <c r="B906" s="258"/>
      <c r="C906" s="258"/>
      <c r="D906" s="258"/>
      <c r="E906" s="258"/>
      <c r="F906" s="324"/>
      <c r="G906" s="324"/>
    </row>
    <row r="907" spans="1:7" ht="20.100000000000001" customHeight="1">
      <c r="A907" s="290"/>
      <c r="B907" s="258"/>
      <c r="C907" s="258"/>
      <c r="D907" s="258"/>
      <c r="E907" s="258"/>
      <c r="F907" s="324"/>
      <c r="G907" s="324"/>
    </row>
    <row r="908" spans="1:7" ht="20.100000000000001" customHeight="1">
      <c r="A908" s="290"/>
      <c r="B908" s="258"/>
      <c r="C908" s="258"/>
      <c r="D908" s="258"/>
      <c r="E908" s="258"/>
      <c r="F908" s="324"/>
      <c r="G908" s="324"/>
    </row>
    <row r="909" spans="1:7" ht="20.100000000000001" customHeight="1">
      <c r="A909" s="290"/>
      <c r="B909" s="258"/>
      <c r="C909" s="258"/>
      <c r="D909" s="258"/>
      <c r="E909" s="258"/>
      <c r="F909" s="324"/>
      <c r="G909" s="324"/>
    </row>
    <row r="910" spans="1:7" ht="20.100000000000001" customHeight="1">
      <c r="A910" s="290"/>
      <c r="B910" s="258"/>
      <c r="C910" s="258"/>
      <c r="D910" s="258"/>
      <c r="E910" s="258"/>
      <c r="F910" s="324"/>
      <c r="G910" s="324"/>
    </row>
    <row r="911" spans="1:7" ht="20.100000000000001" customHeight="1">
      <c r="A911" s="290"/>
      <c r="B911" s="258"/>
      <c r="C911" s="258"/>
      <c r="D911" s="258"/>
      <c r="E911" s="258"/>
      <c r="F911" s="324"/>
      <c r="G911" s="324"/>
    </row>
    <row r="912" spans="1:7" ht="20.100000000000001" customHeight="1">
      <c r="A912" s="290"/>
      <c r="B912" s="258"/>
      <c r="C912" s="258"/>
      <c r="D912" s="258"/>
      <c r="E912" s="258"/>
      <c r="F912" s="324"/>
      <c r="G912" s="324"/>
    </row>
    <row r="913" spans="1:7" ht="20.100000000000001" customHeight="1">
      <c r="A913" s="290"/>
      <c r="B913" s="258"/>
      <c r="C913" s="258"/>
      <c r="D913" s="258"/>
      <c r="E913" s="258"/>
      <c r="F913" s="324"/>
      <c r="G913" s="324"/>
    </row>
    <row r="914" spans="1:7" ht="20.100000000000001" customHeight="1">
      <c r="A914" s="290"/>
      <c r="B914" s="258"/>
      <c r="C914" s="258"/>
      <c r="D914" s="258"/>
      <c r="E914" s="258"/>
      <c r="F914" s="324"/>
      <c r="G914" s="324"/>
    </row>
    <row r="915" spans="1:7" ht="20.100000000000001" customHeight="1">
      <c r="A915" s="290"/>
      <c r="B915" s="258"/>
      <c r="C915" s="258"/>
      <c r="D915" s="258"/>
      <c r="E915" s="258"/>
      <c r="F915" s="324"/>
      <c r="G915" s="324"/>
    </row>
    <row r="916" spans="1:7" ht="20.100000000000001" customHeight="1">
      <c r="A916" s="290"/>
      <c r="B916" s="258"/>
      <c r="C916" s="258"/>
      <c r="D916" s="258"/>
      <c r="E916" s="258"/>
      <c r="F916" s="324"/>
      <c r="G916" s="324"/>
    </row>
    <row r="917" spans="1:7" ht="20.100000000000001" customHeight="1">
      <c r="A917" s="290"/>
      <c r="B917" s="258"/>
      <c r="C917" s="258"/>
      <c r="D917" s="258"/>
      <c r="E917" s="258"/>
      <c r="F917" s="324"/>
      <c r="G917" s="324"/>
    </row>
    <row r="918" spans="1:7" ht="20.100000000000001" customHeight="1">
      <c r="A918" s="290"/>
      <c r="B918" s="258"/>
      <c r="C918" s="258"/>
      <c r="D918" s="258"/>
      <c r="E918" s="258"/>
      <c r="F918" s="324"/>
      <c r="G918" s="324"/>
    </row>
    <row r="919" spans="1:7" ht="20.100000000000001" customHeight="1">
      <c r="A919" s="290"/>
      <c r="B919" s="258"/>
      <c r="C919" s="258"/>
      <c r="D919" s="258"/>
      <c r="E919" s="258"/>
      <c r="F919" s="324"/>
      <c r="G919" s="324"/>
    </row>
    <row r="920" spans="1:7" ht="20.100000000000001" customHeight="1">
      <c r="A920" s="290"/>
      <c r="B920" s="258"/>
      <c r="C920" s="258"/>
      <c r="D920" s="258"/>
      <c r="E920" s="258"/>
      <c r="F920" s="324"/>
      <c r="G920" s="324"/>
    </row>
    <row r="921" spans="1:7" ht="20.100000000000001" customHeight="1">
      <c r="A921" s="276"/>
      <c r="B921" s="277"/>
      <c r="C921" s="277"/>
      <c r="D921" s="277"/>
      <c r="E921" s="277"/>
      <c r="F921" s="325"/>
      <c r="G921" s="325"/>
    </row>
    <row r="922" spans="1:7" ht="20.100000000000001" customHeight="1">
      <c r="A922" s="276"/>
      <c r="B922" s="277"/>
      <c r="C922" s="277"/>
      <c r="D922" s="277"/>
      <c r="E922" s="277"/>
      <c r="F922" s="325"/>
      <c r="G922" s="325"/>
    </row>
    <row r="923" spans="1:7" ht="20.100000000000001" customHeight="1">
      <c r="A923" s="276"/>
      <c r="B923" s="277"/>
      <c r="C923" s="277"/>
      <c r="D923" s="277"/>
      <c r="E923" s="277"/>
      <c r="F923" s="325"/>
      <c r="G923" s="325"/>
    </row>
    <row r="924" spans="1:7" ht="20.100000000000001" customHeight="1">
      <c r="A924" s="276"/>
      <c r="B924" s="277"/>
      <c r="C924" s="277"/>
      <c r="D924" s="277"/>
      <c r="E924" s="277"/>
      <c r="F924" s="325"/>
      <c r="G924" s="325"/>
    </row>
    <row r="925" spans="1:7" ht="20.100000000000001" customHeight="1">
      <c r="A925" s="276"/>
      <c r="B925" s="277"/>
      <c r="C925" s="277"/>
      <c r="D925" s="277"/>
      <c r="E925" s="277"/>
      <c r="F925" s="325"/>
      <c r="G925" s="325"/>
    </row>
    <row r="926" spans="1:7" ht="20.100000000000001" customHeight="1">
      <c r="A926" s="276"/>
      <c r="B926" s="277"/>
      <c r="C926" s="277"/>
      <c r="D926" s="277"/>
      <c r="E926" s="277"/>
      <c r="F926" s="325"/>
      <c r="G926" s="325"/>
    </row>
    <row r="927" spans="1:7" ht="20.100000000000001" customHeight="1">
      <c r="A927" s="276"/>
      <c r="B927" s="277"/>
      <c r="C927" s="277"/>
      <c r="D927" s="277"/>
      <c r="E927" s="277"/>
      <c r="F927" s="325"/>
      <c r="G927" s="325"/>
    </row>
    <row r="928" spans="1:7" ht="20.100000000000001" customHeight="1">
      <c r="A928" s="276"/>
      <c r="B928" s="277"/>
      <c r="C928" s="277"/>
      <c r="D928" s="277"/>
      <c r="E928" s="277"/>
      <c r="F928" s="325"/>
      <c r="G928" s="325"/>
    </row>
    <row r="929" spans="1:7" ht="20.100000000000001" customHeight="1">
      <c r="A929" s="276"/>
      <c r="B929" s="277"/>
      <c r="C929" s="277"/>
      <c r="D929" s="277"/>
      <c r="E929" s="277"/>
      <c r="F929" s="325"/>
      <c r="G929" s="325"/>
    </row>
    <row r="930" spans="1:7" ht="20.100000000000001" customHeight="1">
      <c r="A930" s="276"/>
      <c r="B930" s="277"/>
      <c r="C930" s="277"/>
      <c r="D930" s="277"/>
      <c r="E930" s="277"/>
      <c r="F930" s="325"/>
      <c r="G930" s="325"/>
    </row>
    <row r="931" spans="1:7" ht="20.100000000000001" customHeight="1">
      <c r="A931" s="276"/>
      <c r="B931" s="277"/>
      <c r="C931" s="277"/>
      <c r="D931" s="277"/>
      <c r="E931" s="277"/>
      <c r="F931" s="325"/>
      <c r="G931" s="325"/>
    </row>
    <row r="932" spans="1:7" ht="20.100000000000001" customHeight="1">
      <c r="A932" s="276"/>
      <c r="B932" s="277"/>
      <c r="C932" s="277"/>
      <c r="D932" s="277"/>
      <c r="E932" s="277"/>
      <c r="F932" s="325"/>
      <c r="G932" s="325"/>
    </row>
    <row r="933" spans="1:7" ht="20.100000000000001" customHeight="1">
      <c r="A933" s="276"/>
      <c r="B933" s="277"/>
      <c r="C933" s="277"/>
      <c r="D933" s="277"/>
      <c r="E933" s="277"/>
      <c r="F933" s="325"/>
      <c r="G933" s="325"/>
    </row>
    <row r="934" spans="1:7" ht="20.100000000000001" customHeight="1">
      <c r="A934" s="276"/>
      <c r="B934" s="277"/>
      <c r="C934" s="277"/>
      <c r="D934" s="277"/>
      <c r="E934" s="277"/>
      <c r="F934" s="325"/>
      <c r="G934" s="325"/>
    </row>
    <row r="935" spans="1:7" ht="20.100000000000001" customHeight="1">
      <c r="A935" s="276"/>
      <c r="B935" s="277"/>
      <c r="C935" s="277"/>
      <c r="D935" s="277"/>
      <c r="E935" s="277"/>
      <c r="F935" s="325"/>
      <c r="G935" s="325"/>
    </row>
    <row r="936" spans="1:7" ht="20.100000000000001" customHeight="1">
      <c r="A936" s="276"/>
      <c r="B936" s="277"/>
      <c r="C936" s="277"/>
      <c r="D936" s="277"/>
      <c r="E936" s="277"/>
      <c r="F936" s="325"/>
      <c r="G936" s="325"/>
    </row>
    <row r="937" spans="1:7" ht="20.100000000000001" customHeight="1">
      <c r="A937" s="276"/>
      <c r="B937" s="277"/>
      <c r="C937" s="277"/>
      <c r="D937" s="277"/>
      <c r="E937" s="277"/>
      <c r="F937" s="325"/>
      <c r="G937" s="325"/>
    </row>
    <row r="938" spans="1:7" ht="20.100000000000001" customHeight="1">
      <c r="A938" s="276"/>
      <c r="B938" s="277"/>
      <c r="C938" s="277"/>
      <c r="D938" s="277"/>
      <c r="E938" s="277"/>
      <c r="F938" s="325"/>
      <c r="G938" s="325"/>
    </row>
    <row r="939" spans="1:7" ht="20.100000000000001" customHeight="1">
      <c r="A939" s="276"/>
      <c r="B939" s="277"/>
      <c r="C939" s="277"/>
      <c r="D939" s="277"/>
      <c r="E939" s="277"/>
      <c r="F939" s="325"/>
      <c r="G939" s="325"/>
    </row>
    <row r="940" spans="1:7" ht="20.100000000000001" customHeight="1">
      <c r="A940" s="276"/>
      <c r="B940" s="277"/>
      <c r="C940" s="277"/>
      <c r="D940" s="277"/>
      <c r="E940" s="277"/>
      <c r="F940" s="325"/>
      <c r="G940" s="325"/>
    </row>
    <row r="941" spans="1:7" ht="20.100000000000001" customHeight="1">
      <c r="A941" s="276"/>
      <c r="B941" s="277"/>
      <c r="C941" s="277"/>
      <c r="D941" s="277"/>
      <c r="E941" s="277"/>
      <c r="F941" s="325"/>
      <c r="G941" s="325"/>
    </row>
    <row r="942" spans="1:7" ht="20.100000000000001" customHeight="1">
      <c r="A942" s="276"/>
      <c r="B942" s="277"/>
      <c r="C942" s="277"/>
      <c r="D942" s="277"/>
      <c r="E942" s="277"/>
      <c r="F942" s="325"/>
      <c r="G942" s="325"/>
    </row>
    <row r="943" spans="1:7" ht="20.100000000000001" customHeight="1">
      <c r="A943" s="276"/>
      <c r="B943" s="277"/>
      <c r="C943" s="277"/>
      <c r="D943" s="277"/>
      <c r="E943" s="277"/>
      <c r="F943" s="325"/>
      <c r="G943" s="325"/>
    </row>
    <row r="944" spans="1:7" ht="20.100000000000001" customHeight="1">
      <c r="A944" s="276"/>
      <c r="B944" s="277"/>
      <c r="C944" s="277"/>
      <c r="D944" s="277"/>
      <c r="E944" s="277"/>
      <c r="F944" s="325"/>
      <c r="G944" s="325"/>
    </row>
    <row r="945" spans="1:7" ht="20.100000000000001" customHeight="1">
      <c r="A945" s="276"/>
      <c r="B945" s="277"/>
      <c r="C945" s="277"/>
      <c r="D945" s="277"/>
      <c r="E945" s="277"/>
      <c r="F945" s="325"/>
      <c r="G945" s="325"/>
    </row>
    <row r="946" spans="1:7" ht="20.100000000000001" customHeight="1">
      <c r="A946" s="276"/>
      <c r="B946" s="277"/>
      <c r="C946" s="277"/>
      <c r="D946" s="277"/>
      <c r="E946" s="277"/>
      <c r="F946" s="325"/>
      <c r="G946" s="325"/>
    </row>
    <row r="947" spans="1:7" ht="20.100000000000001" customHeight="1">
      <c r="A947" s="276"/>
      <c r="B947" s="277"/>
      <c r="C947" s="277"/>
      <c r="D947" s="277"/>
      <c r="E947" s="277"/>
      <c r="F947" s="325"/>
      <c r="G947" s="325"/>
    </row>
    <row r="948" spans="1:7" ht="20.100000000000001" customHeight="1">
      <c r="A948" s="276"/>
      <c r="B948" s="277"/>
      <c r="C948" s="277"/>
      <c r="D948" s="277"/>
      <c r="E948" s="277"/>
      <c r="F948" s="325"/>
      <c r="G948" s="325"/>
    </row>
    <row r="949" spans="1:7" ht="20.100000000000001" customHeight="1">
      <c r="A949" s="276"/>
      <c r="B949" s="277"/>
      <c r="C949" s="277"/>
      <c r="D949" s="277"/>
      <c r="E949" s="277"/>
      <c r="F949" s="325"/>
      <c r="G949" s="325"/>
    </row>
    <row r="950" spans="1:7" ht="20.100000000000001" customHeight="1">
      <c r="A950" s="276"/>
      <c r="B950" s="277"/>
      <c r="C950" s="277"/>
      <c r="D950" s="277"/>
      <c r="E950" s="277"/>
      <c r="F950" s="325"/>
      <c r="G950" s="325"/>
    </row>
    <row r="951" spans="1:7" ht="20.100000000000001" customHeight="1">
      <c r="A951" s="276"/>
      <c r="B951" s="277"/>
      <c r="C951" s="277"/>
      <c r="D951" s="277"/>
      <c r="E951" s="277"/>
      <c r="F951" s="325"/>
      <c r="G951" s="325"/>
    </row>
    <row r="952" spans="1:7" ht="20.100000000000001" customHeight="1">
      <c r="A952" s="276"/>
      <c r="B952" s="277"/>
      <c r="C952" s="277"/>
      <c r="D952" s="277"/>
      <c r="E952" s="277"/>
      <c r="F952" s="325"/>
      <c r="G952" s="325"/>
    </row>
    <row r="953" spans="1:7" ht="20.100000000000001" customHeight="1">
      <c r="A953" s="276"/>
      <c r="B953" s="277"/>
      <c r="C953" s="277"/>
      <c r="D953" s="277"/>
      <c r="E953" s="277"/>
      <c r="F953" s="325"/>
      <c r="G953" s="325"/>
    </row>
    <row r="954" spans="1:7" ht="20.100000000000001" customHeight="1">
      <c r="A954" s="276"/>
      <c r="B954" s="277"/>
      <c r="C954" s="277"/>
      <c r="D954" s="277"/>
      <c r="E954" s="277"/>
      <c r="F954" s="325"/>
      <c r="G954" s="325"/>
    </row>
    <row r="955" spans="1:7" ht="20.100000000000001" customHeight="1">
      <c r="A955" s="276"/>
      <c r="B955" s="277"/>
      <c r="C955" s="277"/>
      <c r="D955" s="277"/>
      <c r="E955" s="277"/>
      <c r="F955" s="325"/>
      <c r="G955" s="325"/>
    </row>
    <row r="956" spans="1:7" ht="20.100000000000001" customHeight="1">
      <c r="A956" s="276"/>
      <c r="B956" s="277"/>
      <c r="C956" s="277"/>
      <c r="D956" s="277"/>
      <c r="E956" s="277"/>
      <c r="F956" s="325"/>
      <c r="G956" s="325"/>
    </row>
    <row r="957" spans="1:7" ht="20.100000000000001" customHeight="1">
      <c r="A957" s="276"/>
      <c r="B957" s="277"/>
      <c r="C957" s="277"/>
      <c r="D957" s="277"/>
      <c r="E957" s="277"/>
      <c r="F957" s="325"/>
      <c r="G957" s="325"/>
    </row>
    <row r="958" spans="1:7" ht="20.100000000000001" customHeight="1">
      <c r="A958" s="276"/>
      <c r="B958" s="277"/>
      <c r="C958" s="277"/>
      <c r="D958" s="277"/>
      <c r="E958" s="277"/>
      <c r="F958" s="325"/>
      <c r="G958" s="325"/>
    </row>
    <row r="959" spans="1:7" ht="20.100000000000001" customHeight="1">
      <c r="A959" s="276"/>
      <c r="B959" s="277"/>
      <c r="C959" s="277"/>
      <c r="D959" s="277"/>
      <c r="E959" s="277"/>
      <c r="F959" s="325"/>
      <c r="G959" s="325"/>
    </row>
    <row r="960" spans="1:7" ht="20.100000000000001" customHeight="1">
      <c r="A960" s="276"/>
      <c r="B960" s="277"/>
      <c r="C960" s="277"/>
      <c r="D960" s="277"/>
      <c r="E960" s="277"/>
      <c r="F960" s="325"/>
      <c r="G960" s="325"/>
    </row>
    <row r="961" spans="1:7" ht="20.100000000000001" customHeight="1">
      <c r="A961" s="276"/>
      <c r="B961" s="277"/>
      <c r="C961" s="277"/>
      <c r="D961" s="277"/>
      <c r="E961" s="277"/>
      <c r="F961" s="325"/>
      <c r="G961" s="325"/>
    </row>
    <row r="962" spans="1:7" ht="20.100000000000001" customHeight="1">
      <c r="A962" s="276"/>
      <c r="B962" s="277"/>
      <c r="C962" s="277"/>
      <c r="D962" s="277"/>
      <c r="E962" s="277"/>
      <c r="F962" s="325"/>
      <c r="G962" s="325"/>
    </row>
    <row r="963" spans="1:7" ht="20.100000000000001" customHeight="1">
      <c r="A963" s="276"/>
      <c r="B963" s="277"/>
      <c r="C963" s="277"/>
      <c r="D963" s="277"/>
      <c r="E963" s="277"/>
      <c r="F963" s="325"/>
      <c r="G963" s="325"/>
    </row>
    <row r="964" spans="1:7" ht="20.100000000000001" customHeight="1">
      <c r="A964" s="276"/>
      <c r="B964" s="277"/>
      <c r="C964" s="277"/>
      <c r="D964" s="277"/>
      <c r="E964" s="277"/>
      <c r="F964" s="325"/>
      <c r="G964" s="325"/>
    </row>
    <row r="965" spans="1:7" ht="20.100000000000001" customHeight="1">
      <c r="A965" s="276"/>
      <c r="B965" s="277"/>
      <c r="C965" s="277"/>
      <c r="D965" s="277"/>
      <c r="E965" s="277"/>
      <c r="F965" s="325"/>
      <c r="G965" s="325"/>
    </row>
    <row r="966" spans="1:7" ht="20.100000000000001" customHeight="1">
      <c r="A966" s="276"/>
      <c r="B966" s="277"/>
      <c r="C966" s="277"/>
      <c r="D966" s="277"/>
      <c r="E966" s="277"/>
      <c r="F966" s="325"/>
      <c r="G966" s="325"/>
    </row>
    <row r="967" spans="1:7" ht="20.100000000000001" customHeight="1">
      <c r="A967" s="276"/>
      <c r="B967" s="277"/>
      <c r="C967" s="277"/>
      <c r="D967" s="277"/>
      <c r="E967" s="277"/>
      <c r="F967" s="325"/>
      <c r="G967" s="325"/>
    </row>
    <row r="968" spans="1:7" ht="20.100000000000001" customHeight="1">
      <c r="A968" s="276"/>
      <c r="B968" s="277"/>
      <c r="C968" s="277"/>
      <c r="D968" s="277"/>
      <c r="E968" s="277"/>
      <c r="F968" s="325"/>
      <c r="G968" s="325"/>
    </row>
    <row r="969" spans="1:7" ht="20.100000000000001" customHeight="1">
      <c r="A969" s="276"/>
      <c r="B969" s="277"/>
      <c r="C969" s="277"/>
      <c r="D969" s="277"/>
      <c r="E969" s="277"/>
      <c r="F969" s="325"/>
      <c r="G969" s="325"/>
    </row>
    <row r="970" spans="1:7" ht="20.100000000000001" customHeight="1">
      <c r="A970" s="276"/>
      <c r="B970" s="277"/>
      <c r="C970" s="277"/>
      <c r="D970" s="277"/>
      <c r="E970" s="277"/>
      <c r="F970" s="325"/>
      <c r="G970" s="325"/>
    </row>
    <row r="971" spans="1:7" ht="20.100000000000001" customHeight="1">
      <c r="A971" s="276"/>
      <c r="B971" s="277"/>
      <c r="C971" s="277"/>
      <c r="D971" s="277"/>
      <c r="E971" s="277"/>
      <c r="F971" s="325"/>
      <c r="G971" s="325"/>
    </row>
    <row r="972" spans="1:7" ht="20.100000000000001" customHeight="1">
      <c r="A972" s="276"/>
      <c r="B972" s="277"/>
      <c r="C972" s="277"/>
      <c r="D972" s="277"/>
      <c r="E972" s="277"/>
      <c r="F972" s="325"/>
      <c r="G972" s="325"/>
    </row>
    <row r="973" spans="1:7" ht="20.100000000000001" customHeight="1">
      <c r="A973" s="276"/>
      <c r="B973" s="277"/>
      <c r="C973" s="277"/>
      <c r="D973" s="277"/>
      <c r="E973" s="277"/>
      <c r="F973" s="325"/>
      <c r="G973" s="325"/>
    </row>
    <row r="974" spans="1:7" ht="20.100000000000001" customHeight="1">
      <c r="A974" s="276"/>
      <c r="B974" s="277"/>
      <c r="C974" s="277"/>
      <c r="D974" s="277"/>
      <c r="E974" s="277"/>
      <c r="F974" s="325"/>
      <c r="G974" s="325"/>
    </row>
    <row r="975" spans="1:7" ht="20.100000000000001" customHeight="1">
      <c r="A975" s="276"/>
      <c r="B975" s="277"/>
      <c r="C975" s="277"/>
      <c r="D975" s="277"/>
      <c r="E975" s="277"/>
      <c r="F975" s="325"/>
      <c r="G975" s="325"/>
    </row>
    <row r="976" spans="1:7" ht="20.100000000000001" customHeight="1">
      <c r="A976" s="276"/>
      <c r="B976" s="277"/>
      <c r="C976" s="277"/>
      <c r="D976" s="277"/>
      <c r="E976" s="277"/>
      <c r="F976" s="325"/>
      <c r="G976" s="325"/>
    </row>
    <row r="977" spans="1:7" ht="20.100000000000001" customHeight="1">
      <c r="A977" s="276"/>
      <c r="B977" s="277"/>
      <c r="C977" s="277"/>
      <c r="D977" s="277"/>
      <c r="E977" s="277"/>
      <c r="F977" s="325"/>
      <c r="G977" s="325"/>
    </row>
    <row r="978" spans="1:7" ht="20.100000000000001" customHeight="1">
      <c r="A978" s="276"/>
      <c r="B978" s="277"/>
      <c r="C978" s="277"/>
      <c r="D978" s="277"/>
      <c r="E978" s="277"/>
      <c r="F978" s="325"/>
      <c r="G978" s="325"/>
    </row>
    <row r="979" spans="1:7" ht="20.100000000000001" customHeight="1">
      <c r="A979" s="276"/>
      <c r="B979" s="277"/>
      <c r="C979" s="277"/>
      <c r="D979" s="277"/>
      <c r="E979" s="277"/>
      <c r="F979" s="325"/>
      <c r="G979" s="325"/>
    </row>
    <row r="980" spans="1:7" ht="20.100000000000001" customHeight="1">
      <c r="A980" s="276"/>
      <c r="B980" s="277"/>
      <c r="C980" s="277"/>
      <c r="D980" s="277"/>
      <c r="E980" s="277"/>
      <c r="F980" s="325"/>
      <c r="G980" s="325"/>
    </row>
    <row r="981" spans="1:7" ht="20.100000000000001" customHeight="1">
      <c r="A981" s="276"/>
      <c r="B981" s="277"/>
      <c r="C981" s="277"/>
      <c r="D981" s="277"/>
      <c r="E981" s="277"/>
      <c r="F981" s="325"/>
      <c r="G981" s="325"/>
    </row>
    <row r="982" spans="1:7" ht="20.100000000000001" customHeight="1">
      <c r="A982" s="276"/>
      <c r="B982" s="277"/>
      <c r="C982" s="277"/>
      <c r="D982" s="277"/>
      <c r="E982" s="277"/>
      <c r="F982" s="325"/>
      <c r="G982" s="325"/>
    </row>
    <row r="983" spans="1:7" ht="20.100000000000001" customHeight="1">
      <c r="A983" s="276"/>
      <c r="B983" s="277"/>
      <c r="C983" s="277"/>
      <c r="D983" s="277"/>
      <c r="E983" s="277"/>
      <c r="F983" s="325"/>
      <c r="G983" s="325"/>
    </row>
    <row r="984" spans="1:7" ht="20.100000000000001" customHeight="1">
      <c r="A984" s="276"/>
      <c r="B984" s="277"/>
      <c r="C984" s="277"/>
      <c r="D984" s="277"/>
      <c r="E984" s="277"/>
      <c r="F984" s="325"/>
      <c r="G984" s="325"/>
    </row>
    <row r="985" spans="1:7" ht="20.100000000000001" customHeight="1">
      <c r="A985" s="276"/>
      <c r="B985" s="277"/>
      <c r="C985" s="277"/>
      <c r="D985" s="277"/>
      <c r="E985" s="277"/>
      <c r="F985" s="325"/>
      <c r="G985" s="325"/>
    </row>
    <row r="986" spans="1:7" ht="20.100000000000001" customHeight="1">
      <c r="A986" s="276"/>
      <c r="B986" s="277"/>
      <c r="C986" s="277"/>
      <c r="D986" s="277"/>
      <c r="E986" s="277"/>
      <c r="F986" s="325"/>
      <c r="G986" s="325"/>
    </row>
    <row r="987" spans="1:7" ht="20.100000000000001" customHeight="1">
      <c r="A987" s="276"/>
      <c r="B987" s="277"/>
      <c r="C987" s="277"/>
      <c r="D987" s="277"/>
      <c r="E987" s="277"/>
      <c r="F987" s="325"/>
      <c r="G987" s="325"/>
    </row>
    <row r="988" spans="1:7" ht="20.100000000000001" customHeight="1">
      <c r="A988" s="276"/>
      <c r="B988" s="277"/>
      <c r="C988" s="277"/>
      <c r="D988" s="277"/>
      <c r="E988" s="277"/>
      <c r="F988" s="325"/>
      <c r="G988" s="325"/>
    </row>
    <row r="989" spans="1:7" ht="20.100000000000001" customHeight="1">
      <c r="A989" s="276"/>
      <c r="B989" s="277"/>
      <c r="C989" s="277"/>
      <c r="D989" s="277"/>
      <c r="E989" s="277"/>
      <c r="F989" s="325"/>
      <c r="G989" s="325"/>
    </row>
    <row r="990" spans="1:7" ht="20.100000000000001" customHeight="1">
      <c r="A990" s="276"/>
      <c r="B990" s="277"/>
      <c r="C990" s="277"/>
      <c r="D990" s="277"/>
      <c r="E990" s="277"/>
      <c r="F990" s="325"/>
      <c r="G990" s="325"/>
    </row>
    <row r="991" spans="1:7" ht="20.100000000000001" customHeight="1">
      <c r="A991" s="276"/>
      <c r="B991" s="277"/>
      <c r="C991" s="277"/>
      <c r="D991" s="277"/>
      <c r="E991" s="277"/>
      <c r="F991" s="325"/>
      <c r="G991" s="325"/>
    </row>
    <row r="992" spans="1:7" ht="20.100000000000001" customHeight="1">
      <c r="A992" s="276"/>
      <c r="B992" s="277"/>
      <c r="C992" s="277"/>
      <c r="D992" s="277"/>
      <c r="E992" s="277"/>
      <c r="F992" s="325"/>
      <c r="G992" s="325"/>
    </row>
    <row r="993" spans="1:7" ht="20.100000000000001" customHeight="1">
      <c r="A993" s="276"/>
      <c r="B993" s="277"/>
      <c r="C993" s="277"/>
      <c r="D993" s="277"/>
      <c r="E993" s="277"/>
      <c r="F993" s="325"/>
      <c r="G993" s="325"/>
    </row>
    <row r="994" spans="1:7" ht="20.100000000000001" customHeight="1">
      <c r="A994" s="276"/>
      <c r="B994" s="277"/>
      <c r="C994" s="277"/>
      <c r="D994" s="277"/>
      <c r="E994" s="277"/>
      <c r="F994" s="325"/>
      <c r="G994" s="325"/>
    </row>
    <row r="995" spans="1:7" ht="20.100000000000001" customHeight="1">
      <c r="A995" s="276"/>
      <c r="B995" s="277"/>
      <c r="C995" s="277"/>
      <c r="D995" s="277"/>
      <c r="E995" s="277"/>
      <c r="F995" s="325"/>
      <c r="G995" s="325"/>
    </row>
    <row r="996" spans="1:7" ht="20.100000000000001" customHeight="1">
      <c r="A996" s="276"/>
      <c r="B996" s="277"/>
      <c r="C996" s="277"/>
      <c r="D996" s="277"/>
      <c r="E996" s="277"/>
      <c r="F996" s="325"/>
      <c r="G996" s="325"/>
    </row>
    <row r="997" spans="1:7" ht="20.100000000000001" customHeight="1">
      <c r="A997" s="276"/>
      <c r="B997" s="277"/>
      <c r="C997" s="277"/>
      <c r="D997" s="277"/>
      <c r="E997" s="277"/>
      <c r="F997" s="325"/>
      <c r="G997" s="325"/>
    </row>
    <row r="998" spans="1:7" ht="20.100000000000001" customHeight="1">
      <c r="A998" s="276"/>
      <c r="B998" s="277"/>
      <c r="C998" s="277"/>
      <c r="D998" s="277"/>
      <c r="E998" s="277"/>
      <c r="F998" s="325"/>
      <c r="G998" s="325"/>
    </row>
    <row r="999" spans="1:7" ht="20.100000000000001" customHeight="1">
      <c r="A999" s="276"/>
      <c r="B999" s="277"/>
      <c r="C999" s="277"/>
      <c r="D999" s="277"/>
      <c r="E999" s="277"/>
      <c r="F999" s="325"/>
      <c r="G999" s="325"/>
    </row>
    <row r="1000" spans="1:7" ht="20.100000000000001" customHeight="1">
      <c r="A1000" s="276"/>
      <c r="B1000" s="277"/>
      <c r="C1000" s="277"/>
      <c r="D1000" s="277"/>
      <c r="E1000" s="277"/>
      <c r="F1000" s="325"/>
      <c r="G1000" s="325"/>
    </row>
    <row r="1001" spans="1:7" ht="20.100000000000001" customHeight="1">
      <c r="A1001" s="276"/>
      <c r="B1001" s="277"/>
      <c r="C1001" s="277"/>
      <c r="D1001" s="277"/>
      <c r="E1001" s="277"/>
      <c r="F1001" s="325"/>
      <c r="G1001" s="325"/>
    </row>
    <row r="1002" spans="1:7" ht="20.100000000000001" customHeight="1">
      <c r="A1002" s="276"/>
      <c r="B1002" s="277"/>
      <c r="C1002" s="277"/>
      <c r="D1002" s="277"/>
      <c r="E1002" s="277"/>
      <c r="F1002" s="325"/>
      <c r="G1002" s="325"/>
    </row>
    <row r="1003" spans="1:7" ht="20.100000000000001" customHeight="1">
      <c r="A1003" s="276"/>
      <c r="B1003" s="277"/>
      <c r="C1003" s="277"/>
      <c r="D1003" s="277"/>
      <c r="E1003" s="277"/>
      <c r="F1003" s="325"/>
      <c r="G1003" s="325"/>
    </row>
    <row r="1004" spans="1:7" ht="20.100000000000001" customHeight="1">
      <c r="A1004" s="276"/>
      <c r="B1004" s="277"/>
      <c r="C1004" s="277"/>
      <c r="D1004" s="277"/>
      <c r="E1004" s="277"/>
      <c r="F1004" s="325"/>
      <c r="G1004" s="325"/>
    </row>
    <row r="1005" spans="1:7" ht="20.100000000000001" customHeight="1">
      <c r="A1005" s="276"/>
      <c r="B1005" s="277"/>
      <c r="C1005" s="277"/>
      <c r="D1005" s="277"/>
      <c r="E1005" s="277"/>
      <c r="F1005" s="325"/>
      <c r="G1005" s="325"/>
    </row>
    <row r="1006" spans="1:7" ht="20.100000000000001" customHeight="1">
      <c r="A1006" s="276"/>
      <c r="B1006" s="277"/>
      <c r="C1006" s="277"/>
      <c r="D1006" s="277"/>
      <c r="E1006" s="277"/>
      <c r="F1006" s="325"/>
      <c r="G1006" s="325"/>
    </row>
    <row r="1007" spans="1:7" ht="20.100000000000001" customHeight="1">
      <c r="A1007" s="276"/>
      <c r="B1007" s="277"/>
      <c r="C1007" s="277"/>
      <c r="D1007" s="277"/>
      <c r="E1007" s="277"/>
      <c r="F1007" s="325"/>
      <c r="G1007" s="325"/>
    </row>
    <row r="1008" spans="1:7" ht="20.100000000000001" customHeight="1">
      <c r="A1008" s="276"/>
      <c r="B1008" s="277"/>
      <c r="C1008" s="277"/>
      <c r="D1008" s="277"/>
      <c r="E1008" s="277"/>
      <c r="F1008" s="325"/>
      <c r="G1008" s="325"/>
    </row>
    <row r="1009" spans="1:7" ht="20.100000000000001" customHeight="1">
      <c r="A1009" s="276"/>
      <c r="B1009" s="277"/>
      <c r="C1009" s="277"/>
      <c r="D1009" s="277"/>
      <c r="E1009" s="277"/>
      <c r="F1009" s="325"/>
      <c r="G1009" s="325"/>
    </row>
    <row r="1010" spans="1:7" ht="20.100000000000001" customHeight="1">
      <c r="A1010" s="276"/>
      <c r="B1010" s="277"/>
      <c r="C1010" s="277"/>
      <c r="D1010" s="277"/>
      <c r="E1010" s="277"/>
      <c r="F1010" s="325"/>
      <c r="G1010" s="325"/>
    </row>
    <row r="1011" spans="1:7" ht="20.100000000000001" customHeight="1">
      <c r="A1011" s="276"/>
      <c r="B1011" s="277"/>
      <c r="C1011" s="277"/>
      <c r="D1011" s="277"/>
      <c r="E1011" s="277"/>
      <c r="F1011" s="325"/>
      <c r="G1011" s="325"/>
    </row>
    <row r="1012" spans="1:7" ht="20.100000000000001" customHeight="1">
      <c r="A1012" s="276"/>
      <c r="B1012" s="277"/>
      <c r="C1012" s="277"/>
      <c r="D1012" s="277"/>
      <c r="E1012" s="277"/>
      <c r="F1012" s="325"/>
      <c r="G1012" s="325"/>
    </row>
    <row r="1013" spans="1:7" ht="20.100000000000001" customHeight="1">
      <c r="A1013" s="276"/>
      <c r="B1013" s="277"/>
      <c r="C1013" s="277"/>
      <c r="D1013" s="277"/>
      <c r="E1013" s="277"/>
      <c r="F1013" s="325"/>
      <c r="G1013" s="325"/>
    </row>
    <row r="1014" spans="1:7" ht="20.100000000000001" customHeight="1">
      <c r="A1014" s="276"/>
      <c r="B1014" s="277"/>
      <c r="C1014" s="277"/>
      <c r="D1014" s="277"/>
      <c r="E1014" s="277"/>
      <c r="F1014" s="325"/>
      <c r="G1014" s="325"/>
    </row>
    <row r="1015" spans="1:7" ht="20.100000000000001" customHeight="1">
      <c r="A1015" s="276"/>
      <c r="B1015" s="277"/>
      <c r="C1015" s="277"/>
      <c r="D1015" s="277"/>
      <c r="E1015" s="277"/>
      <c r="F1015" s="325"/>
      <c r="G1015" s="325"/>
    </row>
    <row r="1016" spans="1:7" ht="20.100000000000001" customHeight="1">
      <c r="A1016" s="276"/>
      <c r="B1016" s="277"/>
      <c r="C1016" s="277"/>
      <c r="D1016" s="277"/>
      <c r="E1016" s="277"/>
      <c r="F1016" s="325"/>
      <c r="G1016" s="325"/>
    </row>
    <row r="1017" spans="1:7" ht="20.100000000000001" customHeight="1">
      <c r="A1017" s="276"/>
      <c r="B1017" s="277"/>
      <c r="C1017" s="277"/>
      <c r="D1017" s="277"/>
      <c r="E1017" s="277"/>
      <c r="F1017" s="325"/>
      <c r="G1017" s="325"/>
    </row>
    <row r="1018" spans="1:7" ht="20.100000000000001" customHeight="1">
      <c r="A1018" s="276"/>
      <c r="B1018" s="277"/>
      <c r="C1018" s="277"/>
      <c r="D1018" s="277"/>
      <c r="E1018" s="277"/>
      <c r="F1018" s="325"/>
      <c r="G1018" s="325"/>
    </row>
    <row r="1019" spans="1:7" ht="20.100000000000001" customHeight="1">
      <c r="A1019" s="276"/>
      <c r="B1019" s="277"/>
      <c r="C1019" s="277"/>
      <c r="D1019" s="277"/>
      <c r="E1019" s="277"/>
      <c r="F1019" s="325"/>
      <c r="G1019" s="325"/>
    </row>
    <row r="1020" spans="1:7" ht="20.100000000000001" customHeight="1">
      <c r="A1020" s="276"/>
      <c r="B1020" s="277"/>
      <c r="C1020" s="277"/>
      <c r="D1020" s="277"/>
      <c r="E1020" s="277"/>
      <c r="F1020" s="325"/>
      <c r="G1020" s="325"/>
    </row>
    <row r="1021" spans="1:7" ht="20.100000000000001" customHeight="1">
      <c r="A1021" s="276"/>
      <c r="B1021" s="277"/>
      <c r="C1021" s="277"/>
      <c r="D1021" s="277"/>
      <c r="E1021" s="277"/>
      <c r="F1021" s="325"/>
      <c r="G1021" s="325"/>
    </row>
    <row r="1022" spans="1:7" ht="20.100000000000001" customHeight="1">
      <c r="A1022" s="276"/>
      <c r="B1022" s="277"/>
      <c r="C1022" s="277"/>
      <c r="D1022" s="277"/>
      <c r="E1022" s="277"/>
      <c r="F1022" s="325"/>
      <c r="G1022" s="325"/>
    </row>
    <row r="1023" spans="1:7" ht="20.100000000000001" customHeight="1">
      <c r="A1023" s="276"/>
      <c r="B1023" s="277"/>
      <c r="C1023" s="277"/>
      <c r="D1023" s="277"/>
      <c r="E1023" s="277"/>
      <c r="F1023" s="325"/>
      <c r="G1023" s="325"/>
    </row>
    <row r="1024" spans="1:7" ht="20.100000000000001" customHeight="1">
      <c r="A1024" s="276"/>
      <c r="B1024" s="277"/>
      <c r="C1024" s="277"/>
      <c r="D1024" s="277"/>
      <c r="E1024" s="277"/>
      <c r="F1024" s="325"/>
      <c r="G1024" s="325"/>
    </row>
    <row r="1025" spans="1:7" ht="20.100000000000001" customHeight="1">
      <c r="A1025" s="276"/>
      <c r="B1025" s="277"/>
      <c r="C1025" s="277"/>
      <c r="D1025" s="277"/>
      <c r="E1025" s="277"/>
      <c r="F1025" s="325"/>
      <c r="G1025" s="325"/>
    </row>
    <row r="1026" spans="1:7" ht="20.100000000000001" customHeight="1">
      <c r="A1026" s="276"/>
      <c r="B1026" s="277"/>
      <c r="C1026" s="277"/>
      <c r="D1026" s="277"/>
      <c r="E1026" s="277"/>
      <c r="F1026" s="325"/>
      <c r="G1026" s="325"/>
    </row>
    <row r="1027" spans="1:7" ht="20.100000000000001" customHeight="1">
      <c r="A1027" s="276"/>
      <c r="B1027" s="277"/>
      <c r="C1027" s="277"/>
      <c r="D1027" s="277"/>
      <c r="E1027" s="277"/>
      <c r="F1027" s="325"/>
      <c r="G1027" s="325"/>
    </row>
    <row r="1028" spans="1:7" ht="20.100000000000001" customHeight="1">
      <c r="A1028" s="276"/>
      <c r="B1028" s="277"/>
      <c r="C1028" s="277"/>
      <c r="D1028" s="277"/>
      <c r="E1028" s="277"/>
      <c r="F1028" s="325"/>
      <c r="G1028" s="325"/>
    </row>
    <row r="1029" spans="1:7" ht="20.100000000000001" customHeight="1">
      <c r="A1029" s="276"/>
      <c r="B1029" s="277"/>
      <c r="C1029" s="277"/>
      <c r="D1029" s="277"/>
      <c r="E1029" s="277"/>
      <c r="F1029" s="325"/>
      <c r="G1029" s="325"/>
    </row>
    <row r="1030" spans="1:7" ht="20.100000000000001" customHeight="1">
      <c r="A1030" s="276"/>
      <c r="B1030" s="277"/>
      <c r="C1030" s="277"/>
      <c r="D1030" s="277"/>
      <c r="E1030" s="277"/>
      <c r="F1030" s="325"/>
      <c r="G1030" s="325"/>
    </row>
    <row r="1031" spans="1:7" ht="20.100000000000001" customHeight="1">
      <c r="A1031" s="276"/>
      <c r="B1031" s="277"/>
      <c r="C1031" s="277"/>
      <c r="D1031" s="277"/>
      <c r="E1031" s="277"/>
      <c r="F1031" s="325"/>
      <c r="G1031" s="325"/>
    </row>
    <row r="1032" spans="1:7" ht="20.100000000000001" customHeight="1">
      <c r="A1032" s="276"/>
      <c r="B1032" s="277"/>
      <c r="C1032" s="277"/>
      <c r="D1032" s="277"/>
      <c r="E1032" s="277"/>
      <c r="F1032" s="325"/>
      <c r="G1032" s="325"/>
    </row>
    <row r="1033" spans="1:7" ht="20.100000000000001" customHeight="1">
      <c r="A1033" s="276"/>
      <c r="B1033" s="277"/>
      <c r="C1033" s="277"/>
      <c r="D1033" s="277"/>
      <c r="E1033" s="277"/>
      <c r="F1033" s="325"/>
      <c r="G1033" s="325"/>
    </row>
    <row r="1034" spans="1:7" ht="20.100000000000001" customHeight="1">
      <c r="A1034" s="276"/>
      <c r="B1034" s="277"/>
      <c r="C1034" s="277"/>
      <c r="D1034" s="277"/>
      <c r="E1034" s="277"/>
      <c r="F1034" s="325"/>
      <c r="G1034" s="325"/>
    </row>
    <row r="1035" spans="1:7" ht="20.100000000000001" customHeight="1">
      <c r="A1035" s="276"/>
      <c r="B1035" s="277"/>
      <c r="C1035" s="277"/>
      <c r="D1035" s="277"/>
      <c r="E1035" s="277"/>
      <c r="F1035" s="325"/>
      <c r="G1035" s="325"/>
    </row>
    <row r="1036" spans="1:7" ht="20.100000000000001" customHeight="1">
      <c r="A1036" s="276"/>
      <c r="B1036" s="277"/>
      <c r="C1036" s="277"/>
      <c r="D1036" s="277"/>
      <c r="E1036" s="277"/>
      <c r="F1036" s="325"/>
      <c r="G1036" s="325"/>
    </row>
    <row r="1037" spans="1:7" ht="20.100000000000001" customHeight="1">
      <c r="A1037" s="276"/>
      <c r="B1037" s="277"/>
      <c r="C1037" s="277"/>
      <c r="D1037" s="277"/>
      <c r="E1037" s="277"/>
      <c r="F1037" s="325"/>
      <c r="G1037" s="325"/>
    </row>
    <row r="1038" spans="1:7" ht="20.100000000000001" customHeight="1">
      <c r="A1038" s="276"/>
      <c r="B1038" s="277"/>
      <c r="C1038" s="277"/>
      <c r="D1038" s="277"/>
      <c r="E1038" s="277"/>
      <c r="F1038" s="325"/>
      <c r="G1038" s="325"/>
    </row>
    <row r="1039" spans="1:7" ht="20.100000000000001" customHeight="1">
      <c r="A1039" s="276"/>
      <c r="B1039" s="277"/>
      <c r="C1039" s="277"/>
      <c r="D1039" s="277"/>
      <c r="E1039" s="277"/>
      <c r="F1039" s="325"/>
      <c r="G1039" s="325"/>
    </row>
    <row r="1040" spans="1:7" ht="20.100000000000001" customHeight="1">
      <c r="A1040" s="276"/>
      <c r="B1040" s="277"/>
      <c r="C1040" s="277"/>
      <c r="D1040" s="277"/>
      <c r="E1040" s="277"/>
      <c r="F1040" s="325"/>
      <c r="G1040" s="325"/>
    </row>
    <row r="1041" spans="1:7" ht="20.100000000000001" customHeight="1">
      <c r="A1041" s="276"/>
      <c r="B1041" s="277"/>
      <c r="C1041" s="277"/>
      <c r="D1041" s="277"/>
      <c r="E1041" s="277"/>
      <c r="F1041" s="325"/>
      <c r="G1041" s="325"/>
    </row>
    <row r="1042" spans="1:7" ht="20.100000000000001" customHeight="1">
      <c r="A1042" s="276"/>
      <c r="B1042" s="277"/>
      <c r="C1042" s="277"/>
      <c r="D1042" s="277"/>
      <c r="E1042" s="277"/>
      <c r="F1042" s="325"/>
      <c r="G1042" s="325"/>
    </row>
    <row r="1043" spans="1:7" ht="20.100000000000001" customHeight="1">
      <c r="A1043" s="276"/>
      <c r="B1043" s="277"/>
      <c r="C1043" s="277"/>
      <c r="D1043" s="277"/>
      <c r="E1043" s="277"/>
      <c r="F1043" s="325"/>
      <c r="G1043" s="325"/>
    </row>
    <row r="1044" spans="1:7" ht="20.100000000000001" customHeight="1">
      <c r="A1044" s="276"/>
      <c r="B1044" s="277"/>
      <c r="C1044" s="277"/>
      <c r="D1044" s="277"/>
      <c r="E1044" s="277"/>
      <c r="F1044" s="325"/>
      <c r="G1044" s="325"/>
    </row>
    <row r="1045" spans="1:7" ht="20.100000000000001" customHeight="1">
      <c r="A1045" s="276"/>
      <c r="B1045" s="277"/>
      <c r="C1045" s="277"/>
      <c r="D1045" s="277"/>
      <c r="E1045" s="277"/>
      <c r="F1045" s="325"/>
      <c r="G1045" s="325"/>
    </row>
    <row r="1046" spans="1:7" ht="20.100000000000001" customHeight="1">
      <c r="A1046" s="276"/>
      <c r="B1046" s="277"/>
      <c r="C1046" s="277"/>
      <c r="D1046" s="277"/>
      <c r="E1046" s="277"/>
      <c r="F1046" s="325"/>
      <c r="G1046" s="325"/>
    </row>
    <row r="1047" spans="1:7" ht="20.100000000000001" customHeight="1">
      <c r="A1047" s="276"/>
      <c r="B1047" s="277"/>
      <c r="C1047" s="277"/>
      <c r="D1047" s="277"/>
      <c r="E1047" s="277"/>
      <c r="F1047" s="325"/>
      <c r="G1047" s="325"/>
    </row>
    <row r="1048" spans="1:7" ht="20.100000000000001" customHeight="1">
      <c r="A1048" s="276"/>
      <c r="B1048" s="277"/>
      <c r="C1048" s="277"/>
      <c r="D1048" s="277"/>
      <c r="E1048" s="277"/>
      <c r="F1048" s="325"/>
      <c r="G1048" s="325"/>
    </row>
    <row r="1049" spans="1:7" ht="20.100000000000001" customHeight="1">
      <c r="A1049" s="276"/>
      <c r="B1049" s="277"/>
      <c r="C1049" s="277"/>
      <c r="D1049" s="277"/>
      <c r="E1049" s="277"/>
      <c r="F1049" s="325"/>
      <c r="G1049" s="325"/>
    </row>
    <row r="1050" spans="1:7" ht="20.100000000000001" customHeight="1">
      <c r="A1050" s="276"/>
      <c r="B1050" s="277"/>
      <c r="C1050" s="277"/>
      <c r="D1050" s="277"/>
      <c r="E1050" s="277"/>
      <c r="F1050" s="325"/>
      <c r="G1050" s="325"/>
    </row>
    <row r="1051" spans="1:7" ht="20.100000000000001" customHeight="1">
      <c r="A1051" s="276"/>
      <c r="B1051" s="277"/>
      <c r="C1051" s="277"/>
      <c r="D1051" s="277"/>
      <c r="E1051" s="277"/>
      <c r="F1051" s="325"/>
      <c r="G1051" s="325"/>
    </row>
    <row r="1052" spans="1:7" ht="20.100000000000001" customHeight="1">
      <c r="A1052" s="276"/>
      <c r="B1052" s="277"/>
      <c r="C1052" s="277"/>
      <c r="D1052" s="277"/>
      <c r="E1052" s="277"/>
      <c r="F1052" s="325"/>
      <c r="G1052" s="325"/>
    </row>
    <row r="1053" spans="1:7" ht="20.100000000000001" customHeight="1">
      <c r="A1053" s="276"/>
      <c r="B1053" s="277"/>
      <c r="C1053" s="277"/>
      <c r="D1053" s="277"/>
      <c r="E1053" s="277"/>
      <c r="F1053" s="325"/>
      <c r="G1053" s="325"/>
    </row>
    <row r="1054" spans="1:7" ht="20.100000000000001" customHeight="1">
      <c r="A1054" s="276"/>
      <c r="B1054" s="277"/>
      <c r="C1054" s="277"/>
      <c r="D1054" s="277"/>
      <c r="E1054" s="277"/>
      <c r="F1054" s="325"/>
      <c r="G1054" s="325"/>
    </row>
    <row r="1055" spans="1:7" ht="20.100000000000001" customHeight="1">
      <c r="A1055" s="276"/>
      <c r="B1055" s="277"/>
      <c r="C1055" s="277"/>
      <c r="D1055" s="277"/>
      <c r="E1055" s="277"/>
      <c r="F1055" s="325"/>
      <c r="G1055" s="325"/>
    </row>
    <row r="1056" spans="1:7" ht="20.100000000000001" customHeight="1">
      <c r="A1056" s="276"/>
      <c r="B1056" s="277"/>
      <c r="C1056" s="277"/>
      <c r="D1056" s="277"/>
      <c r="E1056" s="277"/>
      <c r="F1056" s="325"/>
      <c r="G1056" s="325"/>
    </row>
    <row r="1057" spans="1:7" ht="20.100000000000001" customHeight="1">
      <c r="A1057" s="276"/>
      <c r="B1057" s="277"/>
      <c r="C1057" s="277"/>
      <c r="D1057" s="277"/>
      <c r="E1057" s="277"/>
      <c r="F1057" s="325"/>
      <c r="G1057" s="325"/>
    </row>
    <row r="1058" spans="1:7" ht="20.100000000000001" customHeight="1">
      <c r="A1058" s="276"/>
      <c r="B1058" s="277"/>
      <c r="C1058" s="277"/>
      <c r="D1058" s="277"/>
      <c r="E1058" s="277"/>
      <c r="F1058" s="325"/>
      <c r="G1058" s="325"/>
    </row>
    <row r="1059" spans="1:7" ht="20.100000000000001" customHeight="1">
      <c r="A1059" s="276"/>
      <c r="B1059" s="277"/>
      <c r="C1059" s="277"/>
      <c r="D1059" s="277"/>
      <c r="E1059" s="277"/>
      <c r="F1059" s="325"/>
      <c r="G1059" s="325"/>
    </row>
    <row r="1060" spans="1:7" ht="20.100000000000001" customHeight="1">
      <c r="A1060" s="276"/>
      <c r="B1060" s="277"/>
      <c r="C1060" s="277"/>
      <c r="D1060" s="277"/>
      <c r="E1060" s="277"/>
      <c r="F1060" s="325"/>
      <c r="G1060" s="325"/>
    </row>
    <row r="1061" spans="1:7" ht="20.100000000000001" customHeight="1">
      <c r="A1061" s="276"/>
      <c r="B1061" s="277"/>
      <c r="C1061" s="277"/>
      <c r="D1061" s="277"/>
      <c r="E1061" s="277"/>
      <c r="F1061" s="325"/>
      <c r="G1061" s="325"/>
    </row>
    <row r="1062" spans="1:7" ht="20.100000000000001" customHeight="1">
      <c r="A1062" s="276"/>
      <c r="B1062" s="277"/>
      <c r="C1062" s="277"/>
      <c r="D1062" s="277"/>
      <c r="E1062" s="277"/>
      <c r="F1062" s="325"/>
      <c r="G1062" s="325"/>
    </row>
    <row r="1063" spans="1:7" ht="20.100000000000001" customHeight="1">
      <c r="A1063" s="276"/>
      <c r="B1063" s="277"/>
      <c r="C1063" s="277"/>
      <c r="D1063" s="277"/>
      <c r="E1063" s="277"/>
      <c r="F1063" s="325"/>
      <c r="G1063" s="325"/>
    </row>
    <row r="1064" spans="1:7" ht="20.100000000000001" customHeight="1">
      <c r="A1064" s="276"/>
      <c r="B1064" s="277"/>
      <c r="C1064" s="277"/>
      <c r="D1064" s="277"/>
      <c r="E1064" s="277"/>
      <c r="F1064" s="325"/>
      <c r="G1064" s="325"/>
    </row>
    <row r="1065" spans="1:7" ht="20.100000000000001" customHeight="1">
      <c r="A1065" s="276"/>
      <c r="B1065" s="277"/>
      <c r="C1065" s="277"/>
      <c r="D1065" s="277"/>
      <c r="E1065" s="277"/>
      <c r="F1065" s="325"/>
      <c r="G1065" s="325"/>
    </row>
    <row r="1066" spans="1:7" ht="20.100000000000001" customHeight="1">
      <c r="A1066" s="276"/>
      <c r="B1066" s="277"/>
      <c r="C1066" s="277"/>
      <c r="D1066" s="277"/>
      <c r="E1066" s="277"/>
      <c r="F1066" s="325"/>
      <c r="G1066" s="325"/>
    </row>
    <row r="1067" spans="1:7" ht="20.100000000000001" customHeight="1">
      <c r="A1067" s="276"/>
      <c r="B1067" s="277"/>
      <c r="C1067" s="277"/>
      <c r="D1067" s="277"/>
      <c r="E1067" s="277"/>
      <c r="F1067" s="325"/>
      <c r="G1067" s="325"/>
    </row>
    <row r="1068" spans="1:7" ht="20.100000000000001" customHeight="1">
      <c r="A1068" s="276"/>
      <c r="B1068" s="277"/>
      <c r="C1068" s="277"/>
      <c r="D1068" s="277"/>
      <c r="E1068" s="277"/>
      <c r="F1068" s="325"/>
      <c r="G1068" s="325"/>
    </row>
    <row r="1069" spans="1:7" ht="20.100000000000001" customHeight="1">
      <c r="A1069" s="276"/>
      <c r="B1069" s="277"/>
      <c r="C1069" s="277"/>
      <c r="D1069" s="277"/>
      <c r="E1069" s="277"/>
      <c r="F1069" s="325"/>
      <c r="G1069" s="325"/>
    </row>
    <row r="1070" spans="1:7" ht="20.100000000000001" customHeight="1">
      <c r="A1070" s="276"/>
      <c r="B1070" s="277"/>
      <c r="C1070" s="277"/>
      <c r="D1070" s="277"/>
      <c r="E1070" s="277"/>
      <c r="F1070" s="325"/>
      <c r="G1070" s="325"/>
    </row>
    <row r="1071" spans="1:7" ht="20.100000000000001" customHeight="1">
      <c r="A1071" s="276"/>
      <c r="B1071" s="277"/>
      <c r="C1071" s="277"/>
      <c r="D1071" s="277"/>
      <c r="E1071" s="277"/>
      <c r="F1071" s="325"/>
      <c r="G1071" s="325"/>
    </row>
    <row r="1072" spans="1:7" ht="20.100000000000001" customHeight="1">
      <c r="A1072" s="276"/>
      <c r="B1072" s="277"/>
      <c r="C1072" s="277"/>
      <c r="D1072" s="277"/>
      <c r="E1072" s="277"/>
      <c r="F1072" s="325"/>
      <c r="G1072" s="325"/>
    </row>
    <row r="1073" spans="1:7" ht="20.100000000000001" customHeight="1">
      <c r="A1073" s="276"/>
      <c r="B1073" s="277"/>
      <c r="C1073" s="277"/>
      <c r="D1073" s="277"/>
      <c r="E1073" s="277"/>
      <c r="F1073" s="325"/>
      <c r="G1073" s="325"/>
    </row>
    <row r="1074" spans="1:7" ht="20.100000000000001" customHeight="1">
      <c r="A1074" s="276"/>
      <c r="B1074" s="277"/>
      <c r="C1074" s="277"/>
      <c r="D1074" s="277"/>
      <c r="E1074" s="277"/>
      <c r="F1074" s="325"/>
      <c r="G1074" s="325"/>
    </row>
    <row r="1075" spans="1:7" ht="20.100000000000001" customHeight="1">
      <c r="A1075" s="276"/>
      <c r="B1075" s="277"/>
      <c r="C1075" s="277"/>
      <c r="D1075" s="277"/>
      <c r="E1075" s="277"/>
      <c r="F1075" s="325"/>
      <c r="G1075" s="325"/>
    </row>
    <row r="1076" spans="1:7" ht="20.100000000000001" customHeight="1">
      <c r="A1076" s="276"/>
      <c r="B1076" s="277"/>
      <c r="C1076" s="277"/>
      <c r="D1076" s="277"/>
      <c r="E1076" s="277"/>
      <c r="F1076" s="325"/>
      <c r="G1076" s="325"/>
    </row>
    <row r="1077" spans="1:7" ht="20.100000000000001" customHeight="1">
      <c r="A1077" s="276"/>
      <c r="B1077" s="277"/>
      <c r="C1077" s="277"/>
      <c r="D1077" s="277"/>
      <c r="E1077" s="277"/>
      <c r="F1077" s="325"/>
      <c r="G1077" s="325"/>
    </row>
    <row r="1078" spans="1:7" ht="20.100000000000001" customHeight="1">
      <c r="A1078" s="276"/>
      <c r="B1078" s="277"/>
      <c r="C1078" s="277"/>
      <c r="D1078" s="277"/>
      <c r="E1078" s="277"/>
      <c r="F1078" s="325"/>
      <c r="G1078" s="325"/>
    </row>
    <row r="1079" spans="1:7" ht="20.100000000000001" customHeight="1">
      <c r="A1079" s="276"/>
      <c r="B1079" s="277"/>
      <c r="C1079" s="277"/>
      <c r="D1079" s="277"/>
      <c r="E1079" s="277"/>
      <c r="F1079" s="325"/>
      <c r="G1079" s="325"/>
    </row>
    <row r="1080" spans="1:7" ht="20.100000000000001" customHeight="1">
      <c r="A1080" s="276"/>
      <c r="B1080" s="277"/>
      <c r="C1080" s="277"/>
      <c r="D1080" s="277"/>
      <c r="E1080" s="277"/>
      <c r="F1080" s="325"/>
      <c r="G1080" s="325"/>
    </row>
    <row r="1081" spans="1:7" ht="20.100000000000001" customHeight="1">
      <c r="A1081" s="276"/>
      <c r="B1081" s="277"/>
      <c r="C1081" s="277"/>
      <c r="D1081" s="277"/>
      <c r="E1081" s="277"/>
      <c r="F1081" s="325"/>
      <c r="G1081" s="325"/>
    </row>
    <row r="1082" spans="1:7" ht="20.100000000000001" customHeight="1">
      <c r="A1082" s="276"/>
      <c r="B1082" s="277"/>
      <c r="C1082" s="277"/>
      <c r="D1082" s="277"/>
      <c r="E1082" s="277"/>
      <c r="F1082" s="325"/>
      <c r="G1082" s="325"/>
    </row>
    <row r="1083" spans="1:7" ht="20.100000000000001" customHeight="1">
      <c r="A1083" s="276"/>
      <c r="B1083" s="277"/>
      <c r="C1083" s="277"/>
      <c r="D1083" s="277"/>
      <c r="E1083" s="277"/>
      <c r="F1083" s="325"/>
      <c r="G1083" s="325"/>
    </row>
    <row r="1084" spans="1:7" ht="20.100000000000001" customHeight="1">
      <c r="A1084" s="276"/>
      <c r="B1084" s="277"/>
      <c r="C1084" s="277"/>
      <c r="D1084" s="277"/>
      <c r="E1084" s="277"/>
      <c r="F1084" s="325"/>
      <c r="G1084" s="325"/>
    </row>
    <row r="1085" spans="1:7" ht="20.100000000000001" customHeight="1">
      <c r="A1085" s="276"/>
      <c r="B1085" s="277"/>
      <c r="C1085" s="277"/>
      <c r="D1085" s="277"/>
      <c r="E1085" s="277"/>
      <c r="F1085" s="325"/>
      <c r="G1085" s="325"/>
    </row>
    <row r="1086" spans="1:7" ht="20.100000000000001" customHeight="1">
      <c r="A1086" s="276"/>
      <c r="B1086" s="277"/>
      <c r="C1086" s="277"/>
      <c r="D1086" s="277"/>
      <c r="E1086" s="277"/>
      <c r="F1086" s="325"/>
      <c r="G1086" s="325"/>
    </row>
    <row r="1087" spans="1:7" ht="20.100000000000001" customHeight="1">
      <c r="A1087" s="276"/>
      <c r="B1087" s="277"/>
      <c r="C1087" s="277"/>
      <c r="D1087" s="277"/>
      <c r="E1087" s="277"/>
      <c r="F1087" s="325"/>
      <c r="G1087" s="325"/>
    </row>
    <row r="1088" spans="1:7" ht="20.100000000000001" customHeight="1">
      <c r="A1088" s="276"/>
      <c r="B1088" s="277"/>
      <c r="C1088" s="277"/>
      <c r="D1088" s="277"/>
      <c r="E1088" s="277"/>
      <c r="F1088" s="325"/>
      <c r="G1088" s="325"/>
    </row>
    <row r="1089" spans="1:7" ht="20.100000000000001" customHeight="1">
      <c r="A1089" s="276"/>
      <c r="B1089" s="277"/>
      <c r="C1089" s="277"/>
      <c r="D1089" s="277"/>
      <c r="E1089" s="277"/>
      <c r="F1089" s="325"/>
      <c r="G1089" s="325"/>
    </row>
    <row r="1090" spans="1:7" ht="20.100000000000001" customHeight="1">
      <c r="A1090" s="276"/>
      <c r="B1090" s="277"/>
      <c r="C1090" s="277"/>
      <c r="D1090" s="277"/>
      <c r="E1090" s="277"/>
      <c r="F1090" s="325"/>
      <c r="G1090" s="325"/>
    </row>
    <row r="1091" spans="1:7" ht="20.100000000000001" customHeight="1">
      <c r="A1091" s="276"/>
      <c r="B1091" s="277"/>
      <c r="C1091" s="277"/>
      <c r="D1091" s="277"/>
      <c r="E1091" s="277"/>
      <c r="F1091" s="325"/>
      <c r="G1091" s="325"/>
    </row>
    <row r="1092" spans="1:7" ht="20.100000000000001" customHeight="1">
      <c r="A1092" s="276"/>
      <c r="B1092" s="277"/>
      <c r="C1092" s="277"/>
      <c r="D1092" s="277"/>
      <c r="E1092" s="277"/>
      <c r="F1092" s="325"/>
      <c r="G1092" s="325"/>
    </row>
    <row r="1093" spans="1:7" ht="20.100000000000001" customHeight="1">
      <c r="A1093" s="276"/>
      <c r="B1093" s="277"/>
      <c r="C1093" s="277"/>
      <c r="D1093" s="277"/>
      <c r="E1093" s="277"/>
      <c r="F1093" s="325"/>
      <c r="G1093" s="325"/>
    </row>
    <row r="1094" spans="1:7" ht="20.100000000000001" customHeight="1">
      <c r="A1094" s="276"/>
      <c r="B1094" s="277"/>
      <c r="C1094" s="277"/>
      <c r="D1094" s="277"/>
      <c r="E1094" s="277"/>
      <c r="F1094" s="325"/>
      <c r="G1094" s="325"/>
    </row>
    <row r="1095" spans="1:7" ht="20.100000000000001" customHeight="1">
      <c r="A1095" s="276"/>
      <c r="B1095" s="277"/>
      <c r="C1095" s="277"/>
      <c r="D1095" s="277"/>
      <c r="E1095" s="277"/>
      <c r="F1095" s="325"/>
      <c r="G1095" s="325"/>
    </row>
    <row r="1096" spans="1:7" ht="20.100000000000001" customHeight="1">
      <c r="A1096" s="276"/>
      <c r="B1096" s="277"/>
      <c r="C1096" s="277"/>
      <c r="D1096" s="277"/>
      <c r="E1096" s="277"/>
      <c r="F1096" s="325"/>
      <c r="G1096" s="325"/>
    </row>
    <row r="1097" spans="1:7" ht="20.100000000000001" customHeight="1">
      <c r="A1097" s="276"/>
      <c r="B1097" s="277"/>
      <c r="C1097" s="277"/>
      <c r="D1097" s="277"/>
      <c r="E1097" s="277"/>
      <c r="F1097" s="325"/>
      <c r="G1097" s="325"/>
    </row>
    <row r="1098" spans="1:7" ht="20.100000000000001" customHeight="1">
      <c r="A1098" s="276"/>
      <c r="B1098" s="277"/>
      <c r="C1098" s="277"/>
      <c r="D1098" s="277"/>
      <c r="E1098" s="277"/>
      <c r="F1098" s="325"/>
      <c r="G1098" s="325"/>
    </row>
    <row r="1099" spans="1:7" ht="20.100000000000001" customHeight="1">
      <c r="A1099" s="276"/>
      <c r="B1099" s="277"/>
      <c r="C1099" s="277"/>
      <c r="D1099" s="277"/>
      <c r="E1099" s="277"/>
      <c r="F1099" s="325"/>
      <c r="G1099" s="325"/>
    </row>
    <row r="1100" spans="1:7" ht="20.100000000000001" customHeight="1">
      <c r="A1100" s="276"/>
      <c r="B1100" s="277"/>
      <c r="C1100" s="277"/>
      <c r="D1100" s="277"/>
      <c r="E1100" s="277"/>
      <c r="F1100" s="325"/>
      <c r="G1100" s="325"/>
    </row>
    <row r="1101" spans="1:7" ht="20.100000000000001" customHeight="1">
      <c r="A1101" s="276"/>
      <c r="B1101" s="277"/>
      <c r="C1101" s="277"/>
      <c r="D1101" s="277"/>
      <c r="E1101" s="277"/>
      <c r="F1101" s="325"/>
      <c r="G1101" s="325"/>
    </row>
    <row r="1102" spans="1:7" ht="20.100000000000001" customHeight="1">
      <c r="A1102" s="276"/>
      <c r="B1102" s="277"/>
      <c r="C1102" s="277"/>
      <c r="D1102" s="277"/>
      <c r="E1102" s="277"/>
      <c r="F1102" s="325"/>
      <c r="G1102" s="325"/>
    </row>
    <row r="1103" spans="1:7" ht="20.100000000000001" customHeight="1">
      <c r="A1103" s="276"/>
      <c r="B1103" s="277"/>
      <c r="C1103" s="277"/>
      <c r="D1103" s="277"/>
      <c r="E1103" s="277"/>
      <c r="F1103" s="325"/>
      <c r="G1103" s="325"/>
    </row>
    <row r="1104" spans="1:7" ht="20.100000000000001" customHeight="1">
      <c r="A1104" s="276"/>
      <c r="B1104" s="277"/>
      <c r="C1104" s="277"/>
      <c r="D1104" s="277"/>
      <c r="E1104" s="277"/>
      <c r="F1104" s="325"/>
      <c r="G1104" s="325"/>
    </row>
    <row r="1105" spans="1:7" ht="20.100000000000001" customHeight="1">
      <c r="A1105" s="276"/>
      <c r="B1105" s="277"/>
      <c r="C1105" s="277"/>
      <c r="D1105" s="277"/>
      <c r="E1105" s="277"/>
      <c r="F1105" s="325"/>
      <c r="G1105" s="325"/>
    </row>
    <row r="1106" spans="1:7" ht="20.100000000000001" customHeight="1">
      <c r="A1106" s="276"/>
      <c r="B1106" s="277"/>
      <c r="C1106" s="277"/>
      <c r="D1106" s="277"/>
      <c r="E1106" s="277"/>
      <c r="F1106" s="325"/>
      <c r="G1106" s="325"/>
    </row>
    <row r="1107" spans="1:7" ht="20.100000000000001" customHeight="1">
      <c r="A1107" s="276"/>
      <c r="B1107" s="277"/>
      <c r="C1107" s="277"/>
      <c r="D1107" s="277"/>
      <c r="E1107" s="277"/>
      <c r="F1107" s="325"/>
      <c r="G1107" s="325"/>
    </row>
    <row r="1108" spans="1:7" ht="20.100000000000001" customHeight="1">
      <c r="A1108" s="276"/>
      <c r="B1108" s="277"/>
      <c r="C1108" s="277"/>
      <c r="D1108" s="277"/>
      <c r="E1108" s="277"/>
      <c r="F1108" s="325"/>
      <c r="G1108" s="325"/>
    </row>
    <row r="1109" spans="1:7" ht="20.100000000000001" customHeight="1">
      <c r="A1109" s="276"/>
      <c r="B1109" s="277"/>
      <c r="C1109" s="277"/>
      <c r="D1109" s="277"/>
      <c r="E1109" s="277"/>
      <c r="F1109" s="325"/>
      <c r="G1109" s="325"/>
    </row>
    <row r="1110" spans="1:7" ht="20.100000000000001" customHeight="1">
      <c r="A1110" s="276"/>
      <c r="B1110" s="277"/>
      <c r="C1110" s="277"/>
      <c r="D1110" s="277"/>
      <c r="E1110" s="277"/>
      <c r="F1110" s="325"/>
      <c r="G1110" s="325"/>
    </row>
    <row r="1111" spans="1:7" ht="20.100000000000001" customHeight="1">
      <c r="A1111" s="276"/>
      <c r="B1111" s="277"/>
      <c r="C1111" s="277"/>
      <c r="D1111" s="277"/>
      <c r="E1111" s="277"/>
      <c r="F1111" s="325"/>
      <c r="G1111" s="325"/>
    </row>
    <row r="1112" spans="1:7" ht="20.100000000000001" customHeight="1">
      <c r="A1112" s="276"/>
      <c r="B1112" s="277"/>
      <c r="C1112" s="277"/>
      <c r="D1112" s="277"/>
      <c r="E1112" s="277"/>
      <c r="F1112" s="325"/>
      <c r="G1112" s="325"/>
    </row>
    <row r="1113" spans="1:7" ht="20.100000000000001" customHeight="1">
      <c r="A1113" s="276"/>
      <c r="B1113" s="277"/>
      <c r="C1113" s="277"/>
      <c r="D1113" s="277"/>
      <c r="E1113" s="277"/>
      <c r="F1113" s="325"/>
      <c r="G1113" s="325"/>
    </row>
    <row r="1114" spans="1:7" ht="20.100000000000001" customHeight="1">
      <c r="A1114" s="276"/>
      <c r="B1114" s="277"/>
      <c r="C1114" s="277"/>
      <c r="D1114" s="277"/>
      <c r="E1114" s="277"/>
      <c r="F1114" s="325"/>
      <c r="G1114" s="325"/>
    </row>
    <row r="1115" spans="1:7" ht="20.100000000000001" customHeight="1">
      <c r="A1115" s="276"/>
      <c r="B1115" s="277"/>
      <c r="C1115" s="277"/>
      <c r="D1115" s="277"/>
      <c r="E1115" s="277"/>
      <c r="F1115" s="325"/>
      <c r="G1115" s="325"/>
    </row>
    <row r="1116" spans="1:7" ht="20.100000000000001" customHeight="1">
      <c r="A1116" s="276"/>
      <c r="B1116" s="277"/>
      <c r="C1116" s="277"/>
      <c r="D1116" s="277"/>
      <c r="E1116" s="277"/>
      <c r="F1116" s="325"/>
      <c r="G1116" s="325"/>
    </row>
    <row r="1117" spans="1:7" ht="20.100000000000001" customHeight="1">
      <c r="A1117" s="276"/>
      <c r="B1117" s="277"/>
      <c r="C1117" s="277"/>
      <c r="D1117" s="277"/>
      <c r="E1117" s="277"/>
      <c r="F1117" s="325"/>
      <c r="G1117" s="325"/>
    </row>
    <row r="1118" spans="1:7" ht="20.100000000000001" customHeight="1">
      <c r="A1118" s="276"/>
      <c r="B1118" s="277"/>
      <c r="C1118" s="277"/>
      <c r="D1118" s="277"/>
      <c r="E1118" s="277"/>
      <c r="F1118" s="325"/>
      <c r="G1118" s="325"/>
    </row>
    <row r="1119" spans="1:7" ht="20.100000000000001" customHeight="1">
      <c r="A1119" s="276"/>
      <c r="B1119" s="277"/>
      <c r="C1119" s="277"/>
      <c r="D1119" s="277"/>
      <c r="E1119" s="277"/>
      <c r="F1119" s="325"/>
      <c r="G1119" s="325"/>
    </row>
    <row r="1120" spans="1:7" ht="20.100000000000001" customHeight="1">
      <c r="A1120" s="276"/>
      <c r="B1120" s="277"/>
      <c r="C1120" s="277"/>
      <c r="D1120" s="277"/>
      <c r="E1120" s="277"/>
      <c r="F1120" s="325"/>
      <c r="G1120" s="325"/>
    </row>
    <row r="1121" spans="1:7" ht="20.100000000000001" customHeight="1">
      <c r="A1121" s="276"/>
      <c r="B1121" s="277"/>
      <c r="C1121" s="277"/>
      <c r="D1121" s="277"/>
      <c r="E1121" s="277"/>
      <c r="F1121" s="325"/>
      <c r="G1121" s="325"/>
    </row>
    <row r="1122" spans="1:7" ht="20.100000000000001" customHeight="1">
      <c r="A1122" s="276"/>
      <c r="B1122" s="277"/>
      <c r="C1122" s="277"/>
      <c r="D1122" s="277"/>
      <c r="E1122" s="277"/>
      <c r="F1122" s="325"/>
      <c r="G1122" s="325"/>
    </row>
    <row r="1123" spans="1:7" ht="20.100000000000001" customHeight="1">
      <c r="A1123" s="276"/>
      <c r="B1123" s="277"/>
      <c r="C1123" s="277"/>
      <c r="D1123" s="277"/>
      <c r="E1123" s="277"/>
      <c r="F1123" s="325"/>
      <c r="G1123" s="325"/>
    </row>
    <row r="1124" spans="1:7" ht="20.100000000000001" customHeight="1">
      <c r="A1124" s="276"/>
      <c r="B1124" s="277"/>
      <c r="C1124" s="277"/>
      <c r="D1124" s="277"/>
      <c r="E1124" s="277"/>
      <c r="F1124" s="325"/>
      <c r="G1124" s="325"/>
    </row>
    <row r="1125" spans="1:7" ht="20.100000000000001" customHeight="1">
      <c r="A1125" s="276"/>
      <c r="B1125" s="277"/>
      <c r="C1125" s="277"/>
      <c r="D1125" s="277"/>
      <c r="E1125" s="277"/>
      <c r="F1125" s="325"/>
      <c r="G1125" s="325"/>
    </row>
    <row r="1126" spans="1:7" ht="20.100000000000001" customHeight="1">
      <c r="A1126" s="276"/>
      <c r="B1126" s="277"/>
      <c r="C1126" s="277"/>
      <c r="D1126" s="277"/>
      <c r="E1126" s="277"/>
      <c r="F1126" s="325"/>
      <c r="G1126" s="325"/>
    </row>
    <row r="1127" spans="1:7" ht="20.100000000000001" customHeight="1">
      <c r="A1127" s="276"/>
      <c r="B1127" s="277"/>
      <c r="C1127" s="277"/>
      <c r="D1127" s="277"/>
      <c r="E1127" s="277"/>
      <c r="F1127" s="325"/>
      <c r="G1127" s="325"/>
    </row>
    <row r="1128" spans="1:7" ht="20.100000000000001" customHeight="1">
      <c r="A1128" s="276"/>
      <c r="B1128" s="277"/>
      <c r="C1128" s="277"/>
      <c r="D1128" s="277"/>
      <c r="E1128" s="277"/>
      <c r="F1128" s="325"/>
      <c r="G1128" s="325"/>
    </row>
    <row r="1129" spans="1:7" ht="20.100000000000001" customHeight="1">
      <c r="A1129" s="276"/>
      <c r="B1129" s="277"/>
      <c r="C1129" s="277"/>
      <c r="D1129" s="277"/>
      <c r="E1129" s="277"/>
      <c r="F1129" s="325"/>
      <c r="G1129" s="325"/>
    </row>
    <row r="1130" spans="1:7" ht="20.100000000000001" customHeight="1">
      <c r="A1130" s="276"/>
      <c r="B1130" s="277"/>
      <c r="C1130" s="277"/>
      <c r="D1130" s="277"/>
      <c r="E1130" s="277"/>
      <c r="F1130" s="325"/>
      <c r="G1130" s="325"/>
    </row>
    <row r="1131" spans="1:7" ht="20.100000000000001" customHeight="1">
      <c r="A1131" s="276"/>
      <c r="B1131" s="277"/>
      <c r="C1131" s="277"/>
      <c r="D1131" s="277"/>
      <c r="E1131" s="277"/>
      <c r="F1131" s="325"/>
      <c r="G1131" s="325"/>
    </row>
    <row r="1132" spans="1:7" ht="20.100000000000001" customHeight="1">
      <c r="A1132" s="276"/>
      <c r="B1132" s="277"/>
      <c r="C1132" s="277"/>
      <c r="D1132" s="277"/>
      <c r="E1132" s="277"/>
      <c r="F1132" s="325"/>
      <c r="G1132" s="325"/>
    </row>
    <row r="1133" spans="1:7" ht="20.100000000000001" customHeight="1">
      <c r="A1133" s="276"/>
      <c r="B1133" s="277"/>
      <c r="C1133" s="277"/>
      <c r="D1133" s="277"/>
      <c r="E1133" s="277"/>
      <c r="F1133" s="325"/>
      <c r="G1133" s="325"/>
    </row>
    <row r="1134" spans="1:7" ht="20.100000000000001" customHeight="1">
      <c r="A1134" s="276"/>
      <c r="B1134" s="277"/>
      <c r="C1134" s="277"/>
      <c r="D1134" s="277"/>
      <c r="E1134" s="277"/>
      <c r="F1134" s="325"/>
      <c r="G1134" s="325"/>
    </row>
    <row r="1135" spans="1:7" ht="20.100000000000001" customHeight="1">
      <c r="A1135" s="276"/>
      <c r="B1135" s="277"/>
      <c r="C1135" s="277"/>
      <c r="D1135" s="277"/>
      <c r="E1135" s="277"/>
      <c r="F1135" s="325"/>
      <c r="G1135" s="325"/>
    </row>
    <row r="1136" spans="1:7" ht="20.100000000000001" customHeight="1">
      <c r="A1136" s="276"/>
      <c r="B1136" s="277"/>
      <c r="C1136" s="277"/>
      <c r="D1136" s="277"/>
      <c r="E1136" s="277"/>
      <c r="F1136" s="325"/>
      <c r="G1136" s="325"/>
    </row>
    <row r="1137" spans="1:7" ht="20.100000000000001" customHeight="1">
      <c r="A1137" s="276"/>
      <c r="B1137" s="277"/>
      <c r="C1137" s="277"/>
      <c r="D1137" s="277"/>
      <c r="E1137" s="277"/>
      <c r="F1137" s="325"/>
      <c r="G1137" s="325"/>
    </row>
    <row r="1138" spans="1:7" ht="20.100000000000001" customHeight="1">
      <c r="A1138" s="276"/>
      <c r="B1138" s="277"/>
      <c r="C1138" s="277"/>
      <c r="D1138" s="277"/>
      <c r="E1138" s="277"/>
      <c r="F1138" s="325"/>
      <c r="G1138" s="325"/>
    </row>
    <row r="1139" spans="1:7" ht="20.100000000000001" customHeight="1">
      <c r="A1139" s="276"/>
      <c r="B1139" s="277"/>
      <c r="C1139" s="277"/>
      <c r="D1139" s="277"/>
      <c r="E1139" s="277"/>
      <c r="F1139" s="325"/>
      <c r="G1139" s="325"/>
    </row>
    <row r="1140" spans="1:7" ht="20.100000000000001" customHeight="1">
      <c r="A1140" s="276"/>
      <c r="B1140" s="277"/>
      <c r="C1140" s="277"/>
      <c r="D1140" s="277"/>
      <c r="E1140" s="277"/>
      <c r="F1140" s="325"/>
      <c r="G1140" s="325"/>
    </row>
    <row r="1141" spans="1:7" ht="20.100000000000001" customHeight="1">
      <c r="A1141" s="276"/>
      <c r="B1141" s="277"/>
      <c r="C1141" s="277"/>
      <c r="D1141" s="277"/>
      <c r="E1141" s="277"/>
      <c r="F1141" s="325"/>
      <c r="G1141" s="325"/>
    </row>
    <row r="1142" spans="1:7" ht="20.100000000000001" customHeight="1">
      <c r="A1142" s="276"/>
      <c r="B1142" s="277"/>
      <c r="C1142" s="277"/>
      <c r="D1142" s="277"/>
      <c r="E1142" s="277"/>
      <c r="F1142" s="325"/>
      <c r="G1142" s="325"/>
    </row>
    <row r="1143" spans="1:7" ht="20.100000000000001" customHeight="1">
      <c r="A1143" s="276"/>
      <c r="B1143" s="277"/>
      <c r="C1143" s="277"/>
      <c r="D1143" s="277"/>
      <c r="E1143" s="277"/>
      <c r="F1143" s="325"/>
      <c r="G1143" s="325"/>
    </row>
    <row r="1144" spans="1:7" ht="20.100000000000001" customHeight="1">
      <c r="A1144" s="276"/>
      <c r="B1144" s="277"/>
      <c r="C1144" s="277"/>
      <c r="D1144" s="277"/>
      <c r="E1144" s="277"/>
      <c r="F1144" s="325"/>
      <c r="G1144" s="325"/>
    </row>
    <row r="1145" spans="1:7" ht="20.100000000000001" customHeight="1">
      <c r="A1145" s="276"/>
      <c r="B1145" s="277"/>
      <c r="C1145" s="277"/>
      <c r="D1145" s="277"/>
      <c r="E1145" s="277"/>
      <c r="F1145" s="325"/>
      <c r="G1145" s="325"/>
    </row>
    <row r="1146" spans="1:7" ht="20.100000000000001" customHeight="1">
      <c r="A1146" s="276"/>
      <c r="B1146" s="277"/>
      <c r="C1146" s="277"/>
      <c r="D1146" s="277"/>
      <c r="E1146" s="277"/>
      <c r="F1146" s="325"/>
      <c r="G1146" s="325"/>
    </row>
    <row r="1147" spans="1:7" ht="20.100000000000001" customHeight="1">
      <c r="A1147" s="276"/>
      <c r="B1147" s="277"/>
      <c r="C1147" s="277"/>
      <c r="D1147" s="277"/>
      <c r="E1147" s="277"/>
      <c r="F1147" s="325"/>
      <c r="G1147" s="325"/>
    </row>
    <row r="1148" spans="1:7" ht="20.100000000000001" customHeight="1">
      <c r="A1148" s="276"/>
      <c r="B1148" s="277"/>
      <c r="C1148" s="277"/>
      <c r="D1148" s="277"/>
      <c r="E1148" s="277"/>
      <c r="F1148" s="325"/>
      <c r="G1148" s="325"/>
    </row>
    <row r="1149" spans="1:7" ht="20.100000000000001" customHeight="1">
      <c r="A1149" s="276"/>
      <c r="B1149" s="277"/>
      <c r="C1149" s="277"/>
      <c r="D1149" s="277"/>
      <c r="E1149" s="277"/>
      <c r="F1149" s="325"/>
      <c r="G1149" s="325"/>
    </row>
    <row r="1150" spans="1:7" ht="20.100000000000001" customHeight="1">
      <c r="A1150" s="276"/>
      <c r="B1150" s="277"/>
      <c r="C1150" s="277"/>
      <c r="D1150" s="277"/>
      <c r="E1150" s="277"/>
      <c r="F1150" s="325"/>
      <c r="G1150" s="325"/>
    </row>
    <row r="1151" spans="1:7" ht="20.100000000000001" customHeight="1">
      <c r="A1151" s="276"/>
      <c r="B1151" s="277"/>
      <c r="C1151" s="277"/>
      <c r="D1151" s="277"/>
      <c r="E1151" s="277"/>
      <c r="F1151" s="325"/>
      <c r="G1151" s="325"/>
    </row>
    <row r="1152" spans="1:7" ht="20.100000000000001" customHeight="1">
      <c r="A1152" s="276"/>
      <c r="B1152" s="277"/>
      <c r="C1152" s="277"/>
      <c r="D1152" s="277"/>
      <c r="E1152" s="277"/>
      <c r="F1152" s="325"/>
      <c r="G1152" s="325"/>
    </row>
    <row r="1153" spans="1:7" ht="20.100000000000001" customHeight="1">
      <c r="A1153" s="276"/>
      <c r="B1153" s="277"/>
      <c r="C1153" s="277"/>
      <c r="D1153" s="277"/>
      <c r="E1153" s="277"/>
      <c r="F1153" s="325"/>
      <c r="G1153" s="325"/>
    </row>
    <row r="1154" spans="1:7" ht="20.100000000000001" customHeight="1">
      <c r="A1154" s="276"/>
      <c r="B1154" s="277"/>
      <c r="C1154" s="277"/>
      <c r="D1154" s="277"/>
      <c r="E1154" s="277"/>
      <c r="F1154" s="325"/>
      <c r="G1154" s="325"/>
    </row>
    <row r="1155" spans="1:7" ht="20.100000000000001" customHeight="1">
      <c r="A1155" s="276"/>
      <c r="B1155" s="277"/>
      <c r="C1155" s="277"/>
      <c r="D1155" s="277"/>
      <c r="E1155" s="277"/>
      <c r="F1155" s="325"/>
      <c r="G1155" s="325"/>
    </row>
    <row r="1156" spans="1:7" ht="20.100000000000001" customHeight="1">
      <c r="A1156" s="276"/>
      <c r="B1156" s="277"/>
      <c r="C1156" s="277"/>
      <c r="D1156" s="277"/>
      <c r="E1156" s="277"/>
      <c r="F1156" s="325"/>
      <c r="G1156" s="325"/>
    </row>
    <row r="1157" spans="1:7" ht="20.100000000000001" customHeight="1">
      <c r="A1157" s="276"/>
      <c r="B1157" s="277"/>
      <c r="C1157" s="277"/>
      <c r="D1157" s="277"/>
      <c r="E1157" s="277"/>
      <c r="F1157" s="325"/>
      <c r="G1157" s="325"/>
    </row>
    <row r="1158" spans="1:7" ht="20.100000000000001" customHeight="1">
      <c r="A1158" s="276"/>
      <c r="B1158" s="277"/>
      <c r="C1158" s="277"/>
      <c r="D1158" s="277"/>
      <c r="E1158" s="277"/>
      <c r="F1158" s="325"/>
      <c r="G1158" s="325"/>
    </row>
    <row r="1159" spans="1:7" ht="20.100000000000001" customHeight="1">
      <c r="A1159" s="276"/>
      <c r="B1159" s="277"/>
      <c r="C1159" s="277"/>
      <c r="D1159" s="277"/>
      <c r="E1159" s="277"/>
      <c r="F1159" s="325"/>
      <c r="G1159" s="325"/>
    </row>
    <row r="1160" spans="1:7" ht="20.100000000000001" customHeight="1">
      <c r="A1160" s="276"/>
      <c r="B1160" s="277"/>
      <c r="C1160" s="277"/>
      <c r="D1160" s="277"/>
      <c r="E1160" s="277"/>
      <c r="F1160" s="325"/>
      <c r="G1160" s="325"/>
    </row>
    <row r="1161" spans="1:7" ht="20.100000000000001" customHeight="1">
      <c r="A1161" s="276"/>
      <c r="B1161" s="277"/>
      <c r="C1161" s="277"/>
      <c r="D1161" s="277"/>
      <c r="E1161" s="277"/>
      <c r="F1161" s="325"/>
      <c r="G1161" s="325"/>
    </row>
    <row r="1162" spans="1:7" ht="20.100000000000001" customHeight="1">
      <c r="A1162" s="276"/>
      <c r="B1162" s="277"/>
      <c r="C1162" s="277"/>
      <c r="D1162" s="277"/>
      <c r="E1162" s="277"/>
      <c r="F1162" s="325"/>
      <c r="G1162" s="325"/>
    </row>
    <row r="1163" spans="1:7" ht="20.100000000000001" customHeight="1">
      <c r="A1163" s="276"/>
      <c r="B1163" s="277"/>
      <c r="C1163" s="277"/>
      <c r="D1163" s="277"/>
      <c r="E1163" s="277"/>
      <c r="F1163" s="325"/>
      <c r="G1163" s="325"/>
    </row>
    <row r="1164" spans="1:7" ht="20.100000000000001" customHeight="1">
      <c r="A1164" s="276"/>
      <c r="B1164" s="277"/>
      <c r="C1164" s="277"/>
      <c r="D1164" s="277"/>
      <c r="E1164" s="277"/>
      <c r="F1164" s="325"/>
      <c r="G1164" s="325"/>
    </row>
    <row r="1165" spans="1:7" ht="20.100000000000001" customHeight="1">
      <c r="A1165" s="276"/>
      <c r="B1165" s="277"/>
      <c r="C1165" s="277"/>
      <c r="D1165" s="277"/>
      <c r="E1165" s="277"/>
      <c r="F1165" s="325"/>
      <c r="G1165" s="325"/>
    </row>
    <row r="1166" spans="1:7" ht="20.100000000000001" customHeight="1">
      <c r="A1166" s="276"/>
      <c r="B1166" s="277"/>
      <c r="C1166" s="277"/>
      <c r="D1166" s="277"/>
      <c r="E1166" s="277"/>
      <c r="F1166" s="325"/>
      <c r="G1166" s="325"/>
    </row>
    <row r="1167" spans="1:7" ht="20.100000000000001" customHeight="1">
      <c r="A1167" s="276"/>
      <c r="B1167" s="277"/>
      <c r="C1167" s="277"/>
      <c r="D1167" s="277"/>
      <c r="E1167" s="277"/>
      <c r="F1167" s="325"/>
      <c r="G1167" s="325"/>
    </row>
    <row r="1168" spans="1:7" ht="20.100000000000001" customHeight="1">
      <c r="A1168" s="276"/>
      <c r="B1168" s="277"/>
      <c r="C1168" s="277"/>
      <c r="D1168" s="277"/>
      <c r="E1168" s="277"/>
      <c r="F1168" s="325"/>
      <c r="G1168" s="325"/>
    </row>
    <row r="1169" spans="1:7" ht="20.100000000000001" customHeight="1">
      <c r="A1169" s="276"/>
      <c r="B1169" s="277"/>
      <c r="C1169" s="277"/>
      <c r="D1169" s="277"/>
      <c r="E1169" s="277"/>
      <c r="F1169" s="325"/>
      <c r="G1169" s="325"/>
    </row>
    <row r="1170" spans="1:7" ht="20.100000000000001" customHeight="1">
      <c r="A1170" s="276"/>
      <c r="B1170" s="277"/>
      <c r="C1170" s="277"/>
      <c r="D1170" s="277"/>
      <c r="E1170" s="277"/>
      <c r="F1170" s="325"/>
      <c r="G1170" s="325"/>
    </row>
    <row r="1171" spans="1:7" ht="20.100000000000001" customHeight="1">
      <c r="A1171" s="276"/>
      <c r="B1171" s="277"/>
      <c r="C1171" s="277"/>
      <c r="D1171" s="277"/>
      <c r="E1171" s="277"/>
      <c r="F1171" s="325"/>
      <c r="G1171" s="325"/>
    </row>
    <row r="1172" spans="1:7" ht="20.100000000000001" customHeight="1">
      <c r="A1172" s="276"/>
      <c r="B1172" s="277"/>
      <c r="C1172" s="277"/>
      <c r="D1172" s="277"/>
      <c r="E1172" s="277"/>
      <c r="F1172" s="325"/>
      <c r="G1172" s="325"/>
    </row>
    <row r="1173" spans="1:7" ht="20.100000000000001" customHeight="1">
      <c r="A1173" s="276"/>
      <c r="B1173" s="277"/>
      <c r="C1173" s="277"/>
      <c r="D1173" s="277"/>
      <c r="E1173" s="277"/>
      <c r="F1173" s="325"/>
      <c r="G1173" s="325"/>
    </row>
    <row r="1174" spans="1:7" ht="20.100000000000001" customHeight="1">
      <c r="A1174" s="276"/>
      <c r="B1174" s="277"/>
      <c r="C1174" s="277"/>
      <c r="D1174" s="277"/>
      <c r="E1174" s="277"/>
      <c r="F1174" s="325"/>
      <c r="G1174" s="325"/>
    </row>
    <row r="1175" spans="1:7" ht="20.100000000000001" customHeight="1">
      <c r="A1175" s="276"/>
      <c r="B1175" s="277"/>
      <c r="C1175" s="277"/>
      <c r="D1175" s="277"/>
      <c r="E1175" s="277"/>
      <c r="F1175" s="325"/>
      <c r="G1175" s="325"/>
    </row>
    <row r="1176" spans="1:7" ht="20.100000000000001" customHeight="1">
      <c r="A1176" s="276"/>
      <c r="B1176" s="277"/>
      <c r="C1176" s="277"/>
      <c r="D1176" s="277"/>
      <c r="E1176" s="277"/>
      <c r="F1176" s="325"/>
      <c r="G1176" s="325"/>
    </row>
    <row r="1177" spans="1:7" ht="20.100000000000001" customHeight="1">
      <c r="A1177" s="276"/>
      <c r="B1177" s="277"/>
      <c r="C1177" s="277"/>
      <c r="D1177" s="277"/>
      <c r="E1177" s="277"/>
      <c r="F1177" s="325"/>
      <c r="G1177" s="325"/>
    </row>
    <row r="1178" spans="1:7" ht="20.100000000000001" customHeight="1">
      <c r="A1178" s="276"/>
      <c r="B1178" s="277"/>
      <c r="C1178" s="277"/>
      <c r="D1178" s="277"/>
      <c r="E1178" s="277"/>
      <c r="F1178" s="325"/>
      <c r="G1178" s="325"/>
    </row>
    <row r="1179" spans="1:7" ht="20.100000000000001" customHeight="1">
      <c r="A1179" s="276"/>
      <c r="B1179" s="277"/>
      <c r="C1179" s="277"/>
      <c r="D1179" s="277"/>
      <c r="E1179" s="277"/>
      <c r="F1179" s="325"/>
      <c r="G1179" s="325"/>
    </row>
    <row r="1180" spans="1:7" ht="20.100000000000001" customHeight="1">
      <c r="A1180" s="276"/>
      <c r="B1180" s="277"/>
      <c r="C1180" s="277"/>
      <c r="D1180" s="277"/>
      <c r="E1180" s="277"/>
      <c r="F1180" s="325"/>
      <c r="G1180" s="325"/>
    </row>
    <row r="1181" spans="1:7" ht="20.100000000000001" customHeight="1">
      <c r="A1181" s="276"/>
      <c r="B1181" s="277"/>
      <c r="C1181" s="277"/>
      <c r="D1181" s="277"/>
      <c r="E1181" s="277"/>
      <c r="F1181" s="325"/>
      <c r="G1181" s="325"/>
    </row>
    <row r="1182" spans="1:7" ht="20.100000000000001" customHeight="1">
      <c r="A1182" s="276"/>
      <c r="B1182" s="277"/>
      <c r="C1182" s="277"/>
      <c r="D1182" s="277"/>
      <c r="E1182" s="277"/>
      <c r="F1182" s="325"/>
      <c r="G1182" s="325"/>
    </row>
    <row r="1183" spans="1:7" ht="20.100000000000001" customHeight="1">
      <c r="A1183" s="276"/>
      <c r="B1183" s="277"/>
      <c r="C1183" s="277"/>
      <c r="D1183" s="277"/>
      <c r="E1183" s="277"/>
      <c r="F1183" s="325"/>
      <c r="G1183" s="325"/>
    </row>
    <row r="1184" spans="1:7" ht="20.100000000000001" customHeight="1">
      <c r="A1184" s="276"/>
      <c r="B1184" s="277"/>
      <c r="C1184" s="277"/>
      <c r="D1184" s="277"/>
      <c r="E1184" s="277"/>
      <c r="F1184" s="325"/>
      <c r="G1184" s="325"/>
    </row>
    <row r="1185" spans="1:7" ht="20.100000000000001" customHeight="1">
      <c r="A1185" s="276"/>
      <c r="B1185" s="277"/>
      <c r="C1185" s="277"/>
      <c r="D1185" s="277"/>
      <c r="E1185" s="277"/>
      <c r="F1185" s="325"/>
      <c r="G1185" s="325"/>
    </row>
    <row r="1186" spans="1:7" ht="20.100000000000001" customHeight="1">
      <c r="A1186" s="276"/>
      <c r="B1186" s="277"/>
      <c r="C1186" s="277"/>
      <c r="D1186" s="277"/>
      <c r="E1186" s="277"/>
      <c r="F1186" s="325"/>
      <c r="G1186" s="325"/>
    </row>
    <row r="1187" spans="1:7" ht="20.100000000000001" customHeight="1">
      <c r="A1187" s="276"/>
      <c r="B1187" s="277"/>
      <c r="C1187" s="277"/>
      <c r="D1187" s="277"/>
      <c r="E1187" s="277"/>
      <c r="F1187" s="325"/>
      <c r="G1187" s="325"/>
    </row>
    <row r="1188" spans="1:7" ht="20.100000000000001" customHeight="1">
      <c r="A1188" s="276"/>
      <c r="B1188" s="277"/>
      <c r="C1188" s="277"/>
      <c r="D1188" s="277"/>
      <c r="E1188" s="277"/>
      <c r="F1188" s="325"/>
      <c r="G1188" s="325"/>
    </row>
    <row r="1189" spans="1:7" ht="20.100000000000001" customHeight="1">
      <c r="A1189" s="276"/>
      <c r="B1189" s="277"/>
      <c r="C1189" s="277"/>
      <c r="D1189" s="277"/>
      <c r="E1189" s="277"/>
      <c r="F1189" s="325"/>
      <c r="G1189" s="325"/>
    </row>
    <row r="1190" spans="1:7" ht="20.100000000000001" customHeight="1">
      <c r="A1190" s="276"/>
      <c r="B1190" s="277"/>
      <c r="C1190" s="277"/>
      <c r="D1190" s="277"/>
      <c r="E1190" s="277"/>
      <c r="F1190" s="325"/>
      <c r="G1190" s="325"/>
    </row>
    <row r="1191" spans="1:7" ht="20.100000000000001" customHeight="1">
      <c r="A1191" s="276"/>
      <c r="B1191" s="277"/>
      <c r="C1191" s="277"/>
      <c r="D1191" s="277"/>
      <c r="E1191" s="277"/>
      <c r="F1191" s="325"/>
      <c r="G1191" s="325"/>
    </row>
    <row r="1192" spans="1:7" ht="20.100000000000001" customHeight="1">
      <c r="A1192" s="276"/>
      <c r="B1192" s="277"/>
      <c r="C1192" s="277"/>
      <c r="D1192" s="277"/>
      <c r="E1192" s="277"/>
      <c r="F1192" s="325"/>
      <c r="G1192" s="325"/>
    </row>
    <row r="1193" spans="1:7" ht="20.100000000000001" customHeight="1">
      <c r="A1193" s="276"/>
      <c r="B1193" s="277"/>
      <c r="C1193" s="277"/>
      <c r="D1193" s="277"/>
      <c r="E1193" s="277"/>
      <c r="F1193" s="325"/>
      <c r="G1193" s="325"/>
    </row>
    <row r="1194" spans="1:7" ht="20.100000000000001" customHeight="1">
      <c r="A1194" s="276"/>
      <c r="B1194" s="277"/>
      <c r="C1194" s="277"/>
      <c r="D1194" s="277"/>
      <c r="E1194" s="277"/>
      <c r="F1194" s="325"/>
      <c r="G1194" s="325"/>
    </row>
    <row r="1195" spans="1:7" ht="20.100000000000001" customHeight="1">
      <c r="A1195" s="276"/>
      <c r="B1195" s="277"/>
      <c r="C1195" s="277"/>
      <c r="D1195" s="277"/>
      <c r="E1195" s="277"/>
      <c r="F1195" s="325"/>
      <c r="G1195" s="325"/>
    </row>
    <row r="1196" spans="1:7" ht="20.100000000000001" customHeight="1">
      <c r="A1196" s="276"/>
      <c r="B1196" s="277"/>
      <c r="C1196" s="277"/>
      <c r="D1196" s="277"/>
      <c r="E1196" s="277"/>
      <c r="F1196" s="325"/>
      <c r="G1196" s="325"/>
    </row>
    <row r="1197" spans="1:7" ht="20.100000000000001" customHeight="1">
      <c r="A1197" s="276"/>
      <c r="B1197" s="277"/>
      <c r="C1197" s="277"/>
      <c r="D1197" s="277"/>
      <c r="E1197" s="277"/>
      <c r="F1197" s="325"/>
      <c r="G1197" s="325"/>
    </row>
    <row r="1198" spans="1:7" ht="20.100000000000001" customHeight="1">
      <c r="A1198" s="276"/>
      <c r="B1198" s="277"/>
      <c r="C1198" s="277"/>
      <c r="D1198" s="277"/>
      <c r="E1198" s="277"/>
      <c r="F1198" s="325"/>
      <c r="G1198" s="325"/>
    </row>
    <row r="1199" spans="1:7" ht="20.100000000000001" customHeight="1">
      <c r="A1199" s="276"/>
      <c r="B1199" s="277"/>
      <c r="C1199" s="277"/>
      <c r="D1199" s="277"/>
      <c r="E1199" s="277"/>
      <c r="F1199" s="325"/>
      <c r="G1199" s="325"/>
    </row>
    <row r="1200" spans="1:7" ht="20.100000000000001" customHeight="1">
      <c r="A1200" s="276"/>
      <c r="B1200" s="277"/>
      <c r="C1200" s="277"/>
      <c r="D1200" s="277"/>
      <c r="E1200" s="277"/>
      <c r="F1200" s="325"/>
      <c r="G1200" s="325"/>
    </row>
    <row r="1201" spans="1:7" ht="20.100000000000001" customHeight="1">
      <c r="A1201" s="276"/>
      <c r="B1201" s="277"/>
      <c r="C1201" s="277"/>
      <c r="D1201" s="277"/>
      <c r="E1201" s="277"/>
      <c r="F1201" s="325"/>
      <c r="G1201" s="325"/>
    </row>
    <row r="1202" spans="1:7" ht="20.100000000000001" customHeight="1">
      <c r="A1202" s="276"/>
      <c r="B1202" s="277"/>
      <c r="C1202" s="277"/>
      <c r="D1202" s="277"/>
      <c r="E1202" s="277"/>
      <c r="F1202" s="325"/>
      <c r="G1202" s="325"/>
    </row>
    <row r="1203" spans="1:7" ht="20.100000000000001" customHeight="1">
      <c r="A1203" s="276"/>
      <c r="B1203" s="277"/>
      <c r="C1203" s="277"/>
      <c r="D1203" s="277"/>
      <c r="E1203" s="277"/>
      <c r="F1203" s="325"/>
      <c r="G1203" s="325"/>
    </row>
    <row r="1204" spans="1:7" ht="20.100000000000001" customHeight="1">
      <c r="A1204" s="276"/>
      <c r="B1204" s="277"/>
      <c r="C1204" s="277"/>
      <c r="D1204" s="277"/>
      <c r="E1204" s="277"/>
      <c r="F1204" s="325"/>
      <c r="G1204" s="325"/>
    </row>
    <row r="1205" spans="1:7" ht="20.100000000000001" customHeight="1">
      <c r="A1205" s="276"/>
      <c r="B1205" s="277"/>
      <c r="C1205" s="277"/>
      <c r="D1205" s="277"/>
      <c r="E1205" s="277"/>
      <c r="F1205" s="325"/>
      <c r="G1205" s="325"/>
    </row>
    <row r="1206" spans="1:7" ht="20.100000000000001" customHeight="1">
      <c r="A1206" s="276"/>
      <c r="B1206" s="277"/>
      <c r="C1206" s="277"/>
      <c r="D1206" s="277"/>
      <c r="E1206" s="277"/>
      <c r="F1206" s="325"/>
      <c r="G1206" s="325"/>
    </row>
    <row r="1207" spans="1:7" ht="20.100000000000001" customHeight="1">
      <c r="A1207" s="276"/>
      <c r="B1207" s="277"/>
      <c r="C1207" s="277"/>
      <c r="D1207" s="277"/>
      <c r="E1207" s="277"/>
      <c r="F1207" s="325"/>
      <c r="G1207" s="325"/>
    </row>
    <row r="1208" spans="1:7" ht="20.100000000000001" customHeight="1">
      <c r="A1208" s="276"/>
      <c r="B1208" s="277"/>
      <c r="C1208" s="277"/>
      <c r="D1208" s="277"/>
      <c r="E1208" s="277"/>
      <c r="F1208" s="325"/>
      <c r="G1208" s="325"/>
    </row>
    <row r="1209" spans="1:7" ht="20.100000000000001" customHeight="1">
      <c r="A1209" s="276"/>
      <c r="B1209" s="277"/>
      <c r="C1209" s="277"/>
      <c r="D1209" s="277"/>
      <c r="E1209" s="277"/>
      <c r="F1209" s="325"/>
      <c r="G1209" s="325"/>
    </row>
    <row r="1210" spans="1:7" ht="20.100000000000001" customHeight="1">
      <c r="A1210" s="276"/>
      <c r="B1210" s="277"/>
      <c r="C1210" s="277"/>
      <c r="D1210" s="277"/>
      <c r="E1210" s="277"/>
      <c r="F1210" s="325"/>
      <c r="G1210" s="325"/>
    </row>
    <row r="1211" spans="1:7" ht="20.100000000000001" customHeight="1">
      <c r="A1211" s="276"/>
      <c r="B1211" s="277"/>
      <c r="C1211" s="277"/>
      <c r="D1211" s="277"/>
      <c r="E1211" s="277"/>
      <c r="F1211" s="325"/>
      <c r="G1211" s="325"/>
    </row>
    <row r="1212" spans="1:7" ht="20.100000000000001" customHeight="1">
      <c r="A1212" s="276"/>
      <c r="B1212" s="277"/>
      <c r="C1212" s="277"/>
      <c r="D1212" s="277"/>
      <c r="E1212" s="277"/>
      <c r="F1212" s="325"/>
      <c r="G1212" s="325"/>
    </row>
    <row r="1213" spans="1:7" ht="20.100000000000001" customHeight="1">
      <c r="A1213" s="276"/>
      <c r="B1213" s="277"/>
      <c r="C1213" s="277"/>
      <c r="D1213" s="277"/>
      <c r="E1213" s="277"/>
      <c r="F1213" s="325"/>
      <c r="G1213" s="325"/>
    </row>
    <row r="1214" spans="1:7" ht="20.100000000000001" customHeight="1">
      <c r="A1214" s="276"/>
      <c r="B1214" s="277"/>
      <c r="C1214" s="277"/>
      <c r="D1214" s="277"/>
      <c r="E1214" s="277"/>
      <c r="F1214" s="325"/>
      <c r="G1214" s="325"/>
    </row>
    <row r="1215" spans="1:7" ht="20.100000000000001" customHeight="1">
      <c r="A1215" s="276"/>
      <c r="B1215" s="277"/>
      <c r="C1215" s="277"/>
      <c r="D1215" s="277"/>
      <c r="E1215" s="277"/>
      <c r="F1215" s="325"/>
      <c r="G1215" s="325"/>
    </row>
    <row r="1216" spans="1:7" ht="20.100000000000001" customHeight="1">
      <c r="A1216" s="276"/>
      <c r="B1216" s="277"/>
      <c r="C1216" s="277"/>
      <c r="D1216" s="277"/>
      <c r="E1216" s="277"/>
      <c r="F1216" s="325"/>
      <c r="G1216" s="325"/>
    </row>
    <row r="1217" spans="1:7" ht="20.100000000000001" customHeight="1">
      <c r="A1217" s="276"/>
      <c r="B1217" s="277"/>
      <c r="C1217" s="277"/>
      <c r="D1217" s="277"/>
      <c r="E1217" s="277"/>
      <c r="F1217" s="325"/>
      <c r="G1217" s="325"/>
    </row>
    <row r="1218" spans="1:7" ht="20.100000000000001" customHeight="1">
      <c r="A1218" s="276"/>
      <c r="B1218" s="277"/>
      <c r="C1218" s="277"/>
      <c r="D1218" s="277"/>
      <c r="E1218" s="277"/>
      <c r="F1218" s="325"/>
      <c r="G1218" s="325"/>
    </row>
    <row r="1219" spans="1:7" ht="20.100000000000001" customHeight="1">
      <c r="A1219" s="276"/>
      <c r="B1219" s="277"/>
      <c r="C1219" s="277"/>
      <c r="D1219" s="277"/>
      <c r="E1219" s="277"/>
      <c r="F1219" s="325"/>
      <c r="G1219" s="325"/>
    </row>
    <row r="1220" spans="1:7" ht="20.100000000000001" customHeight="1">
      <c r="A1220" s="276"/>
      <c r="B1220" s="277"/>
      <c r="C1220" s="277"/>
      <c r="D1220" s="277"/>
      <c r="E1220" s="277"/>
      <c r="F1220" s="325"/>
      <c r="G1220" s="325"/>
    </row>
    <row r="1221" spans="1:7" ht="20.100000000000001" customHeight="1">
      <c r="A1221" s="276"/>
      <c r="B1221" s="277"/>
      <c r="C1221" s="277"/>
      <c r="D1221" s="277"/>
      <c r="E1221" s="277"/>
      <c r="F1221" s="325"/>
      <c r="G1221" s="325"/>
    </row>
    <row r="1222" spans="1:7" ht="20.100000000000001" customHeight="1">
      <c r="A1222" s="276"/>
      <c r="B1222" s="277"/>
      <c r="C1222" s="277"/>
      <c r="D1222" s="277"/>
      <c r="E1222" s="277"/>
      <c r="F1222" s="325"/>
      <c r="G1222" s="325"/>
    </row>
    <row r="1223" spans="1:7" ht="20.100000000000001" customHeight="1">
      <c r="A1223" s="276"/>
      <c r="B1223" s="277"/>
      <c r="C1223" s="277"/>
      <c r="D1223" s="277"/>
      <c r="E1223" s="277"/>
      <c r="F1223" s="325"/>
      <c r="G1223" s="325"/>
    </row>
    <row r="1224" spans="1:7" ht="20.100000000000001" customHeight="1">
      <c r="A1224" s="276"/>
      <c r="B1224" s="277"/>
      <c r="C1224" s="277"/>
      <c r="D1224" s="277"/>
      <c r="E1224" s="277"/>
      <c r="F1224" s="325"/>
      <c r="G1224" s="325"/>
    </row>
    <row r="1225" spans="1:7" ht="20.100000000000001" customHeight="1">
      <c r="A1225" s="276"/>
      <c r="B1225" s="277"/>
      <c r="C1225" s="277"/>
      <c r="D1225" s="277"/>
      <c r="E1225" s="277"/>
      <c r="F1225" s="325"/>
      <c r="G1225" s="325"/>
    </row>
    <row r="1226" spans="1:7" ht="20.100000000000001" customHeight="1">
      <c r="A1226" s="276"/>
      <c r="B1226" s="277"/>
      <c r="C1226" s="277"/>
      <c r="D1226" s="277"/>
      <c r="E1226" s="277"/>
      <c r="F1226" s="325"/>
      <c r="G1226" s="325"/>
    </row>
    <row r="1227" spans="1:7" ht="20.100000000000001" customHeight="1">
      <c r="A1227" s="276"/>
      <c r="B1227" s="277"/>
      <c r="C1227" s="277"/>
      <c r="D1227" s="277"/>
      <c r="E1227" s="277"/>
      <c r="F1227" s="325"/>
      <c r="G1227" s="325"/>
    </row>
    <row r="1228" spans="1:7" ht="20.100000000000001" customHeight="1">
      <c r="A1228" s="276"/>
      <c r="B1228" s="277"/>
      <c r="C1228" s="277"/>
      <c r="D1228" s="277"/>
      <c r="E1228" s="277"/>
      <c r="F1228" s="325"/>
      <c r="G1228" s="325"/>
    </row>
    <row r="1229" spans="1:7" ht="20.100000000000001" customHeight="1">
      <c r="A1229" s="276"/>
      <c r="B1229" s="277"/>
      <c r="C1229" s="277"/>
      <c r="D1229" s="277"/>
      <c r="E1229" s="277"/>
      <c r="F1229" s="325"/>
      <c r="G1229" s="325"/>
    </row>
    <row r="1230" spans="1:7" ht="20.100000000000001" customHeight="1">
      <c r="A1230" s="276"/>
      <c r="B1230" s="277"/>
      <c r="C1230" s="277"/>
      <c r="D1230" s="277"/>
      <c r="E1230" s="277"/>
      <c r="F1230" s="325"/>
      <c r="G1230" s="325"/>
    </row>
    <row r="1231" spans="1:7" ht="20.100000000000001" customHeight="1">
      <c r="A1231" s="276"/>
      <c r="B1231" s="277"/>
      <c r="C1231" s="277"/>
      <c r="D1231" s="277"/>
      <c r="E1231" s="277"/>
      <c r="F1231" s="325"/>
      <c r="G1231" s="325"/>
    </row>
    <row r="1232" spans="1:7" ht="20.100000000000001" customHeight="1">
      <c r="A1232" s="276"/>
      <c r="B1232" s="277"/>
      <c r="C1232" s="277"/>
      <c r="D1232" s="277"/>
      <c r="E1232" s="277"/>
      <c r="F1232" s="325"/>
      <c r="G1232" s="325"/>
    </row>
    <row r="1233" spans="1:7" ht="20.100000000000001" customHeight="1">
      <c r="A1233" s="276"/>
      <c r="B1233" s="277"/>
      <c r="C1233" s="277"/>
      <c r="D1233" s="277"/>
      <c r="E1233" s="277"/>
      <c r="F1233" s="325"/>
      <c r="G1233" s="325"/>
    </row>
    <row r="1234" spans="1:7" ht="20.100000000000001" customHeight="1">
      <c r="A1234" s="276"/>
      <c r="B1234" s="277"/>
      <c r="C1234" s="277"/>
      <c r="D1234" s="277"/>
      <c r="E1234" s="277"/>
      <c r="F1234" s="325"/>
      <c r="G1234" s="325"/>
    </row>
    <row r="1235" spans="1:7" ht="20.100000000000001" customHeight="1">
      <c r="A1235" s="276"/>
      <c r="B1235" s="277"/>
      <c r="C1235" s="277"/>
      <c r="D1235" s="277"/>
      <c r="E1235" s="277"/>
      <c r="F1235" s="325"/>
      <c r="G1235" s="325"/>
    </row>
    <row r="1236" spans="1:7" ht="20.100000000000001" customHeight="1">
      <c r="A1236" s="276"/>
      <c r="B1236" s="277"/>
      <c r="C1236" s="277"/>
      <c r="D1236" s="277"/>
      <c r="E1236" s="277"/>
      <c r="F1236" s="325"/>
      <c r="G1236" s="325"/>
    </row>
    <row r="1237" spans="1:7" ht="20.100000000000001" customHeight="1">
      <c r="A1237" s="276"/>
      <c r="B1237" s="277"/>
      <c r="C1237" s="277"/>
      <c r="D1237" s="277"/>
      <c r="E1237" s="277"/>
      <c r="F1237" s="325"/>
      <c r="G1237" s="325"/>
    </row>
    <row r="1238" spans="1:7" ht="20.100000000000001" customHeight="1">
      <c r="A1238" s="276"/>
      <c r="B1238" s="277"/>
      <c r="C1238" s="277"/>
      <c r="D1238" s="277"/>
      <c r="E1238" s="277"/>
      <c r="F1238" s="325"/>
      <c r="G1238" s="325"/>
    </row>
    <row r="1239" spans="1:7" ht="20.100000000000001" customHeight="1">
      <c r="A1239" s="276"/>
      <c r="B1239" s="277"/>
      <c r="C1239" s="277"/>
      <c r="D1239" s="277"/>
      <c r="E1239" s="277"/>
      <c r="F1239" s="325"/>
      <c r="G1239" s="325"/>
    </row>
    <row r="1240" spans="1:7" ht="20.100000000000001" customHeight="1">
      <c r="A1240" s="276"/>
      <c r="B1240" s="277"/>
      <c r="C1240" s="277"/>
      <c r="D1240" s="277"/>
      <c r="E1240" s="277"/>
      <c r="F1240" s="325"/>
      <c r="G1240" s="325"/>
    </row>
    <row r="1241" spans="1:7" ht="20.100000000000001" customHeight="1">
      <c r="A1241" s="276"/>
      <c r="B1241" s="277"/>
      <c r="C1241" s="277"/>
      <c r="D1241" s="277"/>
      <c r="E1241" s="277"/>
      <c r="F1241" s="325"/>
      <c r="G1241" s="325"/>
    </row>
    <row r="1242" spans="1:7" ht="20.100000000000001" customHeight="1">
      <c r="A1242" s="276"/>
      <c r="B1242" s="277"/>
      <c r="C1242" s="277"/>
      <c r="D1242" s="277"/>
      <c r="E1242" s="277"/>
      <c r="F1242" s="325"/>
      <c r="G1242" s="325"/>
    </row>
    <row r="1243" spans="1:7" ht="20.100000000000001" customHeight="1">
      <c r="A1243" s="276"/>
      <c r="B1243" s="277"/>
      <c r="C1243" s="277"/>
      <c r="D1243" s="277"/>
      <c r="E1243" s="277"/>
      <c r="F1243" s="325"/>
      <c r="G1243" s="325"/>
    </row>
    <row r="1244" spans="1:7" ht="20.100000000000001" customHeight="1">
      <c r="A1244" s="276"/>
      <c r="B1244" s="277"/>
      <c r="C1244" s="277"/>
      <c r="D1244" s="277"/>
      <c r="E1244" s="277"/>
      <c r="F1244" s="325"/>
      <c r="G1244" s="325"/>
    </row>
    <row r="1245" spans="1:7" ht="20.100000000000001" customHeight="1">
      <c r="A1245" s="276"/>
      <c r="B1245" s="277"/>
      <c r="C1245" s="277"/>
      <c r="D1245" s="277"/>
      <c r="E1245" s="277"/>
      <c r="F1245" s="325"/>
      <c r="G1245" s="325"/>
    </row>
    <row r="1246" spans="1:7" ht="20.100000000000001" customHeight="1">
      <c r="A1246" s="276"/>
      <c r="B1246" s="277"/>
      <c r="C1246" s="277"/>
      <c r="D1246" s="277"/>
      <c r="E1246" s="277"/>
      <c r="F1246" s="325"/>
      <c r="G1246" s="325"/>
    </row>
    <row r="1247" spans="1:7" ht="20.100000000000001" customHeight="1">
      <c r="A1247" s="276"/>
      <c r="B1247" s="277"/>
      <c r="C1247" s="277"/>
      <c r="D1247" s="277"/>
      <c r="E1247" s="277"/>
      <c r="F1247" s="325"/>
      <c r="G1247" s="325"/>
    </row>
    <row r="1248" spans="1:7" ht="20.100000000000001" customHeight="1">
      <c r="A1248" s="276"/>
      <c r="B1248" s="277"/>
      <c r="C1248" s="277"/>
      <c r="D1248" s="277"/>
      <c r="E1248" s="277"/>
      <c r="F1248" s="325"/>
      <c r="G1248" s="325"/>
    </row>
    <row r="1249" spans="1:7" ht="20.100000000000001" customHeight="1">
      <c r="A1249" s="276"/>
      <c r="B1249" s="277"/>
      <c r="C1249" s="277"/>
      <c r="D1249" s="277"/>
      <c r="E1249" s="277"/>
      <c r="F1249" s="325"/>
      <c r="G1249" s="325"/>
    </row>
    <row r="1250" spans="1:7" ht="20.100000000000001" customHeight="1">
      <c r="A1250" s="276"/>
      <c r="B1250" s="277"/>
      <c r="C1250" s="277"/>
      <c r="D1250" s="277"/>
      <c r="E1250" s="277"/>
      <c r="F1250" s="325"/>
      <c r="G1250" s="325"/>
    </row>
    <row r="1251" spans="1:7" ht="20.100000000000001" customHeight="1">
      <c r="A1251" s="276"/>
      <c r="B1251" s="277"/>
      <c r="C1251" s="277"/>
      <c r="D1251" s="277"/>
      <c r="E1251" s="277"/>
      <c r="F1251" s="325"/>
      <c r="G1251" s="325"/>
    </row>
    <row r="1252" spans="1:7" ht="20.100000000000001" customHeight="1">
      <c r="A1252" s="276"/>
      <c r="B1252" s="277"/>
      <c r="C1252" s="277"/>
      <c r="D1252" s="277"/>
      <c r="E1252" s="277"/>
      <c r="F1252" s="325"/>
      <c r="G1252" s="325"/>
    </row>
    <row r="1253" spans="1:7" ht="20.100000000000001" customHeight="1">
      <c r="A1253" s="276"/>
      <c r="B1253" s="277"/>
      <c r="C1253" s="277"/>
      <c r="D1253" s="277"/>
      <c r="E1253" s="277"/>
      <c r="F1253" s="325"/>
      <c r="G1253" s="325"/>
    </row>
    <row r="1254" spans="1:7" ht="20.100000000000001" customHeight="1">
      <c r="A1254" s="276"/>
      <c r="B1254" s="277"/>
      <c r="C1254" s="277"/>
      <c r="D1254" s="277"/>
      <c r="E1254" s="277"/>
      <c r="F1254" s="325"/>
      <c r="G1254" s="325"/>
    </row>
    <row r="1255" spans="1:7" ht="20.100000000000001" customHeight="1">
      <c r="A1255" s="276"/>
      <c r="B1255" s="277"/>
      <c r="C1255" s="277"/>
      <c r="D1255" s="277"/>
      <c r="E1255" s="277"/>
      <c r="F1255" s="325"/>
      <c r="G1255" s="325"/>
    </row>
    <row r="1256" spans="1:7" ht="20.100000000000001" customHeight="1">
      <c r="A1256" s="276"/>
      <c r="B1256" s="277"/>
      <c r="C1256" s="277"/>
      <c r="D1256" s="277"/>
      <c r="E1256" s="277"/>
      <c r="F1256" s="325"/>
      <c r="G1256" s="325"/>
    </row>
    <row r="1257" spans="1:7" ht="20.100000000000001" customHeight="1">
      <c r="A1257" s="276"/>
      <c r="B1257" s="277"/>
      <c r="C1257" s="277"/>
      <c r="D1257" s="277"/>
      <c r="E1257" s="277"/>
      <c r="F1257" s="325"/>
      <c r="G1257" s="325"/>
    </row>
    <row r="1258" spans="1:7" ht="20.100000000000001" customHeight="1">
      <c r="A1258" s="276"/>
      <c r="B1258" s="277"/>
      <c r="C1258" s="277"/>
      <c r="D1258" s="277"/>
      <c r="E1258" s="277"/>
      <c r="F1258" s="325"/>
      <c r="G1258" s="325"/>
    </row>
    <row r="1259" spans="1:7" ht="20.100000000000001" customHeight="1">
      <c r="A1259" s="276"/>
      <c r="B1259" s="277"/>
      <c r="C1259" s="277"/>
      <c r="D1259" s="277"/>
      <c r="E1259" s="277"/>
      <c r="F1259" s="325"/>
      <c r="G1259" s="325"/>
    </row>
    <row r="1260" spans="1:7" ht="20.100000000000001" customHeight="1">
      <c r="A1260" s="276"/>
      <c r="B1260" s="277"/>
      <c r="C1260" s="277"/>
      <c r="D1260" s="277"/>
      <c r="E1260" s="277"/>
      <c r="F1260" s="325"/>
      <c r="G1260" s="325"/>
    </row>
    <row r="1261" spans="1:7" ht="20.100000000000001" customHeight="1">
      <c r="A1261" s="276"/>
      <c r="B1261" s="277"/>
      <c r="C1261" s="277"/>
      <c r="D1261" s="277"/>
      <c r="E1261" s="277"/>
      <c r="F1261" s="325"/>
      <c r="G1261" s="325"/>
    </row>
    <row r="1262" spans="1:7" ht="20.100000000000001" customHeight="1">
      <c r="A1262" s="276"/>
      <c r="B1262" s="277"/>
      <c r="C1262" s="277"/>
      <c r="D1262" s="277"/>
      <c r="E1262" s="277"/>
      <c r="F1262" s="325"/>
      <c r="G1262" s="325"/>
    </row>
    <row r="1263" spans="1:7" ht="20.100000000000001" customHeight="1">
      <c r="A1263" s="276"/>
      <c r="B1263" s="277"/>
      <c r="C1263" s="277"/>
      <c r="D1263" s="277"/>
      <c r="E1263" s="277"/>
      <c r="F1263" s="325"/>
      <c r="G1263" s="325"/>
    </row>
    <row r="1264" spans="1:7" ht="20.100000000000001" customHeight="1">
      <c r="A1264" s="276"/>
      <c r="B1264" s="277"/>
      <c r="C1264" s="277"/>
      <c r="D1264" s="277"/>
      <c r="E1264" s="277"/>
      <c r="F1264" s="325"/>
      <c r="G1264" s="325"/>
    </row>
    <row r="1265" spans="1:7" ht="20.100000000000001" customHeight="1">
      <c r="A1265" s="276"/>
      <c r="B1265" s="277"/>
      <c r="C1265" s="277"/>
      <c r="D1265" s="277"/>
      <c r="E1265" s="277"/>
      <c r="F1265" s="325"/>
      <c r="G1265" s="325"/>
    </row>
    <row r="1266" spans="1:7" ht="20.100000000000001" customHeight="1">
      <c r="A1266" s="276"/>
      <c r="B1266" s="277"/>
      <c r="C1266" s="277"/>
      <c r="D1266" s="277"/>
      <c r="E1266" s="277"/>
      <c r="F1266" s="325"/>
      <c r="G1266" s="325"/>
    </row>
    <row r="1267" spans="1:7" ht="20.100000000000001" customHeight="1">
      <c r="A1267" s="276"/>
      <c r="B1267" s="277"/>
      <c r="C1267" s="277"/>
      <c r="D1267" s="277"/>
      <c r="E1267" s="277"/>
      <c r="F1267" s="325"/>
      <c r="G1267" s="325"/>
    </row>
    <row r="1268" spans="1:7" ht="20.100000000000001" customHeight="1">
      <c r="A1268" s="276"/>
      <c r="B1268" s="277"/>
      <c r="C1268" s="277"/>
      <c r="D1268" s="277"/>
      <c r="E1268" s="277"/>
      <c r="F1268" s="325"/>
      <c r="G1268" s="325"/>
    </row>
    <row r="1269" spans="1:7" ht="20.100000000000001" customHeight="1">
      <c r="A1269" s="276"/>
      <c r="B1269" s="277"/>
      <c r="C1269" s="277"/>
      <c r="D1269" s="277"/>
      <c r="E1269" s="277"/>
      <c r="F1269" s="325"/>
      <c r="G1269" s="325"/>
    </row>
    <row r="1270" spans="1:7" ht="20.100000000000001" customHeight="1">
      <c r="A1270" s="276"/>
      <c r="B1270" s="277"/>
      <c r="C1270" s="277"/>
      <c r="D1270" s="277"/>
      <c r="E1270" s="277"/>
      <c r="F1270" s="325"/>
      <c r="G1270" s="325"/>
    </row>
    <row r="1271" spans="1:7" ht="20.100000000000001" customHeight="1">
      <c r="A1271" s="276"/>
      <c r="B1271" s="277"/>
      <c r="C1271" s="277"/>
      <c r="D1271" s="277"/>
      <c r="E1271" s="277"/>
      <c r="F1271" s="325"/>
      <c r="G1271" s="325"/>
    </row>
    <row r="1272" spans="1:7" ht="20.100000000000001" customHeight="1">
      <c r="A1272" s="276"/>
      <c r="B1272" s="277"/>
      <c r="C1272" s="277"/>
      <c r="D1272" s="277"/>
      <c r="E1272" s="277"/>
      <c r="F1272" s="325"/>
      <c r="G1272" s="325"/>
    </row>
    <row r="1273" spans="1:7" ht="20.100000000000001" customHeight="1">
      <c r="A1273" s="276"/>
      <c r="B1273" s="277"/>
      <c r="C1273" s="277"/>
      <c r="D1273" s="277"/>
      <c r="E1273" s="277"/>
      <c r="F1273" s="325"/>
      <c r="G1273" s="325"/>
    </row>
    <row r="1274" spans="1:7" ht="20.100000000000001" customHeight="1">
      <c r="A1274" s="276"/>
      <c r="B1274" s="277"/>
      <c r="C1274" s="277"/>
      <c r="D1274" s="277"/>
      <c r="E1274" s="277"/>
      <c r="F1274" s="325"/>
      <c r="G1274" s="325"/>
    </row>
    <row r="1275" spans="1:7" ht="20.100000000000001" customHeight="1">
      <c r="A1275" s="276"/>
      <c r="B1275" s="277"/>
      <c r="C1275" s="277"/>
      <c r="D1275" s="277"/>
      <c r="E1275" s="277"/>
      <c r="F1275" s="325"/>
      <c r="G1275" s="325"/>
    </row>
    <row r="1276" spans="1:7" ht="20.100000000000001" customHeight="1">
      <c r="A1276" s="276"/>
      <c r="B1276" s="277"/>
      <c r="C1276" s="277"/>
      <c r="D1276" s="277"/>
      <c r="E1276" s="277"/>
      <c r="F1276" s="325"/>
      <c r="G1276" s="325"/>
    </row>
    <row r="1277" spans="1:7" ht="20.100000000000001" customHeight="1">
      <c r="A1277" s="276"/>
      <c r="B1277" s="277"/>
      <c r="C1277" s="277"/>
      <c r="D1277" s="277"/>
      <c r="E1277" s="277"/>
      <c r="F1277" s="325"/>
      <c r="G1277" s="325"/>
    </row>
    <row r="1278" spans="1:7" ht="20.100000000000001" customHeight="1">
      <c r="A1278" s="276"/>
      <c r="B1278" s="277"/>
      <c r="C1278" s="277"/>
      <c r="D1278" s="277"/>
      <c r="E1278" s="277"/>
      <c r="F1278" s="325"/>
      <c r="G1278" s="325"/>
    </row>
    <row r="1279" spans="1:7" ht="20.100000000000001" customHeight="1">
      <c r="A1279" s="276"/>
      <c r="B1279" s="277"/>
      <c r="C1279" s="277"/>
      <c r="D1279" s="277"/>
      <c r="E1279" s="277"/>
      <c r="F1279" s="325"/>
      <c r="G1279" s="325"/>
    </row>
    <row r="1280" spans="1:7" ht="20.100000000000001" customHeight="1">
      <c r="A1280" s="276"/>
      <c r="B1280" s="277"/>
      <c r="C1280" s="277"/>
      <c r="D1280" s="277"/>
      <c r="E1280" s="277"/>
      <c r="F1280" s="325"/>
      <c r="G1280" s="325"/>
    </row>
    <row r="1281" spans="1:7" ht="20.100000000000001" customHeight="1">
      <c r="A1281" s="276"/>
      <c r="B1281" s="277"/>
      <c r="C1281" s="277"/>
      <c r="D1281" s="277"/>
      <c r="E1281" s="277"/>
      <c r="F1281" s="325"/>
      <c r="G1281" s="325"/>
    </row>
    <row r="1282" spans="1:7" ht="20.100000000000001" customHeight="1">
      <c r="A1282" s="276"/>
      <c r="B1282" s="277"/>
      <c r="C1282" s="277"/>
      <c r="D1282" s="277"/>
      <c r="E1282" s="277"/>
      <c r="F1282" s="325"/>
      <c r="G1282" s="325"/>
    </row>
    <row r="1283" spans="1:7" ht="20.100000000000001" customHeight="1">
      <c r="A1283" s="276"/>
      <c r="B1283" s="277"/>
      <c r="C1283" s="277"/>
      <c r="D1283" s="277"/>
      <c r="E1283" s="277"/>
      <c r="F1283" s="325"/>
      <c r="G1283" s="325"/>
    </row>
    <row r="1284" spans="1:7" ht="20.100000000000001" customHeight="1">
      <c r="A1284" s="276"/>
      <c r="B1284" s="277"/>
      <c r="C1284" s="277"/>
      <c r="D1284" s="277"/>
      <c r="E1284" s="277"/>
      <c r="F1284" s="325"/>
      <c r="G1284" s="325"/>
    </row>
    <row r="1285" spans="1:7" ht="20.100000000000001" customHeight="1">
      <c r="A1285" s="276"/>
      <c r="B1285" s="277"/>
      <c r="C1285" s="277"/>
      <c r="D1285" s="277"/>
      <c r="E1285" s="277"/>
      <c r="F1285" s="325"/>
      <c r="G1285" s="325"/>
    </row>
    <row r="1286" spans="1:7" ht="20.100000000000001" customHeight="1">
      <c r="A1286" s="276"/>
      <c r="B1286" s="277"/>
      <c r="C1286" s="277"/>
      <c r="D1286" s="277"/>
      <c r="E1286" s="277"/>
      <c r="F1286" s="325"/>
      <c r="G1286" s="325"/>
    </row>
    <row r="1287" spans="1:7" ht="20.100000000000001" customHeight="1">
      <c r="A1287" s="276"/>
      <c r="B1287" s="277"/>
      <c r="C1287" s="277"/>
      <c r="D1287" s="277"/>
      <c r="E1287" s="277"/>
      <c r="F1287" s="325"/>
      <c r="G1287" s="325"/>
    </row>
    <row r="1288" spans="1:7" ht="20.100000000000001" customHeight="1">
      <c r="A1288" s="276"/>
      <c r="B1288" s="277"/>
      <c r="C1288" s="277"/>
      <c r="D1288" s="277"/>
      <c r="E1288" s="277"/>
      <c r="F1288" s="325"/>
      <c r="G1288" s="325"/>
    </row>
    <row r="1289" spans="1:7" ht="20.100000000000001" customHeight="1">
      <c r="A1289" s="276"/>
      <c r="B1289" s="277"/>
      <c r="C1289" s="277"/>
      <c r="D1289" s="277"/>
      <c r="E1289" s="277"/>
      <c r="F1289" s="325"/>
      <c r="G1289" s="325"/>
    </row>
    <row r="1290" spans="1:7" ht="20.100000000000001" customHeight="1">
      <c r="A1290" s="276"/>
      <c r="B1290" s="277"/>
      <c r="C1290" s="277"/>
      <c r="D1290" s="277"/>
      <c r="E1290" s="277"/>
      <c r="F1290" s="325"/>
      <c r="G1290" s="325"/>
    </row>
    <row r="1291" spans="1:7" ht="20.100000000000001" customHeight="1">
      <c r="A1291" s="276"/>
      <c r="B1291" s="277"/>
      <c r="C1291" s="277"/>
      <c r="D1291" s="277"/>
      <c r="E1291" s="277"/>
      <c r="F1291" s="325"/>
      <c r="G1291" s="325"/>
    </row>
    <row r="1292" spans="1:7" ht="20.100000000000001" customHeight="1">
      <c r="A1292" s="276"/>
      <c r="B1292" s="277"/>
      <c r="C1292" s="277"/>
      <c r="D1292" s="277"/>
      <c r="E1292" s="277"/>
      <c r="F1292" s="325"/>
      <c r="G1292" s="325"/>
    </row>
    <row r="1293" spans="1:7" ht="20.100000000000001" customHeight="1">
      <c r="A1293" s="276"/>
      <c r="B1293" s="277"/>
      <c r="C1293" s="277"/>
      <c r="D1293" s="277"/>
      <c r="E1293" s="277"/>
      <c r="F1293" s="325"/>
      <c r="G1293" s="325"/>
    </row>
    <row r="1294" spans="1:7" ht="20.100000000000001" customHeight="1">
      <c r="A1294" s="276"/>
      <c r="B1294" s="277"/>
      <c r="C1294" s="277"/>
      <c r="D1294" s="277"/>
      <c r="E1294" s="277"/>
      <c r="F1294" s="325"/>
      <c r="G1294" s="325"/>
    </row>
    <row r="1295" spans="1:7" ht="20.100000000000001" customHeight="1">
      <c r="A1295" s="276"/>
      <c r="B1295" s="277"/>
      <c r="C1295" s="277"/>
      <c r="D1295" s="277"/>
      <c r="E1295" s="277"/>
      <c r="F1295" s="325"/>
      <c r="G1295" s="325"/>
    </row>
    <row r="1296" spans="1:7" ht="20.100000000000001" customHeight="1">
      <c r="A1296" s="276"/>
      <c r="B1296" s="277"/>
      <c r="C1296" s="277"/>
      <c r="D1296" s="277"/>
      <c r="E1296" s="277"/>
      <c r="F1296" s="325"/>
      <c r="G1296" s="325"/>
    </row>
    <row r="1297" spans="1:7" ht="20.100000000000001" customHeight="1">
      <c r="A1297" s="276"/>
      <c r="B1297" s="277"/>
      <c r="C1297" s="277"/>
      <c r="D1297" s="277"/>
      <c r="E1297" s="277"/>
      <c r="F1297" s="325"/>
      <c r="G1297" s="325"/>
    </row>
    <row r="1298" spans="1:7" ht="20.100000000000001" customHeight="1">
      <c r="A1298" s="276"/>
      <c r="B1298" s="277"/>
      <c r="C1298" s="277"/>
      <c r="D1298" s="277"/>
      <c r="E1298" s="277"/>
      <c r="F1298" s="325"/>
      <c r="G1298" s="325"/>
    </row>
    <row r="1299" spans="1:7" ht="20.100000000000001" customHeight="1">
      <c r="A1299" s="276"/>
      <c r="B1299" s="277"/>
      <c r="C1299" s="277"/>
      <c r="D1299" s="277"/>
      <c r="E1299" s="277"/>
      <c r="F1299" s="325"/>
      <c r="G1299" s="325"/>
    </row>
    <row r="1300" spans="1:7" ht="20.100000000000001" customHeight="1">
      <c r="A1300" s="276"/>
      <c r="B1300" s="277"/>
      <c r="C1300" s="277"/>
      <c r="D1300" s="277"/>
      <c r="E1300" s="277"/>
      <c r="F1300" s="325"/>
      <c r="G1300" s="325"/>
    </row>
    <row r="1301" spans="1:7" ht="20.100000000000001" customHeight="1">
      <c r="A1301" s="276"/>
      <c r="B1301" s="277"/>
      <c r="C1301" s="277"/>
      <c r="D1301" s="277"/>
      <c r="E1301" s="277"/>
      <c r="F1301" s="325"/>
      <c r="G1301" s="325"/>
    </row>
    <row r="1302" spans="1:7" ht="20.100000000000001" customHeight="1">
      <c r="A1302" s="276"/>
      <c r="B1302" s="277"/>
      <c r="C1302" s="277"/>
      <c r="D1302" s="277"/>
      <c r="E1302" s="277"/>
      <c r="F1302" s="325"/>
      <c r="G1302" s="325"/>
    </row>
    <row r="1303" spans="1:7" ht="20.100000000000001" customHeight="1">
      <c r="A1303" s="276"/>
      <c r="B1303" s="277"/>
      <c r="C1303" s="277"/>
      <c r="D1303" s="277"/>
      <c r="E1303" s="277"/>
      <c r="F1303" s="325"/>
      <c r="G1303" s="325"/>
    </row>
    <row r="1304" spans="1:7" ht="20.100000000000001" customHeight="1">
      <c r="A1304" s="276"/>
      <c r="B1304" s="277"/>
      <c r="C1304" s="277"/>
      <c r="D1304" s="277"/>
      <c r="E1304" s="277"/>
      <c r="F1304" s="325"/>
      <c r="G1304" s="325"/>
    </row>
    <row r="1305" spans="1:7" ht="20.100000000000001" customHeight="1">
      <c r="A1305" s="276"/>
      <c r="B1305" s="277"/>
      <c r="C1305" s="277"/>
      <c r="D1305" s="277"/>
      <c r="E1305" s="277"/>
      <c r="F1305" s="325"/>
      <c r="G1305" s="325"/>
    </row>
    <row r="1306" spans="1:7" ht="20.100000000000001" customHeight="1">
      <c r="A1306" s="276"/>
      <c r="B1306" s="277"/>
      <c r="C1306" s="277"/>
      <c r="D1306" s="277"/>
      <c r="E1306" s="277"/>
      <c r="F1306" s="325"/>
      <c r="G1306" s="325"/>
    </row>
    <row r="1307" spans="1:7" ht="20.100000000000001" customHeight="1">
      <c r="A1307" s="276"/>
      <c r="B1307" s="277"/>
      <c r="C1307" s="277"/>
      <c r="D1307" s="277"/>
      <c r="E1307" s="277"/>
      <c r="F1307" s="325"/>
      <c r="G1307" s="325"/>
    </row>
    <row r="1308" spans="1:7" ht="20.100000000000001" customHeight="1">
      <c r="A1308" s="276"/>
      <c r="B1308" s="277"/>
      <c r="C1308" s="277"/>
      <c r="D1308" s="277"/>
      <c r="E1308" s="277"/>
      <c r="F1308" s="325"/>
      <c r="G1308" s="325"/>
    </row>
    <row r="1309" spans="1:7" ht="20.100000000000001" customHeight="1">
      <c r="A1309" s="276"/>
      <c r="B1309" s="277"/>
      <c r="C1309" s="277"/>
      <c r="D1309" s="277"/>
      <c r="E1309" s="277"/>
      <c r="F1309" s="325"/>
      <c r="G1309" s="325"/>
    </row>
    <row r="1310" spans="1:7" ht="20.100000000000001" customHeight="1">
      <c r="A1310" s="276"/>
      <c r="B1310" s="277"/>
      <c r="C1310" s="277"/>
      <c r="D1310" s="277"/>
      <c r="E1310" s="277"/>
      <c r="F1310" s="325"/>
      <c r="G1310" s="325"/>
    </row>
    <row r="1311" spans="1:7" ht="20.100000000000001" customHeight="1">
      <c r="A1311" s="276"/>
      <c r="B1311" s="277"/>
      <c r="C1311" s="277"/>
      <c r="D1311" s="277"/>
      <c r="E1311" s="277"/>
      <c r="F1311" s="325"/>
      <c r="G1311" s="325"/>
    </row>
    <row r="1312" spans="1:7" ht="20.100000000000001" customHeight="1">
      <c r="A1312" s="276"/>
      <c r="B1312" s="277"/>
      <c r="C1312" s="277"/>
      <c r="D1312" s="277"/>
      <c r="E1312" s="277"/>
      <c r="F1312" s="325"/>
      <c r="G1312" s="325"/>
    </row>
    <row r="1313" spans="1:7" ht="20.100000000000001" customHeight="1">
      <c r="A1313" s="276"/>
      <c r="B1313" s="277"/>
      <c r="C1313" s="277"/>
      <c r="D1313" s="277"/>
      <c r="E1313" s="277"/>
      <c r="F1313" s="325"/>
      <c r="G1313" s="325"/>
    </row>
    <row r="1314" spans="1:7" ht="20.100000000000001" customHeight="1">
      <c r="A1314" s="276"/>
      <c r="B1314" s="277"/>
      <c r="C1314" s="277"/>
      <c r="D1314" s="277"/>
      <c r="E1314" s="277"/>
      <c r="F1314" s="325"/>
      <c r="G1314" s="325"/>
    </row>
    <row r="1315" spans="1:7" ht="20.100000000000001" customHeight="1">
      <c r="A1315" s="276"/>
      <c r="B1315" s="277"/>
      <c r="C1315" s="277"/>
      <c r="D1315" s="277"/>
      <c r="E1315" s="277"/>
      <c r="F1315" s="325"/>
      <c r="G1315" s="325"/>
    </row>
    <row r="1316" spans="1:7" ht="20.100000000000001" customHeight="1">
      <c r="A1316" s="276"/>
      <c r="B1316" s="277"/>
      <c r="C1316" s="277"/>
      <c r="D1316" s="277"/>
      <c r="E1316" s="277"/>
      <c r="F1316" s="325"/>
      <c r="G1316" s="325"/>
    </row>
    <row r="1317" spans="1:7" ht="20.100000000000001" customHeight="1">
      <c r="A1317" s="276"/>
      <c r="B1317" s="277"/>
      <c r="C1317" s="277"/>
      <c r="D1317" s="277"/>
      <c r="E1317" s="277"/>
      <c r="F1317" s="325"/>
      <c r="G1317" s="325"/>
    </row>
    <row r="1318" spans="1:7" ht="20.100000000000001" customHeight="1">
      <c r="A1318" s="276"/>
      <c r="B1318" s="277"/>
      <c r="C1318" s="277"/>
      <c r="D1318" s="277"/>
      <c r="E1318" s="277"/>
      <c r="F1318" s="325"/>
      <c r="G1318" s="325"/>
    </row>
    <row r="1319" spans="1:7" ht="20.100000000000001" customHeight="1">
      <c r="A1319" s="276"/>
      <c r="B1319" s="277"/>
      <c r="C1319" s="277"/>
      <c r="D1319" s="277"/>
      <c r="E1319" s="277"/>
      <c r="F1319" s="325"/>
      <c r="G1319" s="325"/>
    </row>
    <row r="1320" spans="1:7" ht="20.100000000000001" customHeight="1">
      <c r="A1320" s="276"/>
      <c r="B1320" s="277"/>
      <c r="C1320" s="277"/>
      <c r="D1320" s="277"/>
      <c r="E1320" s="277"/>
      <c r="F1320" s="325"/>
      <c r="G1320" s="325"/>
    </row>
    <row r="1321" spans="1:7" ht="20.100000000000001" customHeight="1">
      <c r="A1321" s="276"/>
      <c r="B1321" s="277"/>
      <c r="C1321" s="277"/>
      <c r="D1321" s="277"/>
      <c r="E1321" s="277"/>
      <c r="F1321" s="325"/>
      <c r="G1321" s="325"/>
    </row>
    <row r="1322" spans="1:7" ht="20.100000000000001" customHeight="1">
      <c r="A1322" s="276"/>
      <c r="B1322" s="277"/>
      <c r="C1322" s="277"/>
      <c r="D1322" s="277"/>
      <c r="E1322" s="277"/>
      <c r="F1322" s="325"/>
      <c r="G1322" s="325"/>
    </row>
    <row r="1323" spans="1:7" ht="20.100000000000001" customHeight="1">
      <c r="A1323" s="276"/>
      <c r="B1323" s="277"/>
      <c r="C1323" s="277"/>
      <c r="D1323" s="277"/>
      <c r="E1323" s="277"/>
      <c r="F1323" s="325"/>
      <c r="G1323" s="325"/>
    </row>
    <row r="1324" spans="1:7" ht="20.100000000000001" customHeight="1">
      <c r="A1324" s="276"/>
      <c r="B1324" s="277"/>
      <c r="C1324" s="277"/>
      <c r="D1324" s="277"/>
      <c r="E1324" s="277"/>
      <c r="F1324" s="325"/>
      <c r="G1324" s="325"/>
    </row>
    <row r="1325" spans="1:7" ht="20.100000000000001" customHeight="1">
      <c r="A1325" s="276"/>
      <c r="B1325" s="277"/>
      <c r="C1325" s="277"/>
      <c r="D1325" s="277"/>
      <c r="E1325" s="277"/>
      <c r="F1325" s="325"/>
      <c r="G1325" s="325"/>
    </row>
    <row r="1326" spans="1:7" ht="20.100000000000001" customHeight="1">
      <c r="A1326" s="276"/>
      <c r="B1326" s="277"/>
      <c r="C1326" s="277"/>
      <c r="D1326" s="277"/>
      <c r="E1326" s="277"/>
      <c r="F1326" s="325"/>
      <c r="G1326" s="325"/>
    </row>
    <row r="1327" spans="1:7" ht="20.100000000000001" customHeight="1">
      <c r="A1327" s="276"/>
      <c r="B1327" s="277"/>
      <c r="C1327" s="277"/>
      <c r="D1327" s="277"/>
      <c r="E1327" s="277"/>
      <c r="F1327" s="325"/>
      <c r="G1327" s="325"/>
    </row>
    <row r="1328" spans="1:7" ht="20.100000000000001" customHeight="1">
      <c r="A1328" s="276"/>
      <c r="B1328" s="277"/>
      <c r="C1328" s="277"/>
      <c r="D1328" s="277"/>
      <c r="E1328" s="277"/>
      <c r="F1328" s="325"/>
      <c r="G1328" s="325"/>
    </row>
    <row r="1329" spans="1:7" ht="20.100000000000001" customHeight="1">
      <c r="A1329" s="276"/>
      <c r="B1329" s="277"/>
      <c r="C1329" s="277"/>
      <c r="D1329" s="277"/>
      <c r="E1329" s="277"/>
      <c r="F1329" s="325"/>
      <c r="G1329" s="325"/>
    </row>
    <row r="1330" spans="1:7" ht="20.100000000000001" customHeight="1">
      <c r="A1330" s="276"/>
      <c r="B1330" s="277"/>
      <c r="C1330" s="277"/>
      <c r="D1330" s="277"/>
      <c r="E1330" s="277"/>
      <c r="F1330" s="325"/>
      <c r="G1330" s="325"/>
    </row>
    <row r="1331" spans="1:7" ht="20.100000000000001" customHeight="1">
      <c r="A1331" s="276"/>
      <c r="B1331" s="277"/>
      <c r="C1331" s="277"/>
      <c r="D1331" s="277"/>
      <c r="E1331" s="277"/>
      <c r="F1331" s="325"/>
      <c r="G1331" s="325"/>
    </row>
    <row r="1332" spans="1:7" ht="20.100000000000001" customHeight="1">
      <c r="A1332" s="276"/>
      <c r="B1332" s="277"/>
      <c r="C1332" s="277"/>
      <c r="D1332" s="277"/>
      <c r="E1332" s="277"/>
      <c r="F1332" s="325"/>
      <c r="G1332" s="325"/>
    </row>
    <row r="1333" spans="1:7" ht="20.100000000000001" customHeight="1">
      <c r="A1333" s="276"/>
      <c r="B1333" s="277"/>
      <c r="C1333" s="277"/>
      <c r="D1333" s="277"/>
      <c r="E1333" s="277"/>
      <c r="F1333" s="325"/>
      <c r="G1333" s="325"/>
    </row>
    <row r="1334" spans="1:7" ht="20.100000000000001" customHeight="1">
      <c r="A1334" s="276"/>
      <c r="B1334" s="277"/>
      <c r="C1334" s="277"/>
      <c r="D1334" s="277"/>
      <c r="E1334" s="277"/>
      <c r="F1334" s="325"/>
      <c r="G1334" s="325"/>
    </row>
    <row r="1335" spans="1:7" ht="20.100000000000001" customHeight="1">
      <c r="A1335" s="276"/>
      <c r="B1335" s="277"/>
      <c r="C1335" s="277"/>
      <c r="D1335" s="277"/>
      <c r="E1335" s="277"/>
      <c r="F1335" s="325"/>
      <c r="G1335" s="325"/>
    </row>
    <row r="1336" spans="1:7" ht="20.100000000000001" customHeight="1">
      <c r="A1336" s="276"/>
      <c r="B1336" s="277"/>
      <c r="C1336" s="277"/>
      <c r="D1336" s="277"/>
      <c r="E1336" s="277"/>
      <c r="F1336" s="325"/>
      <c r="G1336" s="325"/>
    </row>
    <row r="1337" spans="1:7" ht="20.100000000000001" customHeight="1">
      <c r="A1337" s="276"/>
      <c r="B1337" s="277"/>
      <c r="C1337" s="277"/>
      <c r="D1337" s="277"/>
      <c r="E1337" s="277"/>
      <c r="F1337" s="325"/>
      <c r="G1337" s="325"/>
    </row>
    <row r="1338" spans="1:7" ht="20.100000000000001" customHeight="1">
      <c r="A1338" s="276"/>
      <c r="B1338" s="277"/>
      <c r="C1338" s="277"/>
      <c r="D1338" s="277"/>
      <c r="E1338" s="277"/>
      <c r="F1338" s="325"/>
      <c r="G1338" s="325"/>
    </row>
    <row r="1339" spans="1:7" ht="20.100000000000001" customHeight="1">
      <c r="A1339" s="276"/>
      <c r="B1339" s="277"/>
      <c r="C1339" s="277"/>
      <c r="D1339" s="277"/>
      <c r="E1339" s="277"/>
      <c r="F1339" s="325"/>
      <c r="G1339" s="325"/>
    </row>
    <row r="1340" spans="1:7" ht="20.100000000000001" customHeight="1">
      <c r="A1340" s="276"/>
      <c r="B1340" s="277"/>
      <c r="C1340" s="277"/>
      <c r="D1340" s="277"/>
      <c r="E1340" s="277"/>
      <c r="F1340" s="325"/>
      <c r="G1340" s="325"/>
    </row>
    <row r="1341" spans="1:7" ht="20.100000000000001" customHeight="1">
      <c r="A1341" s="276"/>
      <c r="B1341" s="277"/>
      <c r="C1341" s="277"/>
      <c r="D1341" s="277"/>
      <c r="E1341" s="277"/>
      <c r="F1341" s="325"/>
      <c r="G1341" s="325"/>
    </row>
    <row r="1342" spans="1:7" ht="20.100000000000001" customHeight="1">
      <c r="A1342" s="276"/>
      <c r="B1342" s="277"/>
      <c r="C1342" s="277"/>
      <c r="D1342" s="277"/>
      <c r="E1342" s="277"/>
      <c r="F1342" s="325"/>
      <c r="G1342" s="325"/>
    </row>
    <row r="1343" spans="1:7" ht="20.100000000000001" customHeight="1">
      <c r="A1343" s="276"/>
      <c r="B1343" s="277"/>
      <c r="C1343" s="277"/>
      <c r="D1343" s="277"/>
      <c r="E1343" s="277"/>
      <c r="F1343" s="325"/>
      <c r="G1343" s="325"/>
    </row>
    <row r="1344" spans="1:7" ht="20.100000000000001" customHeight="1">
      <c r="A1344" s="276"/>
      <c r="B1344" s="277"/>
      <c r="C1344" s="277"/>
      <c r="D1344" s="277"/>
      <c r="E1344" s="277"/>
      <c r="F1344" s="325"/>
      <c r="G1344" s="325"/>
    </row>
    <row r="1345" spans="1:7" ht="20.100000000000001" customHeight="1">
      <c r="A1345" s="276"/>
      <c r="B1345" s="277"/>
      <c r="C1345" s="277"/>
      <c r="D1345" s="277"/>
      <c r="E1345" s="277"/>
      <c r="F1345" s="325"/>
      <c r="G1345" s="325"/>
    </row>
    <row r="1346" spans="1:7" ht="20.100000000000001" customHeight="1">
      <c r="A1346" s="276"/>
      <c r="B1346" s="277"/>
      <c r="C1346" s="277"/>
      <c r="D1346" s="277"/>
      <c r="E1346" s="277"/>
      <c r="F1346" s="325"/>
      <c r="G1346" s="325"/>
    </row>
    <row r="1347" spans="1:7" ht="20.100000000000001" customHeight="1">
      <c r="A1347" s="276"/>
      <c r="B1347" s="277"/>
      <c r="C1347" s="277"/>
      <c r="D1347" s="277"/>
      <c r="E1347" s="277"/>
      <c r="F1347" s="325"/>
      <c r="G1347" s="325"/>
    </row>
    <row r="1348" spans="1:7" ht="20.100000000000001" customHeight="1">
      <c r="A1348" s="276"/>
      <c r="B1348" s="277"/>
      <c r="C1348" s="277"/>
      <c r="D1348" s="277"/>
      <c r="E1348" s="277"/>
      <c r="F1348" s="325"/>
      <c r="G1348" s="325"/>
    </row>
    <row r="1349" spans="1:7" ht="20.100000000000001" customHeight="1">
      <c r="A1349" s="276"/>
      <c r="B1349" s="277"/>
      <c r="C1349" s="277"/>
      <c r="D1349" s="277"/>
      <c r="E1349" s="277"/>
      <c r="F1349" s="325"/>
      <c r="G1349" s="325"/>
    </row>
    <row r="1350" spans="1:7" ht="20.100000000000001" customHeight="1">
      <c r="A1350" s="276"/>
      <c r="B1350" s="277"/>
      <c r="C1350" s="277"/>
      <c r="D1350" s="277"/>
      <c r="E1350" s="277"/>
      <c r="F1350" s="325"/>
      <c r="G1350" s="325"/>
    </row>
    <row r="1351" spans="1:7" ht="20.100000000000001" customHeight="1">
      <c r="A1351" s="276"/>
      <c r="B1351" s="277"/>
      <c r="C1351" s="277"/>
      <c r="D1351" s="277"/>
      <c r="E1351" s="277"/>
      <c r="F1351" s="325"/>
      <c r="G1351" s="325"/>
    </row>
    <row r="1352" spans="1:7" ht="20.100000000000001" customHeight="1">
      <c r="A1352" s="276"/>
      <c r="B1352" s="277"/>
      <c r="C1352" s="277"/>
      <c r="D1352" s="277"/>
      <c r="E1352" s="277"/>
      <c r="F1352" s="325"/>
      <c r="G1352" s="325"/>
    </row>
    <row r="1353" spans="1:7" ht="20.100000000000001" customHeight="1">
      <c r="A1353" s="276"/>
      <c r="B1353" s="277"/>
      <c r="C1353" s="277"/>
      <c r="D1353" s="277"/>
      <c r="E1353" s="277"/>
      <c r="F1353" s="325"/>
      <c r="G1353" s="325"/>
    </row>
    <row r="1354" spans="1:7" ht="20.100000000000001" customHeight="1">
      <c r="A1354" s="276"/>
      <c r="B1354" s="277"/>
      <c r="C1354" s="277"/>
      <c r="D1354" s="277"/>
      <c r="E1354" s="277"/>
      <c r="F1354" s="325"/>
      <c r="G1354" s="325"/>
    </row>
    <row r="1355" spans="1:7" ht="20.100000000000001" customHeight="1">
      <c r="A1355" s="276"/>
      <c r="B1355" s="277"/>
      <c r="C1355" s="277"/>
      <c r="D1355" s="277"/>
      <c r="E1355" s="277"/>
      <c r="F1355" s="325"/>
      <c r="G1355" s="325"/>
    </row>
    <row r="1356" spans="1:7" ht="20.100000000000001" customHeight="1">
      <c r="A1356" s="276"/>
      <c r="B1356" s="277"/>
      <c r="C1356" s="277"/>
      <c r="D1356" s="277"/>
      <c r="E1356" s="277"/>
      <c r="F1356" s="325"/>
      <c r="G1356" s="325"/>
    </row>
    <row r="1357" spans="1:7" ht="20.100000000000001" customHeight="1">
      <c r="A1357" s="276"/>
      <c r="B1357" s="277"/>
      <c r="C1357" s="277"/>
      <c r="D1357" s="277"/>
      <c r="E1357" s="277"/>
      <c r="F1357" s="325"/>
      <c r="G1357" s="325"/>
    </row>
    <row r="1358" spans="1:7" ht="20.100000000000001" customHeight="1">
      <c r="A1358" s="276"/>
      <c r="B1358" s="277"/>
      <c r="C1358" s="277"/>
      <c r="D1358" s="277"/>
      <c r="E1358" s="277"/>
      <c r="F1358" s="325"/>
      <c r="G1358" s="325"/>
    </row>
    <row r="1359" spans="1:7" ht="20.100000000000001" customHeight="1">
      <c r="A1359" s="276"/>
      <c r="B1359" s="277"/>
      <c r="C1359" s="277"/>
      <c r="D1359" s="277"/>
      <c r="E1359" s="277"/>
      <c r="F1359" s="325"/>
      <c r="G1359" s="325"/>
    </row>
    <row r="1360" spans="1:7" ht="20.100000000000001" customHeight="1">
      <c r="A1360" s="276"/>
      <c r="B1360" s="277"/>
      <c r="C1360" s="277"/>
      <c r="D1360" s="277"/>
      <c r="E1360" s="277"/>
      <c r="F1360" s="325"/>
      <c r="G1360" s="325"/>
    </row>
    <row r="1361" spans="1:7" ht="20.100000000000001" customHeight="1">
      <c r="A1361" s="276"/>
      <c r="B1361" s="277"/>
      <c r="C1361" s="277"/>
      <c r="D1361" s="277"/>
      <c r="E1361" s="277"/>
      <c r="F1361" s="325"/>
      <c r="G1361" s="325"/>
    </row>
    <row r="1362" spans="1:7" ht="20.100000000000001" customHeight="1">
      <c r="A1362" s="276"/>
      <c r="B1362" s="277"/>
      <c r="C1362" s="277"/>
      <c r="D1362" s="277"/>
      <c r="E1362" s="277"/>
      <c r="F1362" s="325"/>
      <c r="G1362" s="325"/>
    </row>
    <row r="1363" spans="1:7" ht="20.100000000000001" customHeight="1">
      <c r="A1363" s="276"/>
      <c r="B1363" s="277"/>
      <c r="C1363" s="277"/>
      <c r="D1363" s="277"/>
      <c r="E1363" s="277"/>
      <c r="F1363" s="325"/>
      <c r="G1363" s="325"/>
    </row>
    <row r="1364" spans="1:7" ht="20.100000000000001" customHeight="1">
      <c r="A1364" s="276"/>
      <c r="B1364" s="277"/>
      <c r="C1364" s="277"/>
      <c r="D1364" s="277"/>
      <c r="E1364" s="277"/>
      <c r="F1364" s="325"/>
      <c r="G1364" s="325"/>
    </row>
    <row r="1365" spans="1:7" ht="20.100000000000001" customHeight="1">
      <c r="A1365" s="276"/>
      <c r="B1365" s="277"/>
      <c r="C1365" s="277"/>
      <c r="D1365" s="277"/>
      <c r="E1365" s="277"/>
      <c r="F1365" s="325"/>
      <c r="G1365" s="325"/>
    </row>
    <row r="1366" spans="1:7" ht="20.100000000000001" customHeight="1">
      <c r="A1366" s="276"/>
      <c r="B1366" s="277"/>
      <c r="C1366" s="277"/>
      <c r="D1366" s="277"/>
      <c r="E1366" s="277"/>
      <c r="F1366" s="325"/>
      <c r="G1366" s="325"/>
    </row>
    <row r="1367" spans="1:7" ht="20.100000000000001" customHeight="1">
      <c r="A1367" s="276"/>
      <c r="B1367" s="277"/>
      <c r="C1367" s="277"/>
      <c r="D1367" s="277"/>
      <c r="E1367" s="277"/>
      <c r="F1367" s="325"/>
      <c r="G1367" s="325"/>
    </row>
    <row r="1368" spans="1:7" ht="20.100000000000001" customHeight="1">
      <c r="A1368" s="276"/>
      <c r="B1368" s="277"/>
      <c r="C1368" s="277"/>
      <c r="D1368" s="277"/>
      <c r="E1368" s="277"/>
      <c r="F1368" s="325"/>
      <c r="G1368" s="325"/>
    </row>
    <row r="1369" spans="1:7" ht="20.100000000000001" customHeight="1">
      <c r="A1369" s="276"/>
      <c r="B1369" s="277"/>
      <c r="C1369" s="277"/>
      <c r="D1369" s="277"/>
      <c r="E1369" s="277"/>
      <c r="F1369" s="325"/>
      <c r="G1369" s="325"/>
    </row>
    <row r="1370" spans="1:7" ht="20.100000000000001" customHeight="1">
      <c r="A1370" s="276"/>
      <c r="B1370" s="277"/>
      <c r="C1370" s="277"/>
      <c r="D1370" s="277"/>
      <c r="E1370" s="277"/>
      <c r="F1370" s="325"/>
      <c r="G1370" s="325"/>
    </row>
    <row r="1371" spans="1:7" ht="20.100000000000001" customHeight="1">
      <c r="A1371" s="276"/>
      <c r="B1371" s="277"/>
      <c r="C1371" s="277"/>
      <c r="D1371" s="277"/>
      <c r="E1371" s="277"/>
      <c r="F1371" s="325"/>
      <c r="G1371" s="325"/>
    </row>
    <row r="1372" spans="1:7" ht="20.100000000000001" customHeight="1">
      <c r="A1372" s="276"/>
      <c r="B1372" s="277"/>
      <c r="C1372" s="277"/>
      <c r="D1372" s="277"/>
      <c r="E1372" s="277"/>
      <c r="F1372" s="325"/>
      <c r="G1372" s="325"/>
    </row>
    <row r="1373" spans="1:7" ht="20.100000000000001" customHeight="1">
      <c r="A1373" s="276"/>
      <c r="B1373" s="277"/>
      <c r="C1373" s="277"/>
      <c r="D1373" s="277"/>
      <c r="E1373" s="277"/>
      <c r="F1373" s="325"/>
      <c r="G1373" s="325"/>
    </row>
    <row r="1374" spans="1:7" ht="20.100000000000001" customHeight="1">
      <c r="A1374" s="276"/>
      <c r="B1374" s="277"/>
      <c r="C1374" s="277"/>
      <c r="D1374" s="277"/>
      <c r="E1374" s="277"/>
      <c r="F1374" s="325"/>
      <c r="G1374" s="325"/>
    </row>
    <row r="1375" spans="1:7" ht="20.100000000000001" customHeight="1">
      <c r="A1375" s="276"/>
      <c r="B1375" s="277"/>
      <c r="C1375" s="277"/>
      <c r="D1375" s="277"/>
      <c r="E1375" s="277"/>
      <c r="F1375" s="325"/>
      <c r="G1375" s="325"/>
    </row>
    <row r="1376" spans="1:7" ht="20.100000000000001" customHeight="1">
      <c r="A1376" s="276"/>
      <c r="B1376" s="277"/>
      <c r="C1376" s="277"/>
      <c r="D1376" s="277"/>
      <c r="E1376" s="277"/>
      <c r="F1376" s="325"/>
      <c r="G1376" s="325"/>
    </row>
    <row r="1377" spans="1:7" ht="20.100000000000001" customHeight="1">
      <c r="A1377" s="276"/>
      <c r="B1377" s="277"/>
      <c r="C1377" s="277"/>
      <c r="D1377" s="277"/>
      <c r="E1377" s="277"/>
      <c r="F1377" s="325"/>
      <c r="G1377" s="325"/>
    </row>
    <row r="1378" spans="1:7" ht="20.100000000000001" customHeight="1">
      <c r="A1378" s="276"/>
      <c r="B1378" s="277"/>
      <c r="C1378" s="277"/>
      <c r="D1378" s="277"/>
      <c r="E1378" s="277"/>
      <c r="F1378" s="325"/>
      <c r="G1378" s="325"/>
    </row>
    <row r="1379" spans="1:7" ht="20.100000000000001" customHeight="1">
      <c r="A1379" s="276"/>
      <c r="B1379" s="277"/>
      <c r="C1379" s="277"/>
      <c r="D1379" s="277"/>
      <c r="E1379" s="277"/>
      <c r="F1379" s="325"/>
      <c r="G1379" s="325"/>
    </row>
    <row r="1380" spans="1:7" ht="20.100000000000001" customHeight="1">
      <c r="A1380" s="276"/>
      <c r="B1380" s="277"/>
      <c r="C1380" s="277"/>
      <c r="D1380" s="277"/>
      <c r="E1380" s="277"/>
      <c r="F1380" s="325"/>
      <c r="G1380" s="325"/>
    </row>
    <row r="1381" spans="1:7" ht="20.100000000000001" customHeight="1">
      <c r="A1381" s="276"/>
      <c r="B1381" s="277"/>
      <c r="C1381" s="277"/>
      <c r="D1381" s="277"/>
      <c r="E1381" s="277"/>
      <c r="F1381" s="325"/>
      <c r="G1381" s="325"/>
    </row>
    <row r="1382" spans="1:7" ht="20.100000000000001" customHeight="1">
      <c r="A1382" s="276"/>
      <c r="B1382" s="277"/>
      <c r="C1382" s="277"/>
      <c r="D1382" s="277"/>
      <c r="E1382" s="277"/>
      <c r="F1382" s="325"/>
      <c r="G1382" s="325"/>
    </row>
    <row r="1383" spans="1:7" ht="20.100000000000001" customHeight="1">
      <c r="A1383" s="276"/>
      <c r="B1383" s="277"/>
      <c r="C1383" s="277"/>
      <c r="D1383" s="277"/>
      <c r="E1383" s="277"/>
      <c r="F1383" s="325"/>
      <c r="G1383" s="325"/>
    </row>
    <row r="1384" spans="1:7" ht="20.100000000000001" customHeight="1">
      <c r="A1384" s="276"/>
      <c r="B1384" s="277"/>
      <c r="C1384" s="277"/>
      <c r="D1384" s="277"/>
      <c r="E1384" s="277"/>
      <c r="F1384" s="325"/>
      <c r="G1384" s="325"/>
    </row>
    <row r="1385" spans="1:7" ht="20.100000000000001" customHeight="1">
      <c r="A1385" s="276"/>
      <c r="B1385" s="277"/>
      <c r="C1385" s="277"/>
      <c r="D1385" s="277"/>
      <c r="E1385" s="277"/>
      <c r="F1385" s="325"/>
      <c r="G1385" s="325"/>
    </row>
    <row r="1386" spans="1:7" ht="20.100000000000001" customHeight="1">
      <c r="A1386" s="276"/>
      <c r="B1386" s="277"/>
      <c r="C1386" s="277"/>
      <c r="D1386" s="277"/>
      <c r="E1386" s="277"/>
      <c r="F1386" s="325"/>
      <c r="G1386" s="325"/>
    </row>
    <row r="1387" spans="1:7" ht="20.100000000000001" customHeight="1">
      <c r="A1387" s="276"/>
      <c r="B1387" s="277"/>
      <c r="C1387" s="277"/>
      <c r="D1387" s="277"/>
      <c r="E1387" s="277"/>
      <c r="F1387" s="325"/>
      <c r="G1387" s="325"/>
    </row>
    <row r="1388" spans="1:7" ht="20.100000000000001" customHeight="1">
      <c r="A1388" s="276"/>
      <c r="B1388" s="277"/>
      <c r="C1388" s="277"/>
      <c r="D1388" s="277"/>
      <c r="E1388" s="277"/>
      <c r="F1388" s="325"/>
      <c r="G1388" s="325"/>
    </row>
    <row r="1389" spans="1:7" ht="20.100000000000001" customHeight="1">
      <c r="A1389" s="276"/>
      <c r="B1389" s="277"/>
      <c r="C1389" s="277"/>
      <c r="D1389" s="277"/>
      <c r="E1389" s="277"/>
      <c r="F1389" s="325"/>
      <c r="G1389" s="325"/>
    </row>
    <row r="1390" spans="1:7" ht="20.100000000000001" customHeight="1">
      <c r="A1390" s="276"/>
      <c r="B1390" s="277"/>
      <c r="C1390" s="277"/>
      <c r="D1390" s="277"/>
      <c r="E1390" s="277"/>
      <c r="F1390" s="325"/>
      <c r="G1390" s="325"/>
    </row>
    <row r="1391" spans="1:7" ht="20.100000000000001" customHeight="1">
      <c r="A1391" s="276"/>
      <c r="B1391" s="277"/>
      <c r="C1391" s="277"/>
      <c r="D1391" s="277"/>
      <c r="E1391" s="277"/>
      <c r="F1391" s="325"/>
      <c r="G1391" s="325"/>
    </row>
    <row r="1392" spans="1:7" ht="20.100000000000001" customHeight="1">
      <c r="A1392" s="276"/>
      <c r="B1392" s="277"/>
      <c r="C1392" s="277"/>
      <c r="D1392" s="277"/>
      <c r="E1392" s="277"/>
      <c r="F1392" s="325"/>
      <c r="G1392" s="325"/>
    </row>
    <row r="1393" spans="1:7" ht="20.100000000000001" customHeight="1">
      <c r="A1393" s="276"/>
      <c r="B1393" s="277"/>
      <c r="C1393" s="277"/>
      <c r="D1393" s="277"/>
      <c r="E1393" s="277"/>
      <c r="F1393" s="325"/>
      <c r="G1393" s="325"/>
    </row>
    <row r="1394" spans="1:7" ht="20.100000000000001" customHeight="1">
      <c r="A1394" s="276"/>
      <c r="B1394" s="277"/>
      <c r="C1394" s="277"/>
      <c r="D1394" s="277"/>
      <c r="E1394" s="277"/>
      <c r="F1394" s="325"/>
      <c r="G1394" s="325"/>
    </row>
    <row r="1395" spans="1:7" ht="20.100000000000001" customHeight="1">
      <c r="A1395" s="276"/>
      <c r="B1395" s="277"/>
      <c r="C1395" s="277"/>
      <c r="D1395" s="277"/>
      <c r="E1395" s="277"/>
      <c r="F1395" s="325"/>
      <c r="G1395" s="325"/>
    </row>
    <row r="1396" spans="1:7" ht="20.100000000000001" customHeight="1">
      <c r="A1396" s="276"/>
      <c r="B1396" s="277"/>
      <c r="C1396" s="277"/>
      <c r="D1396" s="277"/>
      <c r="E1396" s="277"/>
      <c r="F1396" s="325"/>
      <c r="G1396" s="325"/>
    </row>
    <row r="1397" spans="1:7" ht="20.100000000000001" customHeight="1">
      <c r="A1397" s="276"/>
      <c r="B1397" s="277"/>
      <c r="C1397" s="277"/>
      <c r="D1397" s="277"/>
      <c r="E1397" s="277"/>
      <c r="F1397" s="325"/>
      <c r="G1397" s="325"/>
    </row>
    <row r="1398" spans="1:7" ht="20.100000000000001" customHeight="1">
      <c r="A1398" s="276"/>
      <c r="B1398" s="277"/>
      <c r="C1398" s="277"/>
      <c r="D1398" s="277"/>
      <c r="E1398" s="277"/>
      <c r="F1398" s="325"/>
      <c r="G1398" s="325"/>
    </row>
    <row r="1399" spans="1:7" ht="20.100000000000001" customHeight="1">
      <c r="A1399" s="276"/>
      <c r="B1399" s="277"/>
      <c r="C1399" s="277"/>
      <c r="D1399" s="277"/>
      <c r="E1399" s="277"/>
      <c r="F1399" s="325"/>
      <c r="G1399" s="325"/>
    </row>
    <row r="1400" spans="1:7" ht="20.100000000000001" customHeight="1">
      <c r="A1400" s="276"/>
      <c r="B1400" s="277"/>
      <c r="C1400" s="277"/>
      <c r="D1400" s="277"/>
      <c r="E1400" s="277"/>
      <c r="F1400" s="325"/>
      <c r="G1400" s="325"/>
    </row>
    <row r="1401" spans="1:7" ht="20.100000000000001" customHeight="1">
      <c r="A1401" s="276"/>
      <c r="B1401" s="277"/>
      <c r="C1401" s="277"/>
      <c r="D1401" s="277"/>
      <c r="E1401" s="277"/>
      <c r="F1401" s="325"/>
      <c r="G1401" s="325"/>
    </row>
    <row r="1402" spans="1:7" ht="20.100000000000001" customHeight="1">
      <c r="A1402" s="276"/>
      <c r="B1402" s="277"/>
      <c r="C1402" s="277"/>
      <c r="D1402" s="277"/>
      <c r="E1402" s="277"/>
      <c r="F1402" s="325"/>
      <c r="G1402" s="325"/>
    </row>
    <row r="1403" spans="1:7" ht="20.100000000000001" customHeight="1">
      <c r="A1403" s="276"/>
      <c r="B1403" s="277"/>
      <c r="C1403" s="277"/>
      <c r="D1403" s="277"/>
      <c r="E1403" s="277"/>
      <c r="F1403" s="325"/>
      <c r="G1403" s="325"/>
    </row>
    <row r="1404" spans="1:7" ht="20.100000000000001" customHeight="1">
      <c r="A1404" s="276"/>
      <c r="B1404" s="277"/>
      <c r="C1404" s="277"/>
      <c r="D1404" s="277"/>
      <c r="E1404" s="277"/>
      <c r="F1404" s="325"/>
      <c r="G1404" s="325"/>
    </row>
    <row r="1405" spans="1:7" ht="20.100000000000001" customHeight="1">
      <c r="A1405" s="276"/>
      <c r="B1405" s="277"/>
      <c r="C1405" s="277"/>
      <c r="D1405" s="277"/>
      <c r="E1405" s="277"/>
      <c r="F1405" s="325"/>
      <c r="G1405" s="325"/>
    </row>
    <row r="1406" spans="1:7" ht="20.100000000000001" customHeight="1">
      <c r="A1406" s="276"/>
      <c r="B1406" s="277"/>
      <c r="C1406" s="277"/>
      <c r="D1406" s="277"/>
      <c r="E1406" s="277"/>
      <c r="F1406" s="325"/>
      <c r="G1406" s="325"/>
    </row>
    <row r="1407" spans="1:7" ht="20.100000000000001" customHeight="1">
      <c r="A1407" s="276"/>
      <c r="B1407" s="277"/>
      <c r="C1407" s="277"/>
      <c r="D1407" s="277"/>
      <c r="E1407" s="277"/>
      <c r="F1407" s="325"/>
      <c r="G1407" s="325"/>
    </row>
    <row r="1408" spans="1:7" ht="20.100000000000001" customHeight="1">
      <c r="A1408" s="276"/>
      <c r="B1408" s="277"/>
      <c r="C1408" s="277"/>
      <c r="D1408" s="277"/>
      <c r="E1408" s="277"/>
      <c r="F1408" s="325"/>
      <c r="G1408" s="325"/>
    </row>
    <row r="1409" spans="1:7" ht="20.100000000000001" customHeight="1">
      <c r="A1409" s="276"/>
      <c r="B1409" s="277"/>
      <c r="C1409" s="277"/>
      <c r="D1409" s="277"/>
      <c r="E1409" s="277"/>
      <c r="F1409" s="325"/>
      <c r="G1409" s="325"/>
    </row>
    <row r="1410" spans="1:7" ht="20.100000000000001" customHeight="1">
      <c r="A1410" s="276"/>
      <c r="B1410" s="277"/>
      <c r="C1410" s="277"/>
      <c r="D1410" s="277"/>
      <c r="E1410" s="277"/>
      <c r="F1410" s="325"/>
      <c r="G1410" s="325"/>
    </row>
    <row r="1411" spans="1:7" ht="20.100000000000001" customHeight="1">
      <c r="A1411" s="276"/>
      <c r="B1411" s="277"/>
      <c r="C1411" s="277"/>
      <c r="D1411" s="277"/>
      <c r="E1411" s="277"/>
      <c r="F1411" s="325"/>
      <c r="G1411" s="325"/>
    </row>
    <row r="1412" spans="1:7" ht="20.100000000000001" customHeight="1">
      <c r="A1412" s="276"/>
      <c r="B1412" s="277"/>
      <c r="C1412" s="277"/>
      <c r="D1412" s="277"/>
      <c r="E1412" s="277"/>
      <c r="F1412" s="325"/>
      <c r="G1412" s="325"/>
    </row>
    <row r="1413" spans="1:7" ht="20.100000000000001" customHeight="1">
      <c r="A1413" s="276"/>
      <c r="B1413" s="277"/>
      <c r="C1413" s="277"/>
      <c r="D1413" s="277"/>
      <c r="E1413" s="277"/>
      <c r="F1413" s="325"/>
      <c r="G1413" s="325"/>
    </row>
    <row r="1414" spans="1:7" ht="20.100000000000001" customHeight="1">
      <c r="A1414" s="276"/>
      <c r="B1414" s="277"/>
      <c r="C1414" s="277"/>
      <c r="D1414" s="277"/>
      <c r="E1414" s="277"/>
      <c r="F1414" s="325"/>
      <c r="G1414" s="325"/>
    </row>
    <row r="1415" spans="1:7" ht="20.100000000000001" customHeight="1">
      <c r="A1415" s="276"/>
      <c r="B1415" s="277"/>
      <c r="C1415" s="277"/>
      <c r="D1415" s="277"/>
      <c r="E1415" s="277"/>
      <c r="F1415" s="325"/>
      <c r="G1415" s="325"/>
    </row>
    <row r="1416" spans="1:7" ht="20.100000000000001" customHeight="1">
      <c r="A1416" s="276"/>
      <c r="B1416" s="277"/>
      <c r="C1416" s="277"/>
      <c r="D1416" s="277"/>
      <c r="E1416" s="277"/>
      <c r="F1416" s="325"/>
      <c r="G1416" s="325"/>
    </row>
    <row r="1417" spans="1:7" ht="20.100000000000001" customHeight="1">
      <c r="A1417" s="276"/>
      <c r="B1417" s="277"/>
      <c r="C1417" s="277"/>
      <c r="D1417" s="277"/>
      <c r="E1417" s="277"/>
      <c r="F1417" s="325"/>
      <c r="G1417" s="325"/>
    </row>
    <row r="1418" spans="1:7" ht="20.100000000000001" customHeight="1">
      <c r="A1418" s="276"/>
      <c r="B1418" s="277"/>
      <c r="C1418" s="277"/>
      <c r="D1418" s="277"/>
      <c r="E1418" s="277"/>
      <c r="F1418" s="325"/>
      <c r="G1418" s="325"/>
    </row>
    <row r="1419" spans="1:7" ht="20.100000000000001" customHeight="1">
      <c r="A1419" s="276"/>
      <c r="B1419" s="277"/>
      <c r="C1419" s="277"/>
      <c r="D1419" s="277"/>
      <c r="E1419" s="277"/>
      <c r="F1419" s="325"/>
      <c r="G1419" s="325"/>
    </row>
    <row r="1420" spans="1:7" ht="20.100000000000001" customHeight="1">
      <c r="A1420" s="276"/>
      <c r="B1420" s="277"/>
      <c r="C1420" s="277"/>
      <c r="D1420" s="277"/>
      <c r="E1420" s="277"/>
      <c r="F1420" s="325"/>
      <c r="G1420" s="325"/>
    </row>
    <row r="1421" spans="1:7" ht="20.100000000000001" customHeight="1">
      <c r="A1421" s="276"/>
      <c r="B1421" s="277"/>
      <c r="C1421" s="277"/>
      <c r="D1421" s="277"/>
      <c r="E1421" s="277"/>
      <c r="F1421" s="325"/>
      <c r="G1421" s="325"/>
    </row>
    <row r="1422" spans="1:7" ht="20.100000000000001" customHeight="1">
      <c r="A1422" s="276"/>
      <c r="B1422" s="277"/>
      <c r="C1422" s="277"/>
      <c r="D1422" s="277"/>
      <c r="E1422" s="277"/>
      <c r="F1422" s="325"/>
      <c r="G1422" s="325"/>
    </row>
    <row r="1423" spans="1:7" ht="20.100000000000001" customHeight="1">
      <c r="A1423" s="276"/>
      <c r="B1423" s="277"/>
      <c r="C1423" s="277"/>
      <c r="D1423" s="277"/>
      <c r="E1423" s="277"/>
      <c r="F1423" s="325"/>
      <c r="G1423" s="325"/>
    </row>
    <row r="1424" spans="1:7" ht="20.100000000000001" customHeight="1">
      <c r="A1424" s="276"/>
      <c r="B1424" s="277"/>
      <c r="C1424" s="277"/>
      <c r="D1424" s="277"/>
      <c r="E1424" s="277"/>
      <c r="F1424" s="325"/>
      <c r="G1424" s="325"/>
    </row>
    <row r="1425" spans="1:7" ht="20.100000000000001" customHeight="1">
      <c r="A1425" s="276"/>
      <c r="B1425" s="277"/>
      <c r="C1425" s="277"/>
      <c r="D1425" s="277"/>
      <c r="E1425" s="277"/>
      <c r="F1425" s="325"/>
      <c r="G1425" s="325"/>
    </row>
    <row r="1426" spans="1:7" ht="20.100000000000001" customHeight="1">
      <c r="A1426" s="276"/>
      <c r="B1426" s="277"/>
      <c r="C1426" s="277"/>
      <c r="D1426" s="277"/>
      <c r="E1426" s="277"/>
      <c r="F1426" s="325"/>
      <c r="G1426" s="325"/>
    </row>
    <row r="1427" spans="1:7" ht="20.100000000000001" customHeight="1">
      <c r="A1427" s="276"/>
      <c r="B1427" s="277"/>
      <c r="C1427" s="277"/>
      <c r="D1427" s="277"/>
      <c r="E1427" s="277"/>
      <c r="F1427" s="325"/>
      <c r="G1427" s="325"/>
    </row>
    <row r="1428" spans="1:7" ht="20.100000000000001" customHeight="1">
      <c r="A1428" s="276"/>
      <c r="B1428" s="277"/>
      <c r="C1428" s="277"/>
      <c r="D1428" s="277"/>
      <c r="E1428" s="277"/>
      <c r="F1428" s="325"/>
      <c r="G1428" s="325"/>
    </row>
    <row r="1429" spans="1:7" ht="20.100000000000001" customHeight="1">
      <c r="A1429" s="276"/>
      <c r="B1429" s="277"/>
      <c r="C1429" s="277"/>
      <c r="D1429" s="277"/>
      <c r="E1429" s="277"/>
      <c r="F1429" s="325"/>
      <c r="G1429" s="325"/>
    </row>
    <row r="1430" spans="1:7" ht="20.100000000000001" customHeight="1">
      <c r="A1430" s="276"/>
      <c r="B1430" s="277"/>
      <c r="C1430" s="277"/>
      <c r="D1430" s="277"/>
      <c r="E1430" s="277"/>
      <c r="F1430" s="325"/>
      <c r="G1430" s="325"/>
    </row>
    <row r="1431" spans="1:7" ht="20.100000000000001" customHeight="1">
      <c r="A1431" s="276"/>
      <c r="B1431" s="277"/>
      <c r="C1431" s="277"/>
      <c r="D1431" s="277"/>
      <c r="E1431" s="277"/>
      <c r="F1431" s="325"/>
      <c r="G1431" s="325"/>
    </row>
    <row r="1432" spans="1:7" ht="20.100000000000001" customHeight="1">
      <c r="A1432" s="276"/>
      <c r="B1432" s="277"/>
      <c r="C1432" s="277"/>
      <c r="D1432" s="277"/>
      <c r="E1432" s="277"/>
      <c r="F1432" s="325"/>
      <c r="G1432" s="325"/>
    </row>
    <row r="1433" spans="1:7" ht="20.100000000000001" customHeight="1">
      <c r="A1433" s="276"/>
      <c r="B1433" s="277"/>
      <c r="C1433" s="277"/>
      <c r="D1433" s="277"/>
      <c r="E1433" s="277"/>
      <c r="F1433" s="325"/>
      <c r="G1433" s="325"/>
    </row>
    <row r="1434" spans="1:7" ht="20.100000000000001" customHeight="1">
      <c r="A1434" s="276"/>
      <c r="B1434" s="277"/>
      <c r="C1434" s="277"/>
      <c r="D1434" s="277"/>
      <c r="E1434" s="277"/>
      <c r="F1434" s="325"/>
      <c r="G1434" s="325"/>
    </row>
    <row r="1435" spans="1:7" ht="20.100000000000001" customHeight="1">
      <c r="A1435" s="276"/>
      <c r="B1435" s="277"/>
      <c r="C1435" s="277"/>
      <c r="D1435" s="277"/>
      <c r="E1435" s="277"/>
      <c r="F1435" s="325"/>
      <c r="G1435" s="325"/>
    </row>
    <row r="1436" spans="1:7" ht="20.100000000000001" customHeight="1">
      <c r="A1436" s="276"/>
      <c r="B1436" s="277"/>
      <c r="C1436" s="277"/>
      <c r="D1436" s="277"/>
      <c r="E1436" s="277"/>
      <c r="F1436" s="325"/>
      <c r="G1436" s="325"/>
    </row>
    <row r="1437" spans="1:7" ht="20.100000000000001" customHeight="1">
      <c r="A1437" s="276"/>
      <c r="B1437" s="277"/>
      <c r="C1437" s="277"/>
      <c r="D1437" s="277"/>
      <c r="E1437" s="277"/>
      <c r="F1437" s="325"/>
      <c r="G1437" s="325"/>
    </row>
    <row r="1438" spans="1:7" ht="20.100000000000001" customHeight="1">
      <c r="A1438" s="276"/>
      <c r="B1438" s="277"/>
      <c r="C1438" s="277"/>
      <c r="D1438" s="277"/>
      <c r="E1438" s="277"/>
      <c r="F1438" s="325"/>
      <c r="G1438" s="325"/>
    </row>
    <row r="1439" spans="1:7" ht="20.100000000000001" customHeight="1">
      <c r="A1439" s="276"/>
      <c r="B1439" s="277"/>
      <c r="C1439" s="277"/>
      <c r="D1439" s="277"/>
      <c r="E1439" s="277"/>
      <c r="F1439" s="325"/>
      <c r="G1439" s="325"/>
    </row>
    <row r="1440" spans="1:7" ht="20.100000000000001" customHeight="1">
      <c r="A1440" s="276"/>
      <c r="B1440" s="277"/>
      <c r="C1440" s="277"/>
      <c r="D1440" s="277"/>
      <c r="E1440" s="277"/>
      <c r="F1440" s="325"/>
      <c r="G1440" s="325"/>
    </row>
    <row r="1441" spans="1:7" ht="20.100000000000001" customHeight="1">
      <c r="A1441" s="276"/>
      <c r="B1441" s="277"/>
      <c r="C1441" s="277"/>
      <c r="D1441" s="277"/>
      <c r="E1441" s="277"/>
      <c r="F1441" s="325"/>
      <c r="G1441" s="325"/>
    </row>
    <row r="1442" spans="1:7" ht="20.100000000000001" customHeight="1">
      <c r="A1442" s="276"/>
      <c r="B1442" s="277"/>
      <c r="C1442" s="277"/>
      <c r="D1442" s="277"/>
      <c r="E1442" s="277"/>
      <c r="F1442" s="325"/>
      <c r="G1442" s="325"/>
    </row>
    <row r="1443" spans="1:7" ht="20.100000000000001" customHeight="1">
      <c r="A1443" s="276"/>
      <c r="B1443" s="277"/>
      <c r="C1443" s="277"/>
      <c r="D1443" s="277"/>
      <c r="E1443" s="277"/>
      <c r="F1443" s="325"/>
      <c r="G1443" s="325"/>
    </row>
    <row r="1444" spans="1:7" ht="20.100000000000001" customHeight="1">
      <c r="A1444" s="276"/>
      <c r="B1444" s="277"/>
      <c r="C1444" s="277"/>
      <c r="D1444" s="277"/>
      <c r="E1444" s="277"/>
      <c r="F1444" s="325"/>
      <c r="G1444" s="325"/>
    </row>
    <row r="1445" spans="1:7" ht="20.100000000000001" customHeight="1">
      <c r="A1445" s="276"/>
      <c r="B1445" s="277"/>
      <c r="C1445" s="277"/>
      <c r="D1445" s="277"/>
      <c r="E1445" s="277"/>
      <c r="F1445" s="325"/>
      <c r="G1445" s="325"/>
    </row>
    <row r="1446" spans="1:7" ht="20.100000000000001" customHeight="1">
      <c r="A1446" s="276"/>
      <c r="B1446" s="277"/>
      <c r="C1446" s="277"/>
      <c r="D1446" s="277"/>
      <c r="E1446" s="277"/>
      <c r="F1446" s="325"/>
      <c r="G1446" s="325"/>
    </row>
    <row r="1447" spans="1:7" ht="20.100000000000001" customHeight="1">
      <c r="A1447" s="276"/>
      <c r="B1447" s="277"/>
      <c r="C1447" s="277"/>
      <c r="D1447" s="277"/>
      <c r="E1447" s="277"/>
      <c r="F1447" s="325"/>
      <c r="G1447" s="325"/>
    </row>
    <row r="1448" spans="1:7" ht="20.100000000000001" customHeight="1">
      <c r="A1448" s="276"/>
      <c r="B1448" s="277"/>
      <c r="C1448" s="277"/>
      <c r="D1448" s="277"/>
      <c r="E1448" s="277"/>
      <c r="F1448" s="325"/>
      <c r="G1448" s="325"/>
    </row>
    <row r="1449" spans="1:7" ht="20.100000000000001" customHeight="1">
      <c r="A1449" s="276"/>
      <c r="B1449" s="277"/>
      <c r="C1449" s="277"/>
      <c r="D1449" s="277"/>
      <c r="E1449" s="277"/>
      <c r="F1449" s="325"/>
      <c r="G1449" s="325"/>
    </row>
    <row r="1450" spans="1:7" ht="20.100000000000001" customHeight="1">
      <c r="A1450" s="276"/>
      <c r="B1450" s="277"/>
      <c r="C1450" s="277"/>
      <c r="D1450" s="277"/>
      <c r="E1450" s="277"/>
      <c r="F1450" s="325"/>
      <c r="G1450" s="325"/>
    </row>
    <row r="1451" spans="1:7" ht="20.100000000000001" customHeight="1">
      <c r="A1451" s="276"/>
      <c r="B1451" s="277"/>
      <c r="C1451" s="277"/>
      <c r="D1451" s="277"/>
      <c r="E1451" s="277"/>
      <c r="F1451" s="325"/>
      <c r="G1451" s="325"/>
    </row>
    <row r="1452" spans="1:7" ht="20.100000000000001" customHeight="1">
      <c r="A1452" s="276"/>
      <c r="B1452" s="277"/>
      <c r="C1452" s="277"/>
      <c r="D1452" s="277"/>
      <c r="E1452" s="277"/>
      <c r="F1452" s="325"/>
      <c r="G1452" s="325"/>
    </row>
    <row r="1453" spans="1:7" ht="20.100000000000001" customHeight="1">
      <c r="A1453" s="276"/>
      <c r="B1453" s="277"/>
      <c r="C1453" s="277"/>
      <c r="D1453" s="277"/>
      <c r="E1453" s="277"/>
      <c r="F1453" s="325"/>
      <c r="G1453" s="325"/>
    </row>
    <row r="1454" spans="1:7" ht="20.100000000000001" customHeight="1">
      <c r="A1454" s="276"/>
      <c r="B1454" s="277"/>
      <c r="C1454" s="277"/>
      <c r="D1454" s="277"/>
      <c r="E1454" s="277"/>
      <c r="F1454" s="325"/>
      <c r="G1454" s="325"/>
    </row>
    <row r="1455" spans="1:7" ht="20.100000000000001" customHeight="1">
      <c r="A1455" s="276"/>
      <c r="B1455" s="277"/>
      <c r="C1455" s="277"/>
      <c r="D1455" s="277"/>
      <c r="E1455" s="277"/>
      <c r="F1455" s="325"/>
      <c r="G1455" s="325"/>
    </row>
    <row r="1456" spans="1:7" ht="20.100000000000001" customHeight="1">
      <c r="A1456" s="276"/>
      <c r="B1456" s="277"/>
      <c r="C1456" s="277"/>
      <c r="D1456" s="277"/>
      <c r="E1456" s="277"/>
      <c r="F1456" s="325"/>
      <c r="G1456" s="325"/>
    </row>
    <row r="1457" spans="1:7" ht="20.100000000000001" customHeight="1">
      <c r="A1457" s="276"/>
      <c r="B1457" s="277"/>
      <c r="C1457" s="277"/>
      <c r="D1457" s="277"/>
      <c r="E1457" s="277"/>
      <c r="F1457" s="325"/>
      <c r="G1457" s="325"/>
    </row>
    <row r="1458" spans="1:7" ht="20.100000000000001" customHeight="1">
      <c r="A1458" s="276"/>
      <c r="B1458" s="277"/>
      <c r="C1458" s="277"/>
      <c r="D1458" s="277"/>
      <c r="E1458" s="277"/>
      <c r="F1458" s="325"/>
      <c r="G1458" s="325"/>
    </row>
    <row r="1459" spans="1:7" ht="20.100000000000001" customHeight="1">
      <c r="A1459" s="276"/>
      <c r="B1459" s="277"/>
      <c r="C1459" s="277"/>
      <c r="D1459" s="277"/>
      <c r="E1459" s="277"/>
      <c r="F1459" s="325"/>
      <c r="G1459" s="325"/>
    </row>
    <row r="1460" spans="1:7" ht="20.100000000000001" customHeight="1">
      <c r="A1460" s="276"/>
      <c r="B1460" s="277"/>
      <c r="C1460" s="277"/>
      <c r="D1460" s="277"/>
      <c r="E1460" s="277"/>
      <c r="F1460" s="325"/>
      <c r="G1460" s="325"/>
    </row>
    <row r="1461" spans="1:7" ht="20.100000000000001" customHeight="1">
      <c r="A1461" s="276"/>
      <c r="B1461" s="277"/>
      <c r="C1461" s="277"/>
      <c r="D1461" s="277"/>
      <c r="E1461" s="277"/>
      <c r="F1461" s="325"/>
      <c r="G1461" s="325"/>
    </row>
    <row r="1462" spans="1:7" ht="20.100000000000001" customHeight="1">
      <c r="A1462" s="276"/>
      <c r="B1462" s="277"/>
      <c r="C1462" s="277"/>
      <c r="D1462" s="277"/>
      <c r="E1462" s="277"/>
      <c r="F1462" s="325"/>
      <c r="G1462" s="325"/>
    </row>
    <row r="1463" spans="1:7" ht="20.100000000000001" customHeight="1">
      <c r="A1463" s="276"/>
      <c r="B1463" s="277"/>
      <c r="C1463" s="277"/>
      <c r="D1463" s="277"/>
      <c r="E1463" s="277"/>
      <c r="F1463" s="325"/>
      <c r="G1463" s="325"/>
    </row>
    <row r="1464" spans="1:7" ht="20.100000000000001" customHeight="1">
      <c r="A1464" s="276"/>
      <c r="B1464" s="277"/>
      <c r="C1464" s="277"/>
      <c r="D1464" s="277"/>
      <c r="E1464" s="277"/>
      <c r="F1464" s="325"/>
      <c r="G1464" s="325"/>
    </row>
    <row r="1465" spans="1:7" ht="20.100000000000001" customHeight="1">
      <c r="A1465" s="276"/>
      <c r="B1465" s="277"/>
      <c r="C1465" s="277"/>
      <c r="D1465" s="277"/>
      <c r="E1465" s="277"/>
      <c r="F1465" s="325"/>
      <c r="G1465" s="325"/>
    </row>
    <row r="1466" spans="1:7" ht="20.100000000000001" customHeight="1">
      <c r="A1466" s="276"/>
      <c r="B1466" s="277"/>
      <c r="C1466" s="277"/>
      <c r="D1466" s="277"/>
      <c r="E1466" s="277"/>
      <c r="F1466" s="325"/>
      <c r="G1466" s="325"/>
    </row>
    <row r="1467" spans="1:7" ht="20.100000000000001" customHeight="1">
      <c r="A1467" s="276"/>
      <c r="B1467" s="277"/>
      <c r="C1467" s="277"/>
      <c r="D1467" s="277"/>
      <c r="E1467" s="277"/>
      <c r="F1467" s="325"/>
      <c r="G1467" s="325"/>
    </row>
    <row r="1468" spans="1:7" ht="20.100000000000001" customHeight="1">
      <c r="A1468" s="276"/>
      <c r="B1468" s="277"/>
      <c r="C1468" s="277"/>
      <c r="D1468" s="277"/>
      <c r="E1468" s="277"/>
      <c r="F1468" s="325"/>
      <c r="G1468" s="325"/>
    </row>
    <row r="1469" spans="1:7" ht="20.100000000000001" customHeight="1">
      <c r="A1469" s="276"/>
      <c r="B1469" s="277"/>
      <c r="C1469" s="277"/>
      <c r="D1469" s="277"/>
      <c r="E1469" s="277"/>
      <c r="F1469" s="325"/>
      <c r="G1469" s="325"/>
    </row>
    <row r="1470" spans="1:7" ht="20.100000000000001" customHeight="1">
      <c r="A1470" s="276"/>
      <c r="B1470" s="277"/>
      <c r="C1470" s="277"/>
      <c r="D1470" s="277"/>
      <c r="E1470" s="277"/>
      <c r="F1470" s="325"/>
      <c r="G1470" s="325"/>
    </row>
    <row r="1471" spans="1:7" ht="20.100000000000001" customHeight="1">
      <c r="A1471" s="276"/>
      <c r="B1471" s="277"/>
      <c r="C1471" s="277"/>
      <c r="D1471" s="277"/>
      <c r="E1471" s="277"/>
      <c r="F1471" s="325"/>
      <c r="G1471" s="325"/>
    </row>
    <row r="1472" spans="1:7" ht="20.100000000000001" customHeight="1">
      <c r="A1472" s="276"/>
      <c r="B1472" s="277"/>
      <c r="C1472" s="277"/>
      <c r="D1472" s="277"/>
      <c r="E1472" s="277"/>
      <c r="F1472" s="325"/>
      <c r="G1472" s="325"/>
    </row>
    <row r="1473" spans="1:7" ht="20.100000000000001" customHeight="1">
      <c r="A1473" s="276"/>
      <c r="B1473" s="277"/>
      <c r="C1473" s="277"/>
      <c r="D1473" s="277"/>
      <c r="E1473" s="277"/>
      <c r="F1473" s="325"/>
      <c r="G1473" s="325"/>
    </row>
    <row r="1474" spans="1:7" ht="20.100000000000001" customHeight="1">
      <c r="A1474" s="276"/>
      <c r="B1474" s="277"/>
      <c r="C1474" s="277"/>
      <c r="D1474" s="277"/>
      <c r="E1474" s="277"/>
      <c r="F1474" s="325"/>
      <c r="G1474" s="325"/>
    </row>
    <row r="1475" spans="1:7" ht="20.100000000000001" customHeight="1">
      <c r="A1475" s="276"/>
      <c r="B1475" s="277"/>
      <c r="C1475" s="277"/>
      <c r="D1475" s="277"/>
      <c r="E1475" s="277"/>
      <c r="F1475" s="325"/>
      <c r="G1475" s="325"/>
    </row>
    <row r="1476" spans="1:7" ht="20.100000000000001" customHeight="1">
      <c r="A1476" s="276"/>
      <c r="B1476" s="277"/>
      <c r="C1476" s="277"/>
      <c r="D1476" s="277"/>
      <c r="E1476" s="277"/>
      <c r="F1476" s="325"/>
      <c r="G1476" s="325"/>
    </row>
    <row r="1477" spans="1:7" ht="20.100000000000001" customHeight="1">
      <c r="A1477" s="276"/>
      <c r="B1477" s="277"/>
      <c r="C1477" s="277"/>
      <c r="D1477" s="277"/>
      <c r="E1477" s="277"/>
      <c r="F1477" s="325"/>
      <c r="G1477" s="325"/>
    </row>
    <row r="1478" spans="1:7" ht="20.100000000000001" customHeight="1">
      <c r="A1478" s="276"/>
      <c r="B1478" s="277"/>
      <c r="C1478" s="277"/>
      <c r="D1478" s="277"/>
      <c r="E1478" s="277"/>
      <c r="F1478" s="325"/>
      <c r="G1478" s="325"/>
    </row>
    <row r="1479" spans="1:7" ht="20.100000000000001" customHeight="1">
      <c r="A1479" s="276"/>
      <c r="B1479" s="277"/>
      <c r="C1479" s="277"/>
      <c r="D1479" s="277"/>
      <c r="E1479" s="277"/>
      <c r="F1479" s="325"/>
      <c r="G1479" s="325"/>
    </row>
    <row r="1480" spans="1:7" ht="20.100000000000001" customHeight="1">
      <c r="A1480" s="276"/>
      <c r="B1480" s="277"/>
      <c r="C1480" s="277"/>
      <c r="D1480" s="277"/>
      <c r="E1480" s="277"/>
      <c r="F1480" s="325"/>
      <c r="G1480" s="325"/>
    </row>
    <row r="1481" spans="1:7" ht="20.100000000000001" customHeight="1">
      <c r="A1481" s="276"/>
      <c r="B1481" s="277"/>
      <c r="C1481" s="277"/>
      <c r="D1481" s="277"/>
      <c r="E1481" s="277"/>
      <c r="F1481" s="325"/>
      <c r="G1481" s="325"/>
    </row>
    <row r="1482" spans="1:7" ht="20.100000000000001" customHeight="1">
      <c r="A1482" s="276"/>
      <c r="B1482" s="277"/>
      <c r="C1482" s="277"/>
      <c r="D1482" s="277"/>
      <c r="E1482" s="277"/>
      <c r="F1482" s="325"/>
      <c r="G1482" s="325"/>
    </row>
    <row r="1483" spans="1:7" ht="20.100000000000001" customHeight="1">
      <c r="A1483" s="276"/>
      <c r="B1483" s="277"/>
      <c r="C1483" s="277"/>
      <c r="D1483" s="277"/>
      <c r="E1483" s="277"/>
      <c r="F1483" s="325"/>
      <c r="G1483" s="325"/>
    </row>
    <row r="1484" spans="1:7" ht="20.100000000000001" customHeight="1">
      <c r="A1484" s="276"/>
      <c r="B1484" s="277"/>
      <c r="C1484" s="277"/>
      <c r="D1484" s="277"/>
      <c r="E1484" s="277"/>
      <c r="F1484" s="325"/>
      <c r="G1484" s="325"/>
    </row>
    <row r="1485" spans="1:7" ht="20.100000000000001" customHeight="1">
      <c r="A1485" s="276"/>
      <c r="B1485" s="277"/>
      <c r="C1485" s="277"/>
      <c r="D1485" s="277"/>
      <c r="E1485" s="277"/>
      <c r="F1485" s="325"/>
      <c r="G1485" s="325"/>
    </row>
    <row r="1486" spans="1:7" ht="20.100000000000001" customHeight="1">
      <c r="A1486" s="276"/>
      <c r="B1486" s="277"/>
      <c r="C1486" s="277"/>
      <c r="D1486" s="277"/>
      <c r="E1486" s="277"/>
      <c r="F1486" s="325"/>
      <c r="G1486" s="325"/>
    </row>
    <row r="1487" spans="1:7" ht="20.100000000000001" customHeight="1">
      <c r="A1487" s="276"/>
      <c r="B1487" s="277"/>
      <c r="C1487" s="277"/>
      <c r="D1487" s="277"/>
      <c r="E1487" s="277"/>
      <c r="F1487" s="325"/>
      <c r="G1487" s="325"/>
    </row>
    <row r="1488" spans="1:7" ht="20.100000000000001" customHeight="1">
      <c r="A1488" s="276"/>
      <c r="B1488" s="277"/>
      <c r="C1488" s="277"/>
      <c r="D1488" s="277"/>
      <c r="E1488" s="277"/>
      <c r="F1488" s="325"/>
      <c r="G1488" s="325"/>
    </row>
    <row r="1489" spans="1:7" ht="20.100000000000001" customHeight="1">
      <c r="A1489" s="276"/>
      <c r="B1489" s="277"/>
      <c r="C1489" s="277"/>
      <c r="D1489" s="277"/>
      <c r="E1489" s="277"/>
      <c r="F1489" s="325"/>
      <c r="G1489" s="325"/>
    </row>
    <row r="1490" spans="1:7" ht="20.100000000000001" customHeight="1">
      <c r="A1490" s="276"/>
      <c r="B1490" s="277"/>
      <c r="C1490" s="277"/>
      <c r="D1490" s="277"/>
      <c r="E1490" s="277"/>
      <c r="F1490" s="325"/>
      <c r="G1490" s="325"/>
    </row>
    <row r="1491" spans="1:7" ht="20.100000000000001" customHeight="1">
      <c r="A1491" s="276"/>
      <c r="B1491" s="277"/>
      <c r="C1491" s="277"/>
      <c r="D1491" s="277"/>
      <c r="E1491" s="277"/>
      <c r="F1491" s="325"/>
      <c r="G1491" s="325"/>
    </row>
    <row r="1492" spans="1:7" ht="20.100000000000001" customHeight="1">
      <c r="A1492" s="276"/>
      <c r="B1492" s="277"/>
      <c r="C1492" s="277"/>
      <c r="D1492" s="277"/>
      <c r="E1492" s="277"/>
      <c r="F1492" s="325"/>
      <c r="G1492" s="325"/>
    </row>
    <row r="1493" spans="1:7" ht="20.100000000000001" customHeight="1">
      <c r="A1493" s="276"/>
      <c r="B1493" s="277"/>
      <c r="C1493" s="277"/>
      <c r="D1493" s="277"/>
      <c r="E1493" s="277"/>
      <c r="F1493" s="325"/>
      <c r="G1493" s="325"/>
    </row>
    <row r="1494" spans="1:7" ht="20.100000000000001" customHeight="1">
      <c r="A1494" s="276"/>
      <c r="B1494" s="277"/>
      <c r="C1494" s="277"/>
      <c r="D1494" s="277"/>
      <c r="E1494" s="277"/>
      <c r="F1494" s="325"/>
      <c r="G1494" s="325"/>
    </row>
    <row r="1495" spans="1:7" ht="20.100000000000001" customHeight="1">
      <c r="A1495" s="276"/>
      <c r="B1495" s="277"/>
      <c r="C1495" s="277"/>
      <c r="D1495" s="277"/>
      <c r="E1495" s="277"/>
      <c r="F1495" s="325"/>
      <c r="G1495" s="325"/>
    </row>
    <row r="1496" spans="1:7" ht="20.100000000000001" customHeight="1">
      <c r="A1496" s="276"/>
      <c r="B1496" s="277"/>
      <c r="C1496" s="277"/>
      <c r="D1496" s="277"/>
      <c r="E1496" s="277"/>
      <c r="F1496" s="325"/>
      <c r="G1496" s="325"/>
    </row>
    <row r="1497" spans="1:7" ht="20.100000000000001" customHeight="1">
      <c r="A1497" s="276"/>
      <c r="B1497" s="277"/>
      <c r="C1497" s="277"/>
      <c r="D1497" s="277"/>
      <c r="E1497" s="277"/>
      <c r="F1497" s="325"/>
      <c r="G1497" s="325"/>
    </row>
    <row r="1498" spans="1:7" ht="20.100000000000001" customHeight="1">
      <c r="A1498" s="276"/>
      <c r="B1498" s="277"/>
      <c r="C1498" s="277"/>
      <c r="D1498" s="277"/>
      <c r="E1498" s="277"/>
      <c r="F1498" s="325"/>
      <c r="G1498" s="325"/>
    </row>
    <row r="1499" spans="1:7" ht="20.100000000000001" customHeight="1">
      <c r="A1499" s="276"/>
      <c r="B1499" s="277"/>
      <c r="C1499" s="277"/>
      <c r="D1499" s="277"/>
      <c r="E1499" s="277"/>
      <c r="F1499" s="325"/>
      <c r="G1499" s="325"/>
    </row>
    <row r="1500" spans="1:7" ht="20.100000000000001" customHeight="1">
      <c r="A1500" s="276"/>
      <c r="B1500" s="277"/>
      <c r="C1500" s="277"/>
      <c r="D1500" s="277"/>
      <c r="E1500" s="277"/>
      <c r="F1500" s="325"/>
      <c r="G1500" s="325"/>
    </row>
    <row r="1501" spans="1:7" ht="20.100000000000001" customHeight="1">
      <c r="A1501" s="276"/>
      <c r="B1501" s="277"/>
      <c r="C1501" s="277"/>
      <c r="D1501" s="277"/>
      <c r="E1501" s="277"/>
      <c r="F1501" s="325"/>
      <c r="G1501" s="325"/>
    </row>
    <row r="1502" spans="1:7" ht="20.100000000000001" customHeight="1">
      <c r="A1502" s="276"/>
      <c r="B1502" s="277"/>
      <c r="C1502" s="277"/>
      <c r="D1502" s="277"/>
      <c r="E1502" s="277"/>
      <c r="F1502" s="325"/>
      <c r="G1502" s="325"/>
    </row>
    <row r="1503" spans="1:7" ht="20.100000000000001" customHeight="1">
      <c r="A1503" s="276"/>
      <c r="B1503" s="277"/>
      <c r="C1503" s="277"/>
      <c r="D1503" s="277"/>
      <c r="E1503" s="277"/>
      <c r="F1503" s="325"/>
      <c r="G1503" s="325"/>
    </row>
    <row r="1504" spans="1:7" ht="20.100000000000001" customHeight="1">
      <c r="A1504" s="276"/>
      <c r="B1504" s="277"/>
      <c r="C1504" s="277"/>
      <c r="D1504" s="277"/>
      <c r="E1504" s="277"/>
      <c r="F1504" s="325"/>
      <c r="G1504" s="325"/>
    </row>
    <row r="1505" spans="1:7" ht="20.100000000000001" customHeight="1">
      <c r="A1505" s="276"/>
      <c r="B1505" s="277"/>
      <c r="C1505" s="277"/>
      <c r="D1505" s="277"/>
      <c r="E1505" s="277"/>
      <c r="F1505" s="325"/>
      <c r="G1505" s="325"/>
    </row>
    <row r="1506" spans="1:7" ht="20.100000000000001" customHeight="1">
      <c r="A1506" s="276"/>
      <c r="B1506" s="277"/>
      <c r="C1506" s="277"/>
      <c r="D1506" s="277"/>
      <c r="E1506" s="277"/>
      <c r="F1506" s="325"/>
      <c r="G1506" s="325"/>
    </row>
    <row r="1507" spans="1:7" ht="20.100000000000001" customHeight="1">
      <c r="A1507" s="276"/>
      <c r="B1507" s="277"/>
      <c r="C1507" s="277"/>
      <c r="D1507" s="277"/>
      <c r="E1507" s="277"/>
      <c r="F1507" s="325"/>
      <c r="G1507" s="325"/>
    </row>
    <row r="1508" spans="1:7" ht="20.100000000000001" customHeight="1">
      <c r="A1508" s="276"/>
      <c r="B1508" s="277"/>
      <c r="C1508" s="277"/>
      <c r="D1508" s="277"/>
      <c r="E1508" s="277"/>
      <c r="F1508" s="325"/>
      <c r="G1508" s="325"/>
    </row>
    <row r="1509" spans="1:7" ht="20.100000000000001" customHeight="1">
      <c r="A1509" s="276"/>
      <c r="B1509" s="277"/>
      <c r="C1509" s="277"/>
      <c r="D1509" s="277"/>
      <c r="E1509" s="277"/>
      <c r="F1509" s="325"/>
      <c r="G1509" s="325"/>
    </row>
    <row r="1510" spans="1:7" ht="20.100000000000001" customHeight="1">
      <c r="A1510" s="276"/>
      <c r="B1510" s="277"/>
      <c r="C1510" s="277"/>
      <c r="D1510" s="277"/>
      <c r="E1510" s="277"/>
      <c r="F1510" s="325"/>
      <c r="G1510" s="325"/>
    </row>
    <row r="1511" spans="1:7" ht="20.100000000000001" customHeight="1">
      <c r="A1511" s="276"/>
      <c r="B1511" s="277"/>
      <c r="C1511" s="277"/>
      <c r="D1511" s="277"/>
      <c r="E1511" s="277"/>
      <c r="F1511" s="325"/>
      <c r="G1511" s="325"/>
    </row>
    <row r="1512" spans="1:7" ht="20.100000000000001" customHeight="1">
      <c r="A1512" s="276"/>
      <c r="B1512" s="277"/>
      <c r="C1512" s="277"/>
      <c r="D1512" s="277"/>
      <c r="E1512" s="277"/>
      <c r="F1512" s="325"/>
      <c r="G1512" s="325"/>
    </row>
    <row r="1513" spans="1:7" ht="20.100000000000001" customHeight="1">
      <c r="A1513" s="276"/>
      <c r="B1513" s="277"/>
      <c r="C1513" s="277"/>
      <c r="D1513" s="277"/>
      <c r="E1513" s="277"/>
      <c r="F1513" s="325"/>
      <c r="G1513" s="325"/>
    </row>
    <row r="1514" spans="1:7" ht="20.100000000000001" customHeight="1">
      <c r="A1514" s="276"/>
      <c r="B1514" s="277"/>
      <c r="C1514" s="277"/>
      <c r="D1514" s="277"/>
      <c r="E1514" s="277"/>
      <c r="F1514" s="325"/>
      <c r="G1514" s="325"/>
    </row>
    <row r="1515" spans="1:7" ht="20.100000000000001" customHeight="1">
      <c r="A1515" s="276"/>
      <c r="B1515" s="277"/>
      <c r="C1515" s="277"/>
      <c r="D1515" s="277"/>
      <c r="E1515" s="277"/>
      <c r="F1515" s="325"/>
      <c r="G1515" s="325"/>
    </row>
    <row r="1516" spans="1:7" ht="20.100000000000001" customHeight="1">
      <c r="A1516" s="276"/>
      <c r="B1516" s="277"/>
      <c r="C1516" s="277"/>
      <c r="D1516" s="277"/>
      <c r="E1516" s="277"/>
      <c r="F1516" s="325"/>
      <c r="G1516" s="325"/>
    </row>
    <row r="1517" spans="1:7" ht="20.100000000000001" customHeight="1">
      <c r="A1517" s="276"/>
      <c r="B1517" s="277"/>
      <c r="C1517" s="277"/>
      <c r="D1517" s="277"/>
      <c r="E1517" s="277"/>
      <c r="F1517" s="325"/>
      <c r="G1517" s="325"/>
    </row>
    <row r="1518" spans="1:7" ht="20.100000000000001" customHeight="1">
      <c r="A1518" s="276"/>
      <c r="B1518" s="277"/>
      <c r="C1518" s="277"/>
      <c r="D1518" s="277"/>
      <c r="E1518" s="277"/>
      <c r="F1518" s="325"/>
      <c r="G1518" s="325"/>
    </row>
    <row r="1519" spans="1:7" ht="20.100000000000001" customHeight="1">
      <c r="A1519" s="276"/>
      <c r="B1519" s="277"/>
      <c r="C1519" s="277"/>
      <c r="D1519" s="277"/>
      <c r="E1519" s="277"/>
      <c r="F1519" s="325"/>
      <c r="G1519" s="325"/>
    </row>
    <row r="1520" spans="1:7" ht="20.100000000000001" customHeight="1">
      <c r="A1520" s="276"/>
      <c r="B1520" s="277"/>
      <c r="C1520" s="277"/>
      <c r="D1520" s="277"/>
      <c r="E1520" s="277"/>
      <c r="F1520" s="325"/>
      <c r="G1520" s="325"/>
    </row>
    <row r="1521" spans="1:7" ht="20.100000000000001" customHeight="1">
      <c r="A1521" s="276"/>
      <c r="B1521" s="277"/>
      <c r="C1521" s="277"/>
      <c r="D1521" s="277"/>
      <c r="E1521" s="277"/>
      <c r="F1521" s="325"/>
      <c r="G1521" s="325"/>
    </row>
    <row r="1522" spans="1:7" ht="20.100000000000001" customHeight="1">
      <c r="A1522" s="276"/>
      <c r="B1522" s="277"/>
      <c r="C1522" s="277"/>
      <c r="D1522" s="277"/>
      <c r="E1522" s="277"/>
      <c r="F1522" s="325"/>
      <c r="G1522" s="325"/>
    </row>
    <row r="1523" spans="1:7" ht="20.100000000000001" customHeight="1">
      <c r="A1523" s="276"/>
      <c r="B1523" s="277"/>
      <c r="C1523" s="277"/>
      <c r="D1523" s="277"/>
      <c r="E1523" s="277"/>
      <c r="F1523" s="325"/>
      <c r="G1523" s="325"/>
    </row>
    <row r="1524" spans="1:7" ht="20.100000000000001" customHeight="1">
      <c r="A1524" s="276"/>
      <c r="B1524" s="277"/>
      <c r="C1524" s="277"/>
      <c r="D1524" s="277"/>
      <c r="E1524" s="277"/>
      <c r="F1524" s="325"/>
      <c r="G1524" s="325"/>
    </row>
    <row r="1525" spans="1:7" ht="20.100000000000001" customHeight="1">
      <c r="A1525" s="276"/>
      <c r="B1525" s="277"/>
      <c r="C1525" s="277"/>
      <c r="D1525" s="277"/>
      <c r="E1525" s="277"/>
      <c r="F1525" s="325"/>
      <c r="G1525" s="325"/>
    </row>
    <row r="1526" spans="1:7" ht="20.100000000000001" customHeight="1">
      <c r="A1526" s="276"/>
      <c r="B1526" s="277"/>
      <c r="C1526" s="277"/>
      <c r="D1526" s="277"/>
      <c r="E1526" s="277"/>
      <c r="F1526" s="325"/>
      <c r="G1526" s="325"/>
    </row>
    <row r="1527" spans="1:7" ht="20.100000000000001" customHeight="1">
      <c r="A1527" s="276"/>
      <c r="B1527" s="277"/>
      <c r="C1527" s="277"/>
      <c r="D1527" s="277"/>
      <c r="E1527" s="277"/>
      <c r="F1527" s="325"/>
      <c r="G1527" s="325"/>
    </row>
    <row r="1528" spans="1:7" ht="20.100000000000001" customHeight="1">
      <c r="A1528" s="276"/>
      <c r="B1528" s="277"/>
      <c r="C1528" s="277"/>
      <c r="D1528" s="277"/>
      <c r="E1528" s="277"/>
      <c r="F1528" s="325"/>
      <c r="G1528" s="325"/>
    </row>
    <row r="1529" spans="1:7" ht="20.100000000000001" customHeight="1">
      <c r="A1529" s="276"/>
      <c r="B1529" s="277"/>
      <c r="C1529" s="277"/>
      <c r="D1529" s="277"/>
      <c r="E1529" s="277"/>
      <c r="F1529" s="325"/>
      <c r="G1529" s="325"/>
    </row>
    <row r="1530" spans="1:7" ht="20.100000000000001" customHeight="1">
      <c r="A1530" s="276"/>
      <c r="B1530" s="277"/>
      <c r="C1530" s="277"/>
      <c r="D1530" s="277"/>
      <c r="E1530" s="277"/>
      <c r="F1530" s="325"/>
      <c r="G1530" s="325"/>
    </row>
    <row r="1531" spans="1:7" ht="20.100000000000001" customHeight="1">
      <c r="A1531" s="276"/>
      <c r="B1531" s="277"/>
      <c r="C1531" s="277"/>
      <c r="D1531" s="277"/>
      <c r="E1531" s="277"/>
      <c r="F1531" s="325"/>
      <c r="G1531" s="325"/>
    </row>
    <row r="1532" spans="1:7" ht="20.100000000000001" customHeight="1">
      <c r="A1532" s="276"/>
      <c r="B1532" s="277"/>
      <c r="C1532" s="277"/>
      <c r="D1532" s="277"/>
      <c r="E1532" s="277"/>
      <c r="F1532" s="325"/>
      <c r="G1532" s="325"/>
    </row>
    <row r="1533" spans="1:7" ht="20.100000000000001" customHeight="1">
      <c r="A1533" s="276"/>
      <c r="B1533" s="277"/>
      <c r="C1533" s="277"/>
      <c r="D1533" s="277"/>
      <c r="E1533" s="277"/>
      <c r="F1533" s="325"/>
      <c r="G1533" s="325"/>
    </row>
    <row r="1534" spans="1:7" ht="20.100000000000001" customHeight="1">
      <c r="A1534" s="276"/>
      <c r="B1534" s="277"/>
      <c r="C1534" s="277"/>
      <c r="D1534" s="277"/>
      <c r="E1534" s="277"/>
      <c r="F1534" s="325"/>
      <c r="G1534" s="325"/>
    </row>
    <row r="1535" spans="1:7" ht="20.100000000000001" customHeight="1">
      <c r="A1535" s="276"/>
      <c r="B1535" s="277"/>
      <c r="C1535" s="277"/>
      <c r="D1535" s="277"/>
      <c r="E1535" s="277"/>
      <c r="F1535" s="325"/>
      <c r="G1535" s="325"/>
    </row>
    <row r="1536" spans="1:7" ht="20.100000000000001" customHeight="1">
      <c r="A1536" s="276"/>
      <c r="B1536" s="277"/>
      <c r="C1536" s="277"/>
      <c r="D1536" s="277"/>
      <c r="E1536" s="277"/>
      <c r="F1536" s="325"/>
      <c r="G1536" s="325"/>
    </row>
    <row r="1537" spans="1:7" ht="20.100000000000001" customHeight="1">
      <c r="A1537" s="276"/>
      <c r="B1537" s="277"/>
      <c r="C1537" s="277"/>
      <c r="D1537" s="277"/>
      <c r="E1537" s="277"/>
      <c r="F1537" s="325"/>
      <c r="G1537" s="325"/>
    </row>
    <row r="1538" spans="1:7" ht="20.100000000000001" customHeight="1">
      <c r="A1538" s="276"/>
      <c r="B1538" s="277"/>
      <c r="C1538" s="277"/>
      <c r="D1538" s="277"/>
      <c r="E1538" s="277"/>
      <c r="F1538" s="325"/>
      <c r="G1538" s="325"/>
    </row>
    <row r="1539" spans="1:7" ht="20.100000000000001" customHeight="1">
      <c r="A1539" s="276"/>
      <c r="B1539" s="277"/>
      <c r="C1539" s="277"/>
      <c r="D1539" s="277"/>
      <c r="E1539" s="277"/>
      <c r="F1539" s="325"/>
      <c r="G1539" s="325"/>
    </row>
    <row r="1540" spans="1:7" ht="20.100000000000001" customHeight="1">
      <c r="A1540" s="276"/>
      <c r="B1540" s="277"/>
      <c r="C1540" s="277"/>
      <c r="D1540" s="277"/>
      <c r="E1540" s="277"/>
      <c r="F1540" s="325"/>
      <c r="G1540" s="325"/>
    </row>
    <row r="1541" spans="1:7" ht="20.100000000000001" customHeight="1">
      <c r="A1541" s="276"/>
      <c r="B1541" s="277"/>
      <c r="C1541" s="277"/>
      <c r="D1541" s="277"/>
      <c r="E1541" s="277"/>
      <c r="F1541" s="325"/>
      <c r="G1541" s="325"/>
    </row>
    <row r="1542" spans="1:7" ht="20.100000000000001" customHeight="1">
      <c r="A1542" s="276"/>
      <c r="B1542" s="277"/>
      <c r="C1542" s="277"/>
      <c r="D1542" s="277"/>
      <c r="E1542" s="277"/>
      <c r="F1542" s="325"/>
      <c r="G1542" s="325"/>
    </row>
    <row r="1543" spans="1:7" ht="20.100000000000001" customHeight="1">
      <c r="A1543" s="276"/>
      <c r="B1543" s="277"/>
      <c r="C1543" s="277"/>
      <c r="D1543" s="277"/>
      <c r="E1543" s="277"/>
      <c r="F1543" s="325"/>
      <c r="G1543" s="325"/>
    </row>
    <row r="1544" spans="1:7" ht="20.100000000000001" customHeight="1">
      <c r="A1544" s="276"/>
      <c r="B1544" s="277"/>
      <c r="C1544" s="277"/>
      <c r="D1544" s="277"/>
      <c r="E1544" s="277"/>
      <c r="F1544" s="325"/>
      <c r="G1544" s="325"/>
    </row>
    <row r="1545" spans="1:7" ht="20.100000000000001" customHeight="1">
      <c r="A1545" s="276"/>
      <c r="B1545" s="277"/>
      <c r="C1545" s="277"/>
      <c r="D1545" s="277"/>
      <c r="E1545" s="277"/>
      <c r="F1545" s="325"/>
      <c r="G1545" s="325"/>
    </row>
    <row r="1546" spans="1:7" ht="20.100000000000001" customHeight="1">
      <c r="A1546" s="276"/>
      <c r="B1546" s="277"/>
      <c r="C1546" s="277"/>
      <c r="D1546" s="277"/>
      <c r="E1546" s="277"/>
      <c r="F1546" s="325"/>
      <c r="G1546" s="325"/>
    </row>
    <row r="1547" spans="1:7" ht="20.100000000000001" customHeight="1">
      <c r="A1547" s="276"/>
      <c r="B1547" s="277"/>
      <c r="C1547" s="277"/>
      <c r="D1547" s="277"/>
      <c r="E1547" s="277"/>
      <c r="F1547" s="325"/>
      <c r="G1547" s="325"/>
    </row>
    <row r="1548" spans="1:7" ht="20.100000000000001" customHeight="1">
      <c r="A1548" s="276"/>
      <c r="B1548" s="277"/>
      <c r="C1548" s="277"/>
      <c r="D1548" s="277"/>
      <c r="E1548" s="277"/>
      <c r="F1548" s="325"/>
      <c r="G1548" s="325"/>
    </row>
    <row r="1549" spans="1:7" ht="20.100000000000001" customHeight="1">
      <c r="A1549" s="276"/>
      <c r="B1549" s="277"/>
      <c r="C1549" s="277"/>
      <c r="D1549" s="277"/>
      <c r="E1549" s="277"/>
      <c r="F1549" s="325"/>
      <c r="G1549" s="325"/>
    </row>
    <row r="1550" spans="1:7" ht="20.100000000000001" customHeight="1">
      <c r="A1550" s="276"/>
      <c r="B1550" s="277"/>
      <c r="C1550" s="277"/>
      <c r="D1550" s="277"/>
      <c r="E1550" s="277"/>
      <c r="F1550" s="325"/>
      <c r="G1550" s="325"/>
    </row>
    <row r="1551" spans="1:7" ht="20.100000000000001" customHeight="1">
      <c r="A1551" s="276"/>
      <c r="B1551" s="277"/>
      <c r="C1551" s="277"/>
      <c r="D1551" s="277"/>
      <c r="E1551" s="277"/>
      <c r="F1551" s="325"/>
      <c r="G1551" s="325"/>
    </row>
    <row r="1552" spans="1:7" ht="20.100000000000001" customHeight="1">
      <c r="A1552" s="276"/>
      <c r="B1552" s="277"/>
      <c r="C1552" s="277"/>
      <c r="D1552" s="277"/>
      <c r="E1552" s="277"/>
      <c r="F1552" s="325"/>
      <c r="G1552" s="325"/>
    </row>
    <row r="1553" spans="1:7" ht="20.100000000000001" customHeight="1">
      <c r="A1553" s="276"/>
      <c r="B1553" s="277"/>
      <c r="C1553" s="277"/>
      <c r="D1553" s="277"/>
      <c r="E1553" s="277"/>
      <c r="F1553" s="325"/>
      <c r="G1553" s="325"/>
    </row>
    <row r="1554" spans="1:7" ht="20.100000000000001" customHeight="1">
      <c r="A1554" s="276"/>
      <c r="B1554" s="277"/>
      <c r="C1554" s="277"/>
      <c r="D1554" s="277"/>
      <c r="E1554" s="277"/>
      <c r="F1554" s="325"/>
      <c r="G1554" s="325"/>
    </row>
    <row r="1555" spans="1:7" ht="20.100000000000001" customHeight="1">
      <c r="A1555" s="276"/>
      <c r="B1555" s="277"/>
      <c r="C1555" s="277"/>
      <c r="D1555" s="277"/>
      <c r="E1555" s="277"/>
      <c r="F1555" s="325"/>
      <c r="G1555" s="325"/>
    </row>
    <row r="1556" spans="1:7" ht="20.100000000000001" customHeight="1">
      <c r="A1556" s="276"/>
      <c r="B1556" s="277"/>
      <c r="C1556" s="277"/>
      <c r="D1556" s="277"/>
      <c r="E1556" s="277"/>
      <c r="F1556" s="325"/>
      <c r="G1556" s="325"/>
    </row>
    <row r="1557" spans="1:7" ht="20.100000000000001" customHeight="1">
      <c r="A1557" s="276"/>
      <c r="B1557" s="277"/>
      <c r="C1557" s="277"/>
      <c r="D1557" s="277"/>
      <c r="E1557" s="277"/>
      <c r="F1557" s="325"/>
      <c r="G1557" s="325"/>
    </row>
    <row r="1558" spans="1:7" ht="20.100000000000001" customHeight="1">
      <c r="A1558" s="276"/>
      <c r="B1558" s="277"/>
      <c r="C1558" s="277"/>
      <c r="D1558" s="277"/>
      <c r="E1558" s="277"/>
      <c r="F1558" s="325"/>
      <c r="G1558" s="325"/>
    </row>
    <row r="1559" spans="1:7" ht="20.100000000000001" customHeight="1">
      <c r="A1559" s="276"/>
      <c r="B1559" s="277"/>
      <c r="C1559" s="277"/>
      <c r="D1559" s="277"/>
      <c r="E1559" s="277"/>
      <c r="F1559" s="325"/>
      <c r="G1559" s="325"/>
    </row>
    <row r="1560" spans="1:7" ht="20.100000000000001" customHeight="1">
      <c r="A1560" s="276"/>
      <c r="B1560" s="277"/>
      <c r="C1560" s="277"/>
      <c r="D1560" s="277"/>
      <c r="E1560" s="277"/>
      <c r="F1560" s="325"/>
      <c r="G1560" s="325"/>
    </row>
    <row r="1561" spans="1:7" ht="20.100000000000001" customHeight="1">
      <c r="A1561" s="276"/>
      <c r="B1561" s="277"/>
      <c r="C1561" s="277"/>
      <c r="D1561" s="277"/>
      <c r="E1561" s="277"/>
      <c r="F1561" s="325"/>
      <c r="G1561" s="325"/>
    </row>
    <row r="1562" spans="1:7" ht="20.100000000000001" customHeight="1">
      <c r="A1562" s="276"/>
      <c r="B1562" s="277"/>
      <c r="C1562" s="277"/>
      <c r="D1562" s="277"/>
      <c r="E1562" s="277"/>
      <c r="F1562" s="325"/>
      <c r="G1562" s="325"/>
    </row>
    <row r="1563" spans="1:7" ht="20.100000000000001" customHeight="1">
      <c r="A1563" s="276"/>
      <c r="B1563" s="277"/>
      <c r="C1563" s="277"/>
      <c r="D1563" s="277"/>
      <c r="E1563" s="277"/>
      <c r="F1563" s="325"/>
      <c r="G1563" s="325"/>
    </row>
    <row r="1564" spans="1:7" ht="20.100000000000001" customHeight="1">
      <c r="A1564" s="276"/>
      <c r="B1564" s="277"/>
      <c r="C1564" s="277"/>
      <c r="D1564" s="277"/>
      <c r="E1564" s="277"/>
      <c r="F1564" s="325"/>
      <c r="G1564" s="325"/>
    </row>
    <row r="1565" spans="1:7" ht="20.100000000000001" customHeight="1">
      <c r="A1565" s="276"/>
      <c r="B1565" s="277"/>
      <c r="C1565" s="277"/>
      <c r="D1565" s="277"/>
      <c r="E1565" s="277"/>
      <c r="F1565" s="325"/>
      <c r="G1565" s="325"/>
    </row>
    <row r="1566" spans="1:7" ht="20.100000000000001" customHeight="1">
      <c r="A1566" s="276"/>
      <c r="B1566" s="277"/>
      <c r="C1566" s="277"/>
      <c r="D1566" s="277"/>
      <c r="E1566" s="277"/>
      <c r="F1566" s="325"/>
      <c r="G1566" s="325"/>
    </row>
    <row r="1567" spans="1:7" ht="20.100000000000001" customHeight="1">
      <c r="A1567" s="276"/>
      <c r="B1567" s="277"/>
      <c r="C1567" s="277"/>
      <c r="D1567" s="277"/>
      <c r="E1567" s="277"/>
      <c r="F1567" s="325"/>
      <c r="G1567" s="325"/>
    </row>
    <row r="1568" spans="1:7" ht="20.100000000000001" customHeight="1">
      <c r="A1568" s="276"/>
      <c r="B1568" s="277"/>
      <c r="C1568" s="277"/>
      <c r="D1568" s="277"/>
      <c r="E1568" s="277"/>
      <c r="F1568" s="325"/>
      <c r="G1568" s="325"/>
    </row>
    <row r="1569" spans="1:7" ht="20.100000000000001" customHeight="1">
      <c r="A1569" s="276"/>
      <c r="B1569" s="277"/>
      <c r="C1569" s="277"/>
      <c r="D1569" s="277"/>
      <c r="E1569" s="277"/>
      <c r="F1569" s="325"/>
      <c r="G1569" s="325"/>
    </row>
    <row r="1570" spans="1:7" ht="20.100000000000001" customHeight="1">
      <c r="A1570" s="276"/>
      <c r="B1570" s="277"/>
      <c r="C1570" s="277"/>
      <c r="D1570" s="277"/>
      <c r="E1570" s="277"/>
      <c r="F1570" s="325"/>
      <c r="G1570" s="325"/>
    </row>
    <row r="1571" spans="1:7" ht="20.100000000000001" customHeight="1">
      <c r="A1571" s="276"/>
      <c r="B1571" s="277"/>
      <c r="C1571" s="277"/>
      <c r="D1571" s="277"/>
      <c r="E1571" s="277"/>
      <c r="F1571" s="325"/>
      <c r="G1571" s="325"/>
    </row>
    <row r="1572" spans="1:7" ht="20.100000000000001" customHeight="1">
      <c r="A1572" s="276"/>
      <c r="B1572" s="277"/>
      <c r="C1572" s="277"/>
      <c r="D1572" s="277"/>
      <c r="E1572" s="277"/>
      <c r="F1572" s="325"/>
      <c r="G1572" s="325"/>
    </row>
    <row r="1573" spans="1:7" ht="20.100000000000001" customHeight="1">
      <c r="A1573" s="276"/>
      <c r="B1573" s="277"/>
      <c r="C1573" s="277"/>
      <c r="D1573" s="277"/>
      <c r="E1573" s="277"/>
      <c r="F1573" s="325"/>
      <c r="G1573" s="325"/>
    </row>
    <row r="1574" spans="1:7" ht="20.100000000000001" customHeight="1">
      <c r="A1574" s="276"/>
      <c r="B1574" s="277"/>
      <c r="C1574" s="277"/>
      <c r="D1574" s="277"/>
      <c r="E1574" s="277"/>
      <c r="F1574" s="325"/>
      <c r="G1574" s="325"/>
    </row>
    <row r="1575" spans="1:7" ht="20.100000000000001" customHeight="1">
      <c r="A1575" s="326"/>
      <c r="B1575" s="309"/>
      <c r="C1575" s="309"/>
      <c r="D1575" s="309"/>
      <c r="E1575" s="309"/>
      <c r="F1575" s="327"/>
      <c r="G1575" s="327"/>
    </row>
    <row r="1576" spans="1:7" ht="20.100000000000001" customHeight="1">
      <c r="A1576" s="326"/>
      <c r="B1576" s="309"/>
      <c r="C1576" s="309"/>
      <c r="D1576" s="309"/>
      <c r="E1576" s="309"/>
      <c r="F1576" s="327"/>
      <c r="G1576" s="327"/>
    </row>
    <row r="1577" spans="1:7" ht="20.100000000000001" customHeight="1">
      <c r="A1577" s="326"/>
      <c r="B1577" s="309"/>
      <c r="C1577" s="309"/>
      <c r="D1577" s="309"/>
      <c r="E1577" s="309"/>
      <c r="F1577" s="327"/>
      <c r="G1577" s="327"/>
    </row>
    <row r="1578" spans="1:7" ht="20.100000000000001" customHeight="1">
      <c r="A1578" s="326"/>
      <c r="B1578" s="309"/>
      <c r="C1578" s="309"/>
      <c r="D1578" s="309"/>
      <c r="E1578" s="309"/>
      <c r="F1578" s="327"/>
      <c r="G1578" s="327"/>
    </row>
    <row r="1579" spans="1:7" ht="20.100000000000001" customHeight="1">
      <c r="A1579" s="326"/>
      <c r="B1579" s="309"/>
      <c r="C1579" s="309"/>
      <c r="D1579" s="309"/>
      <c r="E1579" s="309"/>
      <c r="F1579" s="327"/>
      <c r="G1579" s="327"/>
    </row>
    <row r="1580" spans="1:7" ht="20.100000000000001" customHeight="1">
      <c r="A1580" s="326"/>
      <c r="B1580" s="309"/>
      <c r="C1580" s="309"/>
      <c r="D1580" s="309"/>
      <c r="E1580" s="309"/>
      <c r="F1580" s="327"/>
      <c r="G1580" s="327"/>
    </row>
    <row r="1581" spans="1:7" ht="20.100000000000001" customHeight="1">
      <c r="A1581" s="326"/>
      <c r="B1581" s="309"/>
      <c r="C1581" s="309"/>
      <c r="D1581" s="309"/>
      <c r="E1581" s="309"/>
      <c r="F1581" s="327"/>
      <c r="G1581" s="327"/>
    </row>
    <row r="1582" spans="1:7" ht="20.100000000000001" customHeight="1">
      <c r="A1582" s="326"/>
      <c r="B1582" s="309"/>
      <c r="C1582" s="309"/>
      <c r="D1582" s="309"/>
      <c r="E1582" s="309"/>
      <c r="F1582" s="327"/>
      <c r="G1582" s="327"/>
    </row>
    <row r="1583" spans="1:7" ht="20.100000000000001" customHeight="1">
      <c r="A1583" s="326"/>
      <c r="B1583" s="309"/>
      <c r="C1583" s="309"/>
      <c r="D1583" s="309"/>
      <c r="E1583" s="309"/>
      <c r="F1583" s="327"/>
      <c r="G1583" s="327"/>
    </row>
    <row r="1584" spans="1:7" ht="20.100000000000001" customHeight="1">
      <c r="A1584" s="326"/>
      <c r="B1584" s="309"/>
      <c r="C1584" s="309"/>
      <c r="D1584" s="309"/>
      <c r="E1584" s="309"/>
      <c r="F1584" s="327"/>
      <c r="G1584" s="327"/>
    </row>
    <row r="1585" spans="1:7" ht="20.100000000000001" customHeight="1">
      <c r="A1585" s="326"/>
      <c r="B1585" s="309"/>
      <c r="C1585" s="309"/>
      <c r="D1585" s="309"/>
      <c r="E1585" s="309"/>
      <c r="F1585" s="327"/>
      <c r="G1585" s="327"/>
    </row>
    <row r="1586" spans="1:7" ht="20.100000000000001" customHeight="1">
      <c r="A1586" s="326"/>
      <c r="B1586" s="309"/>
      <c r="C1586" s="309"/>
      <c r="D1586" s="309"/>
      <c r="E1586" s="309"/>
      <c r="F1586" s="327"/>
      <c r="G1586" s="327"/>
    </row>
    <row r="1587" spans="1:7" ht="20.100000000000001" customHeight="1">
      <c r="A1587" s="326"/>
      <c r="B1587" s="309"/>
      <c r="C1587" s="309"/>
      <c r="D1587" s="309"/>
      <c r="E1587" s="309"/>
      <c r="F1587" s="327"/>
      <c r="G1587" s="327"/>
    </row>
    <row r="1588" spans="1:7" ht="20.100000000000001" customHeight="1">
      <c r="A1588" s="326"/>
      <c r="B1588" s="309"/>
      <c r="C1588" s="309"/>
      <c r="D1588" s="309"/>
      <c r="E1588" s="309"/>
      <c r="F1588" s="327"/>
      <c r="G1588" s="327"/>
    </row>
    <row r="1589" spans="1:7" ht="20.100000000000001" customHeight="1">
      <c r="A1589" s="326"/>
      <c r="B1589" s="309"/>
      <c r="C1589" s="309"/>
      <c r="D1589" s="309"/>
      <c r="E1589" s="309"/>
      <c r="F1589" s="327"/>
      <c r="G1589" s="327"/>
    </row>
    <row r="1590" spans="1:7" ht="20.100000000000001" customHeight="1">
      <c r="A1590" s="326"/>
      <c r="B1590" s="309"/>
      <c r="C1590" s="309"/>
      <c r="D1590" s="309"/>
      <c r="E1590" s="309"/>
      <c r="F1590" s="327"/>
      <c r="G1590" s="327"/>
    </row>
    <row r="1591" spans="1:7" ht="20.100000000000001" customHeight="1">
      <c r="A1591" s="326"/>
      <c r="B1591" s="309"/>
      <c r="C1591" s="309"/>
      <c r="D1591" s="309"/>
      <c r="E1591" s="309"/>
      <c r="F1591" s="327"/>
      <c r="G1591" s="327"/>
    </row>
    <row r="1592" spans="1:7" ht="20.100000000000001" customHeight="1">
      <c r="A1592" s="326"/>
      <c r="B1592" s="309"/>
      <c r="C1592" s="309"/>
      <c r="D1592" s="309"/>
      <c r="E1592" s="309"/>
      <c r="F1592" s="327"/>
      <c r="G1592" s="327"/>
    </row>
    <row r="1593" spans="1:7" ht="20.100000000000001" customHeight="1">
      <c r="A1593" s="326"/>
      <c r="B1593" s="309"/>
      <c r="C1593" s="309"/>
      <c r="D1593" s="309"/>
      <c r="E1593" s="309"/>
      <c r="F1593" s="327"/>
      <c r="G1593" s="327"/>
    </row>
    <row r="1594" spans="1:7" ht="20.100000000000001" customHeight="1">
      <c r="A1594" s="326"/>
      <c r="B1594" s="309"/>
      <c r="C1594" s="309"/>
      <c r="D1594" s="309"/>
      <c r="E1594" s="309"/>
      <c r="F1594" s="327"/>
      <c r="G1594" s="327"/>
    </row>
    <row r="1595" spans="1:7" ht="20.100000000000001" customHeight="1">
      <c r="A1595" s="326"/>
      <c r="B1595" s="309"/>
      <c r="C1595" s="309"/>
      <c r="D1595" s="309"/>
      <c r="E1595" s="309"/>
      <c r="F1595" s="327"/>
      <c r="G1595" s="327"/>
    </row>
    <row r="1596" spans="1:7" ht="20.100000000000001" customHeight="1">
      <c r="A1596" s="326"/>
      <c r="B1596" s="309"/>
      <c r="C1596" s="309"/>
      <c r="D1596" s="309"/>
      <c r="E1596" s="309"/>
      <c r="F1596" s="327"/>
      <c r="G1596" s="327"/>
    </row>
    <row r="1597" spans="1:7" ht="20.100000000000001" customHeight="1">
      <c r="A1597" s="326"/>
      <c r="B1597" s="309"/>
      <c r="C1597" s="309"/>
      <c r="D1597" s="309"/>
      <c r="E1597" s="309"/>
      <c r="F1597" s="327"/>
      <c r="G1597" s="327"/>
    </row>
    <row r="1598" spans="1:7" ht="20.100000000000001" customHeight="1">
      <c r="A1598" s="326"/>
      <c r="B1598" s="309"/>
      <c r="C1598" s="309"/>
      <c r="D1598" s="309"/>
      <c r="E1598" s="309"/>
      <c r="F1598" s="327"/>
      <c r="G1598" s="327"/>
    </row>
    <row r="1599" spans="1:7" ht="20.100000000000001" customHeight="1">
      <c r="A1599" s="326"/>
      <c r="B1599" s="309"/>
      <c r="C1599" s="309"/>
      <c r="D1599" s="309"/>
      <c r="E1599" s="309"/>
      <c r="F1599" s="327"/>
      <c r="G1599" s="327"/>
    </row>
    <row r="1600" spans="1:7" ht="20.100000000000001" customHeight="1">
      <c r="A1600" s="326"/>
      <c r="B1600" s="309"/>
      <c r="C1600" s="309"/>
      <c r="D1600" s="309"/>
      <c r="E1600" s="309"/>
      <c r="F1600" s="327"/>
      <c r="G1600" s="327"/>
    </row>
    <row r="1601" spans="1:7" ht="20.100000000000001" customHeight="1">
      <c r="A1601" s="326"/>
      <c r="B1601" s="309"/>
      <c r="C1601" s="309"/>
      <c r="D1601" s="309"/>
      <c r="E1601" s="309"/>
      <c r="F1601" s="327"/>
      <c r="G1601" s="327"/>
    </row>
    <row r="1602" spans="1:7" ht="20.100000000000001" customHeight="1">
      <c r="A1602" s="326"/>
      <c r="B1602" s="309"/>
      <c r="C1602" s="309"/>
      <c r="D1602" s="309"/>
      <c r="E1602" s="309"/>
      <c r="F1602" s="327"/>
      <c r="G1602" s="327"/>
    </row>
    <row r="1603" spans="1:7" ht="20.100000000000001" customHeight="1">
      <c r="A1603" s="326"/>
      <c r="B1603" s="309"/>
      <c r="C1603" s="309"/>
      <c r="D1603" s="309"/>
      <c r="E1603" s="309"/>
      <c r="F1603" s="327"/>
      <c r="G1603" s="327"/>
    </row>
    <row r="1604" spans="1:7" ht="20.100000000000001" customHeight="1">
      <c r="A1604" s="326"/>
      <c r="B1604" s="309"/>
      <c r="C1604" s="309"/>
      <c r="D1604" s="309"/>
      <c r="E1604" s="309"/>
      <c r="F1604" s="327"/>
      <c r="G1604" s="327"/>
    </row>
    <row r="1605" spans="1:7" ht="20.100000000000001" customHeight="1">
      <c r="A1605" s="326"/>
      <c r="B1605" s="309"/>
      <c r="C1605" s="309"/>
      <c r="D1605" s="309"/>
      <c r="E1605" s="309"/>
      <c r="F1605" s="327"/>
      <c r="G1605" s="327"/>
    </row>
    <row r="1606" spans="1:7" ht="20.100000000000001" customHeight="1">
      <c r="A1606" s="326"/>
      <c r="B1606" s="309"/>
      <c r="C1606" s="309"/>
      <c r="D1606" s="309"/>
      <c r="E1606" s="309"/>
      <c r="F1606" s="327"/>
      <c r="G1606" s="327"/>
    </row>
    <row r="1607" spans="1:7" ht="20.100000000000001" customHeight="1">
      <c r="A1607" s="326"/>
      <c r="B1607" s="309"/>
      <c r="C1607" s="309"/>
      <c r="D1607" s="309"/>
      <c r="E1607" s="309"/>
      <c r="F1607" s="327"/>
      <c r="G1607" s="327"/>
    </row>
    <row r="1608" spans="1:7" ht="20.100000000000001" customHeight="1">
      <c r="A1608" s="326"/>
      <c r="B1608" s="309"/>
      <c r="C1608" s="309"/>
      <c r="D1608" s="309"/>
      <c r="E1608" s="309"/>
      <c r="F1608" s="327"/>
      <c r="G1608" s="327"/>
    </row>
    <row r="1609" spans="1:7" ht="20.100000000000001" customHeight="1">
      <c r="A1609" s="326"/>
      <c r="B1609" s="309"/>
      <c r="C1609" s="309"/>
      <c r="D1609" s="309"/>
      <c r="E1609" s="309"/>
      <c r="F1609" s="327"/>
      <c r="G1609" s="327"/>
    </row>
    <row r="1610" spans="1:7" ht="20.100000000000001" customHeight="1">
      <c r="A1610" s="326"/>
      <c r="B1610" s="309"/>
      <c r="C1610" s="309"/>
      <c r="D1610" s="309"/>
      <c r="E1610" s="309"/>
      <c r="F1610" s="327"/>
      <c r="G1610" s="327"/>
    </row>
    <row r="1611" spans="1:7" ht="20.100000000000001" customHeight="1">
      <c r="A1611" s="326"/>
      <c r="B1611" s="309"/>
      <c r="C1611" s="309"/>
      <c r="D1611" s="309"/>
      <c r="E1611" s="309"/>
      <c r="F1611" s="327"/>
      <c r="G1611" s="327"/>
    </row>
    <row r="1612" spans="1:7" ht="20.100000000000001" customHeight="1">
      <c r="A1612" s="326"/>
      <c r="B1612" s="309"/>
      <c r="C1612" s="309"/>
      <c r="D1612" s="309"/>
      <c r="E1612" s="309"/>
      <c r="F1612" s="327"/>
      <c r="G1612" s="327"/>
    </row>
    <row r="1613" spans="1:7" ht="20.100000000000001" customHeight="1">
      <c r="A1613" s="326"/>
      <c r="B1613" s="309"/>
      <c r="C1613" s="309"/>
      <c r="D1613" s="309"/>
      <c r="E1613" s="309"/>
      <c r="F1613" s="327"/>
      <c r="G1613" s="327"/>
    </row>
    <row r="1614" spans="1:7" ht="20.100000000000001" customHeight="1">
      <c r="A1614" s="326"/>
      <c r="B1614" s="309"/>
      <c r="C1614" s="309"/>
      <c r="D1614" s="309"/>
      <c r="E1614" s="309"/>
      <c r="F1614" s="327"/>
      <c r="G1614" s="327"/>
    </row>
    <row r="1615" spans="1:7" ht="20.100000000000001" customHeight="1">
      <c r="A1615" s="326"/>
      <c r="B1615" s="309"/>
      <c r="C1615" s="309"/>
      <c r="D1615" s="309"/>
      <c r="E1615" s="309"/>
      <c r="F1615" s="327"/>
      <c r="G1615" s="327"/>
    </row>
    <row r="1616" spans="1:7" ht="20.100000000000001" customHeight="1">
      <c r="A1616" s="326"/>
      <c r="B1616" s="309"/>
      <c r="C1616" s="309"/>
      <c r="D1616" s="309"/>
      <c r="E1616" s="309"/>
      <c r="F1616" s="327"/>
      <c r="G1616" s="327"/>
    </row>
    <row r="1617" spans="1:7" ht="20.100000000000001" customHeight="1">
      <c r="A1617" s="326"/>
      <c r="B1617" s="309"/>
      <c r="C1617" s="309"/>
      <c r="D1617" s="309"/>
      <c r="E1617" s="309"/>
      <c r="F1617" s="327"/>
      <c r="G1617" s="327"/>
    </row>
    <row r="1618" spans="1:7" ht="20.100000000000001" customHeight="1">
      <c r="A1618" s="326"/>
      <c r="B1618" s="309"/>
      <c r="C1618" s="309"/>
      <c r="D1618" s="309"/>
      <c r="E1618" s="309"/>
      <c r="F1618" s="327"/>
      <c r="G1618" s="327"/>
    </row>
    <row r="1619" spans="1:7" ht="20.100000000000001" customHeight="1">
      <c r="A1619" s="326"/>
      <c r="B1619" s="309"/>
      <c r="C1619" s="309"/>
      <c r="D1619" s="309"/>
      <c r="E1619" s="309"/>
      <c r="F1619" s="327"/>
      <c r="G1619" s="327"/>
    </row>
    <row r="1620" spans="1:7" ht="20.100000000000001" customHeight="1">
      <c r="A1620" s="326"/>
      <c r="B1620" s="309"/>
      <c r="C1620" s="309"/>
      <c r="D1620" s="309"/>
      <c r="E1620" s="309"/>
      <c r="F1620" s="327"/>
      <c r="G1620" s="327"/>
    </row>
    <row r="1621" spans="1:7" ht="20.100000000000001" customHeight="1">
      <c r="A1621" s="326"/>
      <c r="B1621" s="309"/>
      <c r="C1621" s="309"/>
      <c r="D1621" s="309"/>
      <c r="E1621" s="309"/>
      <c r="F1621" s="327"/>
      <c r="G1621" s="327"/>
    </row>
    <row r="1622" spans="1:7" ht="20.100000000000001" customHeight="1">
      <c r="A1622" s="326"/>
      <c r="B1622" s="309"/>
      <c r="C1622" s="309"/>
      <c r="D1622" s="309"/>
      <c r="E1622" s="309"/>
      <c r="F1622" s="327"/>
      <c r="G1622" s="327"/>
    </row>
    <row r="1623" spans="1:7" ht="20.100000000000001" customHeight="1">
      <c r="A1623" s="326"/>
      <c r="B1623" s="309"/>
      <c r="C1623" s="309"/>
      <c r="D1623" s="309"/>
      <c r="E1623" s="309"/>
      <c r="F1623" s="327"/>
      <c r="G1623" s="327"/>
    </row>
    <row r="1624" spans="1:7" ht="20.100000000000001" customHeight="1">
      <c r="A1624" s="326"/>
      <c r="B1624" s="309"/>
      <c r="C1624" s="309"/>
      <c r="D1624" s="309"/>
      <c r="E1624" s="309"/>
      <c r="F1624" s="327"/>
      <c r="G1624" s="327"/>
    </row>
    <row r="1625" spans="1:7" ht="20.100000000000001" customHeight="1">
      <c r="A1625" s="326"/>
      <c r="B1625" s="309"/>
      <c r="C1625" s="309"/>
      <c r="D1625" s="309"/>
      <c r="E1625" s="309"/>
      <c r="F1625" s="327"/>
      <c r="G1625" s="327"/>
    </row>
    <row r="1626" spans="1:7" ht="20.100000000000001" customHeight="1">
      <c r="A1626" s="326"/>
      <c r="B1626" s="309"/>
      <c r="C1626" s="309"/>
      <c r="D1626" s="309"/>
      <c r="E1626" s="309"/>
      <c r="F1626" s="327"/>
      <c r="G1626" s="327"/>
    </row>
    <row r="1627" spans="1:7" ht="20.100000000000001" customHeight="1">
      <c r="A1627" s="326"/>
      <c r="B1627" s="309"/>
      <c r="C1627" s="309"/>
      <c r="D1627" s="309"/>
      <c r="E1627" s="309"/>
      <c r="F1627" s="327"/>
      <c r="G1627" s="327"/>
    </row>
    <row r="1628" spans="1:7" ht="20.100000000000001" customHeight="1">
      <c r="A1628" s="326"/>
      <c r="B1628" s="309"/>
      <c r="C1628" s="309"/>
      <c r="D1628" s="309"/>
      <c r="E1628" s="309"/>
      <c r="F1628" s="327"/>
      <c r="G1628" s="327"/>
    </row>
    <row r="1629" spans="1:7" ht="20.100000000000001" customHeight="1">
      <c r="A1629" s="326"/>
      <c r="B1629" s="309"/>
      <c r="C1629" s="309"/>
      <c r="D1629" s="309"/>
      <c r="E1629" s="309"/>
      <c r="F1629" s="327"/>
      <c r="G1629" s="327"/>
    </row>
    <row r="1630" spans="1:7" ht="20.100000000000001" customHeight="1">
      <c r="A1630" s="326"/>
      <c r="B1630" s="309"/>
      <c r="C1630" s="309"/>
      <c r="D1630" s="309"/>
      <c r="E1630" s="309"/>
      <c r="F1630" s="327"/>
      <c r="G1630" s="327"/>
    </row>
    <row r="1631" spans="1:7" ht="20.100000000000001" customHeight="1">
      <c r="A1631" s="326"/>
      <c r="B1631" s="309"/>
      <c r="C1631" s="309"/>
      <c r="D1631" s="309"/>
      <c r="E1631" s="309"/>
      <c r="F1631" s="327"/>
      <c r="G1631" s="327"/>
    </row>
    <row r="1632" spans="1:7" ht="20.100000000000001" customHeight="1">
      <c r="A1632" s="326"/>
      <c r="B1632" s="309"/>
      <c r="C1632" s="309"/>
      <c r="D1632" s="309"/>
      <c r="E1632" s="309"/>
      <c r="F1632" s="327"/>
      <c r="G1632" s="327"/>
    </row>
    <row r="1633" spans="1:7" ht="20.100000000000001" customHeight="1">
      <c r="A1633" s="326"/>
      <c r="B1633" s="309"/>
      <c r="C1633" s="309"/>
      <c r="D1633" s="309"/>
      <c r="E1633" s="309"/>
      <c r="F1633" s="327"/>
      <c r="G1633" s="327"/>
    </row>
    <row r="1634" spans="1:7" ht="20.100000000000001" customHeight="1">
      <c r="A1634" s="326"/>
      <c r="B1634" s="309"/>
      <c r="C1634" s="309"/>
      <c r="D1634" s="309"/>
      <c r="E1634" s="309"/>
      <c r="F1634" s="327"/>
      <c r="G1634" s="327"/>
    </row>
    <row r="1635" spans="1:7" ht="20.100000000000001" customHeight="1">
      <c r="A1635" s="326"/>
      <c r="B1635" s="309"/>
      <c r="C1635" s="309"/>
      <c r="D1635" s="309"/>
      <c r="E1635" s="309"/>
      <c r="F1635" s="327"/>
      <c r="G1635" s="327"/>
    </row>
    <row r="1636" spans="1:7" ht="20.100000000000001" customHeight="1">
      <c r="A1636" s="326"/>
      <c r="B1636" s="309"/>
      <c r="C1636" s="309"/>
      <c r="D1636" s="309"/>
      <c r="E1636" s="309"/>
      <c r="F1636" s="327"/>
      <c r="G1636" s="327"/>
    </row>
    <row r="1637" spans="1:7" ht="20.100000000000001" customHeight="1">
      <c r="A1637" s="326"/>
      <c r="B1637" s="309"/>
      <c r="C1637" s="309"/>
      <c r="D1637" s="309"/>
      <c r="E1637" s="309"/>
      <c r="F1637" s="327"/>
      <c r="G1637" s="327"/>
    </row>
    <row r="1638" spans="1:7" ht="20.100000000000001" customHeight="1">
      <c r="A1638" s="326"/>
      <c r="B1638" s="309"/>
      <c r="C1638" s="309"/>
      <c r="D1638" s="309"/>
      <c r="E1638" s="309"/>
      <c r="F1638" s="327"/>
      <c r="G1638" s="327"/>
    </row>
    <row r="1639" spans="1:7" ht="20.100000000000001" customHeight="1">
      <c r="A1639" s="326"/>
      <c r="B1639" s="309"/>
      <c r="C1639" s="309"/>
      <c r="D1639" s="309"/>
      <c r="E1639" s="309"/>
      <c r="F1639" s="327"/>
      <c r="G1639" s="327"/>
    </row>
    <row r="1640" spans="1:7" ht="20.100000000000001" customHeight="1">
      <c r="A1640" s="326"/>
      <c r="B1640" s="309"/>
      <c r="C1640" s="309"/>
      <c r="D1640" s="309"/>
      <c r="E1640" s="309"/>
      <c r="F1640" s="327"/>
      <c r="G1640" s="327"/>
    </row>
    <row r="1641" spans="1:7" ht="20.100000000000001" customHeight="1">
      <c r="A1641" s="326"/>
      <c r="B1641" s="309"/>
      <c r="C1641" s="309"/>
      <c r="D1641" s="309"/>
      <c r="E1641" s="309"/>
      <c r="F1641" s="327"/>
      <c r="G1641" s="327"/>
    </row>
    <row r="1642" spans="1:7" ht="20.100000000000001" customHeight="1">
      <c r="A1642" s="326"/>
      <c r="B1642" s="309"/>
      <c r="C1642" s="309"/>
      <c r="D1642" s="309"/>
      <c r="E1642" s="309"/>
      <c r="F1642" s="327"/>
      <c r="G1642" s="327"/>
    </row>
    <row r="1643" spans="1:7" ht="20.100000000000001" customHeight="1">
      <c r="A1643" s="326"/>
      <c r="B1643" s="309"/>
      <c r="C1643" s="309"/>
      <c r="D1643" s="309"/>
      <c r="E1643" s="309"/>
      <c r="F1643" s="327"/>
      <c r="G1643" s="327"/>
    </row>
    <row r="1644" spans="1:7" ht="20.100000000000001" customHeight="1">
      <c r="A1644" s="326"/>
      <c r="B1644" s="309"/>
      <c r="C1644" s="309"/>
      <c r="D1644" s="309"/>
      <c r="E1644" s="309"/>
      <c r="F1644" s="327"/>
      <c r="G1644" s="327"/>
    </row>
    <row r="1645" spans="1:7" ht="20.100000000000001" customHeight="1">
      <c r="A1645" s="326"/>
      <c r="B1645" s="309"/>
      <c r="C1645" s="309"/>
      <c r="D1645" s="309"/>
      <c r="E1645" s="309"/>
      <c r="F1645" s="327"/>
      <c r="G1645" s="327"/>
    </row>
    <row r="1646" spans="1:7" ht="20.100000000000001" customHeight="1">
      <c r="A1646" s="326"/>
      <c r="B1646" s="309"/>
      <c r="C1646" s="309"/>
      <c r="D1646" s="309"/>
      <c r="E1646" s="309"/>
      <c r="F1646" s="327"/>
      <c r="G1646" s="327"/>
    </row>
    <row r="1647" spans="1:7" ht="20.100000000000001" customHeight="1">
      <c r="A1647" s="326"/>
      <c r="B1647" s="309"/>
      <c r="C1647" s="309"/>
      <c r="D1647" s="309"/>
      <c r="E1647" s="309"/>
      <c r="F1647" s="327"/>
      <c r="G1647" s="327"/>
    </row>
    <row r="1648" spans="1:7" ht="20.100000000000001" customHeight="1">
      <c r="A1648" s="326"/>
      <c r="B1648" s="309"/>
      <c r="C1648" s="309"/>
      <c r="D1648" s="309"/>
      <c r="E1648" s="309"/>
      <c r="F1648" s="327"/>
      <c r="G1648" s="327"/>
    </row>
    <row r="1649" spans="1:7" ht="20.100000000000001" customHeight="1">
      <c r="A1649" s="326"/>
      <c r="B1649" s="309"/>
      <c r="C1649" s="309"/>
      <c r="D1649" s="309"/>
      <c r="E1649" s="309"/>
      <c r="F1649" s="327"/>
      <c r="G1649" s="327"/>
    </row>
    <row r="1650" spans="1:7" ht="20.100000000000001" customHeight="1">
      <c r="A1650" s="326"/>
      <c r="B1650" s="309"/>
      <c r="C1650" s="309"/>
      <c r="D1650" s="309"/>
      <c r="E1650" s="309"/>
      <c r="F1650" s="327"/>
      <c r="G1650" s="327"/>
    </row>
    <row r="1651" spans="1:7" ht="20.100000000000001" customHeight="1">
      <c r="A1651" s="326"/>
      <c r="B1651" s="309"/>
      <c r="C1651" s="309"/>
      <c r="D1651" s="309"/>
      <c r="E1651" s="309"/>
      <c r="F1651" s="327"/>
      <c r="G1651" s="327"/>
    </row>
    <row r="1652" spans="1:7" ht="20.100000000000001" customHeight="1">
      <c r="A1652" s="326"/>
      <c r="B1652" s="309"/>
      <c r="C1652" s="309"/>
      <c r="D1652" s="309"/>
      <c r="E1652" s="309"/>
      <c r="F1652" s="327"/>
      <c r="G1652" s="327"/>
    </row>
    <row r="1653" spans="1:7" ht="20.100000000000001" customHeight="1">
      <c r="A1653" s="326"/>
      <c r="B1653" s="309"/>
      <c r="C1653" s="309"/>
      <c r="D1653" s="309"/>
      <c r="E1653" s="309"/>
      <c r="F1653" s="327"/>
      <c r="G1653" s="327"/>
    </row>
    <row r="1654" spans="1:7" ht="20.100000000000001" customHeight="1">
      <c r="A1654" s="326"/>
      <c r="B1654" s="309"/>
      <c r="C1654" s="309"/>
      <c r="D1654" s="309"/>
      <c r="E1654" s="309"/>
      <c r="F1654" s="327"/>
      <c r="G1654" s="327"/>
    </row>
    <row r="1655" spans="1:7" ht="20.100000000000001" customHeight="1">
      <c r="A1655" s="326"/>
      <c r="B1655" s="309"/>
      <c r="C1655" s="309"/>
      <c r="D1655" s="309"/>
      <c r="E1655" s="309"/>
      <c r="F1655" s="327"/>
      <c r="G1655" s="327"/>
    </row>
    <row r="1656" spans="1:7" ht="20.100000000000001" customHeight="1">
      <c r="A1656" s="326"/>
      <c r="B1656" s="309"/>
      <c r="C1656" s="309"/>
      <c r="D1656" s="309"/>
      <c r="E1656" s="309"/>
      <c r="F1656" s="327"/>
      <c r="G1656" s="327"/>
    </row>
    <row r="1657" spans="1:7" ht="20.100000000000001" customHeight="1">
      <c r="A1657" s="326"/>
      <c r="B1657" s="309"/>
      <c r="C1657" s="309"/>
      <c r="D1657" s="309"/>
      <c r="E1657" s="309"/>
      <c r="F1657" s="327"/>
      <c r="G1657" s="327"/>
    </row>
    <row r="1658" spans="1:7" ht="20.100000000000001" customHeight="1">
      <c r="A1658" s="326"/>
      <c r="B1658" s="309"/>
      <c r="C1658" s="309"/>
      <c r="D1658" s="309"/>
      <c r="E1658" s="309"/>
      <c r="F1658" s="327"/>
      <c r="G1658" s="327"/>
    </row>
    <row r="1659" spans="1:7" ht="20.100000000000001" customHeight="1">
      <c r="A1659" s="326"/>
      <c r="B1659" s="309"/>
      <c r="C1659" s="309"/>
      <c r="D1659" s="309"/>
      <c r="E1659" s="309"/>
      <c r="F1659" s="327"/>
      <c r="G1659" s="327"/>
    </row>
    <row r="1660" spans="1:7" ht="20.100000000000001" customHeight="1">
      <c r="A1660" s="326"/>
      <c r="B1660" s="309"/>
      <c r="C1660" s="309"/>
      <c r="D1660" s="309"/>
      <c r="E1660" s="309"/>
      <c r="F1660" s="327"/>
      <c r="G1660" s="327"/>
    </row>
    <row r="1661" spans="1:7" ht="20.100000000000001" customHeight="1">
      <c r="A1661" s="326"/>
      <c r="B1661" s="309"/>
      <c r="C1661" s="309"/>
      <c r="D1661" s="309"/>
      <c r="E1661" s="309"/>
      <c r="F1661" s="327"/>
      <c r="G1661" s="327"/>
    </row>
    <row r="1662" spans="1:7" ht="20.100000000000001" customHeight="1">
      <c r="A1662" s="326"/>
      <c r="B1662" s="309"/>
      <c r="C1662" s="309"/>
      <c r="D1662" s="309"/>
      <c r="E1662" s="309"/>
      <c r="F1662" s="327"/>
      <c r="G1662" s="327"/>
    </row>
    <row r="1663" spans="1:7" ht="20.100000000000001" customHeight="1">
      <c r="A1663" s="326"/>
      <c r="B1663" s="309"/>
      <c r="C1663" s="309"/>
      <c r="D1663" s="309"/>
      <c r="E1663" s="309"/>
      <c r="F1663" s="327"/>
      <c r="G1663" s="327"/>
    </row>
    <row r="1664" spans="1:7" ht="20.100000000000001" customHeight="1">
      <c r="A1664" s="326"/>
      <c r="B1664" s="309"/>
      <c r="C1664" s="309"/>
      <c r="D1664" s="309"/>
      <c r="E1664" s="309"/>
      <c r="F1664" s="327"/>
      <c r="G1664" s="327"/>
    </row>
    <row r="1665" spans="1:7" ht="20.100000000000001" customHeight="1">
      <c r="A1665" s="326"/>
      <c r="B1665" s="309"/>
      <c r="C1665" s="309"/>
      <c r="D1665" s="309"/>
      <c r="E1665" s="309"/>
      <c r="F1665" s="327"/>
      <c r="G1665" s="327"/>
    </row>
    <row r="1666" spans="1:7" ht="20.100000000000001" customHeight="1">
      <c r="A1666" s="326"/>
      <c r="B1666" s="309"/>
      <c r="C1666" s="309"/>
      <c r="D1666" s="309"/>
      <c r="E1666" s="309"/>
      <c r="F1666" s="327"/>
      <c r="G1666" s="327"/>
    </row>
    <row r="1667" spans="1:7" ht="20.100000000000001" customHeight="1">
      <c r="A1667" s="326"/>
      <c r="B1667" s="309"/>
      <c r="C1667" s="309"/>
      <c r="D1667" s="309"/>
      <c r="E1667" s="309"/>
      <c r="F1667" s="327"/>
      <c r="G1667" s="327"/>
    </row>
    <row r="1668" spans="1:7" ht="20.100000000000001" customHeight="1">
      <c r="A1668" s="326"/>
      <c r="B1668" s="309"/>
      <c r="C1668" s="309"/>
      <c r="D1668" s="309"/>
      <c r="E1668" s="309"/>
      <c r="F1668" s="327"/>
      <c r="G1668" s="327"/>
    </row>
    <row r="1669" spans="1:7" ht="20.100000000000001" customHeight="1">
      <c r="A1669" s="326"/>
      <c r="B1669" s="309"/>
      <c r="C1669" s="309"/>
      <c r="D1669" s="309"/>
      <c r="E1669" s="309"/>
      <c r="F1669" s="327"/>
      <c r="G1669" s="327"/>
    </row>
    <row r="1670" spans="1:7" ht="20.100000000000001" customHeight="1">
      <c r="A1670" s="326"/>
      <c r="B1670" s="309"/>
      <c r="C1670" s="309"/>
      <c r="D1670" s="309"/>
      <c r="E1670" s="309"/>
      <c r="F1670" s="327"/>
      <c r="G1670" s="327"/>
    </row>
    <row r="1671" spans="1:7" ht="20.100000000000001" customHeight="1">
      <c r="A1671" s="326"/>
      <c r="B1671" s="309"/>
      <c r="C1671" s="309"/>
      <c r="D1671" s="309"/>
      <c r="E1671" s="309"/>
      <c r="F1671" s="327"/>
      <c r="G1671" s="327"/>
    </row>
    <row r="1672" spans="1:7" ht="20.100000000000001" customHeight="1">
      <c r="A1672" s="326"/>
      <c r="B1672" s="309"/>
      <c r="C1672" s="309"/>
      <c r="D1672" s="309"/>
      <c r="E1672" s="309"/>
      <c r="F1672" s="327"/>
      <c r="G1672" s="327"/>
    </row>
    <row r="1673" spans="1:7" ht="20.100000000000001" customHeight="1">
      <c r="A1673" s="326"/>
      <c r="B1673" s="309"/>
      <c r="C1673" s="309"/>
      <c r="D1673" s="309"/>
      <c r="E1673" s="309"/>
      <c r="F1673" s="327"/>
      <c r="G1673" s="327"/>
    </row>
    <row r="1674" spans="1:7" ht="20.100000000000001" customHeight="1">
      <c r="A1674" s="326"/>
      <c r="B1674" s="309"/>
      <c r="C1674" s="309"/>
      <c r="D1674" s="309"/>
      <c r="E1674" s="309"/>
      <c r="F1674" s="327"/>
      <c r="G1674" s="327"/>
    </row>
    <row r="1675" spans="1:7" ht="20.100000000000001" customHeight="1">
      <c r="A1675" s="326"/>
      <c r="B1675" s="309"/>
      <c r="C1675" s="309"/>
      <c r="D1675" s="309"/>
      <c r="E1675" s="309"/>
      <c r="F1675" s="327"/>
      <c r="G1675" s="327"/>
    </row>
    <row r="1676" spans="1:7" ht="20.100000000000001" customHeight="1">
      <c r="A1676" s="326"/>
      <c r="B1676" s="309"/>
      <c r="C1676" s="309"/>
      <c r="D1676" s="309"/>
      <c r="E1676" s="309"/>
      <c r="F1676" s="327"/>
      <c r="G1676" s="327"/>
    </row>
    <row r="1677" spans="1:7" ht="20.100000000000001" customHeight="1">
      <c r="A1677" s="326"/>
      <c r="B1677" s="309"/>
      <c r="C1677" s="309"/>
      <c r="D1677" s="309"/>
      <c r="E1677" s="309"/>
      <c r="F1677" s="327"/>
      <c r="G1677" s="327"/>
    </row>
    <row r="1678" spans="1:7" ht="20.100000000000001" customHeight="1">
      <c r="A1678" s="326"/>
      <c r="B1678" s="309"/>
      <c r="C1678" s="309"/>
      <c r="D1678" s="309"/>
      <c r="E1678" s="309"/>
      <c r="F1678" s="327"/>
      <c r="G1678" s="327"/>
    </row>
    <row r="1679" spans="1:7" ht="20.100000000000001" customHeight="1">
      <c r="A1679" s="326"/>
      <c r="B1679" s="309"/>
      <c r="C1679" s="309"/>
      <c r="D1679" s="309"/>
      <c r="E1679" s="309"/>
      <c r="F1679" s="327"/>
      <c r="G1679" s="327"/>
    </row>
    <row r="1680" spans="1:7" ht="20.100000000000001" customHeight="1">
      <c r="A1680" s="326"/>
      <c r="B1680" s="309"/>
      <c r="C1680" s="309"/>
      <c r="D1680" s="309"/>
      <c r="E1680" s="309"/>
      <c r="F1680" s="327"/>
      <c r="G1680" s="327"/>
    </row>
    <row r="1681" spans="1:7" ht="20.100000000000001" customHeight="1">
      <c r="A1681" s="326"/>
      <c r="B1681" s="309"/>
      <c r="C1681" s="309"/>
      <c r="D1681" s="309"/>
      <c r="E1681" s="309"/>
      <c r="F1681" s="327"/>
      <c r="G1681" s="327"/>
    </row>
    <row r="1682" spans="1:7" ht="20.100000000000001" customHeight="1">
      <c r="A1682" s="326"/>
      <c r="B1682" s="309"/>
      <c r="C1682" s="309"/>
      <c r="D1682" s="309"/>
      <c r="E1682" s="309"/>
      <c r="F1682" s="327"/>
      <c r="G1682" s="327"/>
    </row>
    <row r="1683" spans="1:7" ht="20.100000000000001" customHeight="1">
      <c r="A1683" s="326"/>
      <c r="B1683" s="309"/>
      <c r="C1683" s="309"/>
      <c r="D1683" s="309"/>
      <c r="E1683" s="309"/>
      <c r="F1683" s="327"/>
      <c r="G1683" s="327"/>
    </row>
    <row r="1684" spans="1:7" ht="20.100000000000001" customHeight="1">
      <c r="A1684" s="326"/>
      <c r="B1684" s="309"/>
      <c r="C1684" s="309"/>
      <c r="D1684" s="309"/>
      <c r="E1684" s="309"/>
      <c r="F1684" s="327"/>
      <c r="G1684" s="327"/>
    </row>
    <row r="1685" spans="1:7" ht="20.100000000000001" customHeight="1">
      <c r="A1685" s="326"/>
      <c r="B1685" s="309"/>
      <c r="C1685" s="309"/>
      <c r="D1685" s="309"/>
      <c r="E1685" s="309"/>
      <c r="F1685" s="327"/>
      <c r="G1685" s="327"/>
    </row>
    <row r="1686" spans="1:7" ht="20.100000000000001" customHeight="1">
      <c r="A1686" s="326"/>
      <c r="B1686" s="309"/>
      <c r="C1686" s="309"/>
      <c r="D1686" s="309"/>
      <c r="E1686" s="309"/>
      <c r="F1686" s="327"/>
      <c r="G1686" s="327"/>
    </row>
    <row r="1687" spans="1:7" ht="20.100000000000001" customHeight="1">
      <c r="A1687" s="326"/>
      <c r="B1687" s="309"/>
      <c r="C1687" s="309"/>
      <c r="D1687" s="309"/>
      <c r="E1687" s="309"/>
      <c r="F1687" s="327"/>
      <c r="G1687" s="327"/>
    </row>
    <row r="1688" spans="1:7" ht="20.100000000000001" customHeight="1">
      <c r="A1688" s="326"/>
      <c r="B1688" s="309"/>
      <c r="C1688" s="309"/>
      <c r="D1688" s="309"/>
      <c r="E1688" s="309"/>
      <c r="F1688" s="327"/>
      <c r="G1688" s="327"/>
    </row>
    <row r="1689" spans="1:7" ht="20.100000000000001" customHeight="1">
      <c r="A1689" s="326"/>
      <c r="B1689" s="309"/>
      <c r="C1689" s="309"/>
      <c r="D1689" s="309"/>
      <c r="E1689" s="309"/>
      <c r="F1689" s="327"/>
      <c r="G1689" s="327"/>
    </row>
    <row r="1690" spans="1:7" ht="20.100000000000001" customHeight="1">
      <c r="A1690" s="326"/>
      <c r="B1690" s="309"/>
      <c r="C1690" s="309"/>
      <c r="D1690" s="309"/>
      <c r="E1690" s="309"/>
      <c r="F1690" s="327"/>
      <c r="G1690" s="327"/>
    </row>
    <row r="1691" spans="1:7" ht="20.100000000000001" customHeight="1">
      <c r="A1691" s="326"/>
      <c r="B1691" s="309"/>
      <c r="C1691" s="309"/>
      <c r="D1691" s="309"/>
      <c r="E1691" s="309"/>
      <c r="F1691" s="327"/>
      <c r="G1691" s="327"/>
    </row>
    <row r="1692" spans="1:7" ht="20.100000000000001" customHeight="1">
      <c r="A1692" s="326"/>
      <c r="B1692" s="309"/>
      <c r="C1692" s="309"/>
      <c r="D1692" s="309"/>
      <c r="E1692" s="309"/>
      <c r="F1692" s="327"/>
      <c r="G1692" s="327"/>
    </row>
    <row r="1693" spans="1:7" ht="20.100000000000001" customHeight="1">
      <c r="A1693" s="326"/>
      <c r="B1693" s="309"/>
      <c r="C1693" s="309"/>
      <c r="D1693" s="309"/>
      <c r="E1693" s="309"/>
      <c r="F1693" s="327"/>
      <c r="G1693" s="327"/>
    </row>
    <row r="1694" spans="1:7" ht="20.100000000000001" customHeight="1">
      <c r="A1694" s="326"/>
      <c r="B1694" s="309"/>
      <c r="C1694" s="309"/>
      <c r="D1694" s="309"/>
      <c r="E1694" s="309"/>
      <c r="F1694" s="327"/>
      <c r="G1694" s="327"/>
    </row>
    <row r="1695" spans="1:7" ht="20.100000000000001" customHeight="1">
      <c r="A1695" s="326"/>
      <c r="B1695" s="309"/>
      <c r="C1695" s="309"/>
      <c r="D1695" s="309"/>
      <c r="E1695" s="309"/>
      <c r="F1695" s="327"/>
      <c r="G1695" s="327"/>
    </row>
    <row r="1696" spans="1:7" ht="20.100000000000001" customHeight="1">
      <c r="A1696" s="326"/>
      <c r="B1696" s="309"/>
      <c r="C1696" s="309"/>
      <c r="D1696" s="309"/>
      <c r="E1696" s="309"/>
      <c r="F1696" s="327"/>
      <c r="G1696" s="327"/>
    </row>
    <row r="1697" spans="1:7" ht="20.100000000000001" customHeight="1">
      <c r="A1697" s="326"/>
      <c r="B1697" s="309"/>
      <c r="C1697" s="309"/>
      <c r="D1697" s="309"/>
      <c r="E1697" s="309"/>
      <c r="F1697" s="327"/>
      <c r="G1697" s="327"/>
    </row>
    <row r="1698" spans="1:7" ht="20.100000000000001" customHeight="1">
      <c r="A1698" s="326"/>
      <c r="B1698" s="309"/>
      <c r="C1698" s="309"/>
      <c r="D1698" s="309"/>
      <c r="E1698" s="309"/>
      <c r="F1698" s="327"/>
      <c r="G1698" s="327"/>
    </row>
    <row r="1699" spans="1:7" ht="20.100000000000001" customHeight="1">
      <c r="A1699" s="326"/>
      <c r="B1699" s="309"/>
      <c r="C1699" s="309"/>
      <c r="D1699" s="309"/>
      <c r="E1699" s="309"/>
      <c r="F1699" s="327"/>
      <c r="G1699" s="327"/>
    </row>
    <row r="1700" spans="1:7" ht="20.100000000000001" customHeight="1">
      <c r="A1700" s="326"/>
      <c r="B1700" s="309"/>
      <c r="C1700" s="309"/>
      <c r="D1700" s="309"/>
      <c r="E1700" s="309"/>
      <c r="F1700" s="327"/>
      <c r="G1700" s="327"/>
    </row>
    <row r="1701" spans="1:7" ht="20.100000000000001" customHeight="1">
      <c r="A1701" s="326"/>
      <c r="B1701" s="309"/>
      <c r="C1701" s="309"/>
      <c r="D1701" s="309"/>
      <c r="E1701" s="309"/>
      <c r="F1701" s="327"/>
      <c r="G1701" s="327"/>
    </row>
    <row r="1702" spans="1:7" ht="20.100000000000001" customHeight="1">
      <c r="A1702" s="326"/>
      <c r="B1702" s="309"/>
      <c r="C1702" s="309"/>
      <c r="D1702" s="309"/>
      <c r="E1702" s="309"/>
      <c r="F1702" s="327"/>
      <c r="G1702" s="327"/>
    </row>
    <row r="1703" spans="1:7" ht="20.100000000000001" customHeight="1">
      <c r="A1703" s="326"/>
      <c r="B1703" s="309"/>
      <c r="C1703" s="309"/>
      <c r="D1703" s="309"/>
      <c r="E1703" s="309"/>
      <c r="F1703" s="327"/>
      <c r="G1703" s="327"/>
    </row>
    <row r="1704" spans="1:7" ht="20.100000000000001" customHeight="1">
      <c r="A1704" s="326"/>
      <c r="B1704" s="309"/>
      <c r="C1704" s="309"/>
      <c r="D1704" s="309"/>
      <c r="E1704" s="309"/>
      <c r="F1704" s="327"/>
      <c r="G1704" s="327"/>
    </row>
    <row r="1705" spans="1:7" ht="20.100000000000001" customHeight="1">
      <c r="A1705" s="326"/>
      <c r="B1705" s="309"/>
      <c r="C1705" s="309"/>
      <c r="D1705" s="309"/>
      <c r="E1705" s="309"/>
      <c r="F1705" s="327"/>
      <c r="G1705" s="327"/>
    </row>
    <row r="1706" spans="1:7" ht="20.100000000000001" customHeight="1">
      <c r="A1706" s="326"/>
      <c r="B1706" s="309"/>
      <c r="C1706" s="309"/>
      <c r="D1706" s="309"/>
      <c r="E1706" s="309"/>
      <c r="F1706" s="327"/>
      <c r="G1706" s="327"/>
    </row>
    <row r="1707" spans="1:7" ht="20.100000000000001" customHeight="1">
      <c r="A1707" s="326"/>
      <c r="B1707" s="309"/>
      <c r="C1707" s="309"/>
      <c r="D1707" s="309"/>
      <c r="E1707" s="309"/>
      <c r="F1707" s="327"/>
      <c r="G1707" s="327"/>
    </row>
    <row r="1708" spans="1:7" ht="20.100000000000001" customHeight="1">
      <c r="A1708" s="326"/>
      <c r="B1708" s="309"/>
      <c r="C1708" s="309"/>
      <c r="D1708" s="309"/>
      <c r="E1708" s="309"/>
      <c r="F1708" s="327"/>
      <c r="G1708" s="327"/>
    </row>
    <row r="1709" spans="1:7" ht="20.100000000000001" customHeight="1">
      <c r="A1709" s="326"/>
      <c r="B1709" s="309"/>
      <c r="C1709" s="309"/>
      <c r="D1709" s="309"/>
      <c r="E1709" s="309"/>
      <c r="F1709" s="327"/>
      <c r="G1709" s="327"/>
    </row>
    <row r="1710" spans="1:7" ht="20.100000000000001" customHeight="1">
      <c r="A1710" s="326"/>
      <c r="B1710" s="309"/>
      <c r="C1710" s="309"/>
      <c r="D1710" s="309"/>
      <c r="E1710" s="309"/>
      <c r="F1710" s="327"/>
      <c r="G1710" s="327"/>
    </row>
    <row r="1711" spans="1:7" ht="20.100000000000001" customHeight="1">
      <c r="A1711" s="326"/>
      <c r="B1711" s="309"/>
      <c r="C1711" s="309"/>
      <c r="D1711" s="309"/>
      <c r="E1711" s="309"/>
      <c r="F1711" s="327"/>
      <c r="G1711" s="327"/>
    </row>
    <row r="1712" spans="1:7" ht="20.100000000000001" customHeight="1">
      <c r="A1712" s="326"/>
      <c r="B1712" s="309"/>
      <c r="C1712" s="309"/>
      <c r="D1712" s="309"/>
      <c r="E1712" s="309"/>
      <c r="F1712" s="327"/>
      <c r="G1712" s="327"/>
    </row>
    <row r="1713" spans="1:7" ht="20.100000000000001" customHeight="1">
      <c r="A1713" s="326"/>
      <c r="B1713" s="309"/>
      <c r="C1713" s="309"/>
      <c r="D1713" s="309"/>
      <c r="E1713" s="309"/>
      <c r="F1713" s="327"/>
      <c r="G1713" s="327"/>
    </row>
    <row r="1714" spans="1:7" ht="20.100000000000001" customHeight="1">
      <c r="A1714" s="326"/>
      <c r="B1714" s="309"/>
      <c r="C1714" s="309"/>
      <c r="D1714" s="309"/>
      <c r="E1714" s="309"/>
      <c r="F1714" s="327"/>
      <c r="G1714" s="327"/>
    </row>
    <row r="1715" spans="1:7" ht="20.100000000000001" customHeight="1">
      <c r="A1715" s="326"/>
      <c r="B1715" s="309"/>
      <c r="C1715" s="309"/>
      <c r="D1715" s="309"/>
      <c r="E1715" s="309"/>
      <c r="F1715" s="327"/>
      <c r="G1715" s="327"/>
    </row>
    <row r="1716" spans="1:7" ht="20.100000000000001" customHeight="1">
      <c r="A1716" s="326"/>
      <c r="B1716" s="309"/>
      <c r="C1716" s="309"/>
      <c r="D1716" s="309"/>
      <c r="E1716" s="309"/>
      <c r="F1716" s="327"/>
      <c r="G1716" s="327"/>
    </row>
    <row r="1717" spans="1:7" ht="20.100000000000001" customHeight="1">
      <c r="A1717" s="326"/>
      <c r="B1717" s="309"/>
      <c r="C1717" s="309"/>
      <c r="D1717" s="309"/>
      <c r="E1717" s="309"/>
      <c r="F1717" s="327"/>
      <c r="G1717" s="327"/>
    </row>
    <row r="1718" spans="1:7" ht="20.100000000000001" customHeight="1">
      <c r="A1718" s="326"/>
      <c r="B1718" s="309"/>
      <c r="C1718" s="309"/>
      <c r="D1718" s="309"/>
      <c r="E1718" s="309"/>
      <c r="F1718" s="327"/>
      <c r="G1718" s="327"/>
    </row>
    <row r="1719" spans="1:7" ht="20.100000000000001" customHeight="1">
      <c r="A1719" s="326"/>
      <c r="B1719" s="309"/>
      <c r="C1719" s="309"/>
      <c r="D1719" s="309"/>
      <c r="E1719" s="309"/>
      <c r="F1719" s="327"/>
      <c r="G1719" s="327"/>
    </row>
    <row r="1720" spans="1:7" ht="20.100000000000001" customHeight="1">
      <c r="A1720" s="326"/>
      <c r="B1720" s="309"/>
      <c r="C1720" s="309"/>
      <c r="D1720" s="309"/>
      <c r="E1720" s="309"/>
      <c r="F1720" s="327"/>
      <c r="G1720" s="327"/>
    </row>
    <row r="1721" spans="1:7" ht="20.100000000000001" customHeight="1">
      <c r="A1721" s="326"/>
      <c r="B1721" s="309"/>
      <c r="C1721" s="309"/>
      <c r="D1721" s="309"/>
      <c r="E1721" s="309"/>
      <c r="F1721" s="327"/>
      <c r="G1721" s="327"/>
    </row>
    <row r="1722" spans="1:7" ht="20.100000000000001" customHeight="1">
      <c r="A1722" s="326"/>
      <c r="B1722" s="309"/>
      <c r="C1722" s="309"/>
      <c r="D1722" s="309"/>
      <c r="E1722" s="309"/>
      <c r="F1722" s="327"/>
      <c r="G1722" s="327"/>
    </row>
    <row r="1723" spans="1:7" ht="20.100000000000001" customHeight="1">
      <c r="A1723" s="326"/>
      <c r="B1723" s="309"/>
      <c r="C1723" s="309"/>
      <c r="D1723" s="309"/>
      <c r="E1723" s="309"/>
      <c r="F1723" s="327"/>
      <c r="G1723" s="327"/>
    </row>
    <row r="1724" spans="1:7" ht="20.100000000000001" customHeight="1">
      <c r="A1724" s="326"/>
      <c r="B1724" s="309"/>
      <c r="C1724" s="309"/>
      <c r="D1724" s="309"/>
      <c r="E1724" s="309"/>
      <c r="F1724" s="327"/>
      <c r="G1724" s="327"/>
    </row>
    <row r="1725" spans="1:7" ht="20.100000000000001" customHeight="1">
      <c r="A1725" s="326"/>
      <c r="B1725" s="309"/>
      <c r="C1725" s="309"/>
      <c r="D1725" s="309"/>
      <c r="E1725" s="309"/>
      <c r="F1725" s="327"/>
      <c r="G1725" s="327"/>
    </row>
    <row r="1726" spans="1:7" ht="20.100000000000001" customHeight="1">
      <c r="A1726" s="326"/>
      <c r="B1726" s="309"/>
      <c r="C1726" s="309"/>
      <c r="D1726" s="309"/>
      <c r="E1726" s="309"/>
      <c r="F1726" s="327"/>
      <c r="G1726" s="327"/>
    </row>
    <row r="1727" spans="1:7" ht="20.100000000000001" customHeight="1">
      <c r="A1727" s="326"/>
      <c r="B1727" s="309"/>
      <c r="C1727" s="309"/>
      <c r="D1727" s="309"/>
      <c r="E1727" s="309"/>
      <c r="F1727" s="327"/>
      <c r="G1727" s="327"/>
    </row>
    <row r="1728" spans="1:7" ht="20.100000000000001" customHeight="1">
      <c r="A1728" s="326"/>
      <c r="B1728" s="309"/>
      <c r="C1728" s="309"/>
      <c r="D1728" s="309"/>
      <c r="E1728" s="309"/>
      <c r="F1728" s="327"/>
      <c r="G1728" s="327"/>
    </row>
    <row r="1729" spans="1:7" ht="20.100000000000001" customHeight="1">
      <c r="A1729" s="326"/>
      <c r="B1729" s="309"/>
      <c r="C1729" s="309"/>
      <c r="D1729" s="309"/>
      <c r="E1729" s="309"/>
      <c r="F1729" s="327"/>
      <c r="G1729" s="327"/>
    </row>
    <row r="1730" spans="1:7" ht="20.100000000000001" customHeight="1">
      <c r="A1730" s="326"/>
      <c r="B1730" s="309"/>
      <c r="C1730" s="309"/>
      <c r="D1730" s="309"/>
      <c r="E1730" s="309"/>
      <c r="F1730" s="327"/>
      <c r="G1730" s="327"/>
    </row>
    <row r="1731" spans="1:7" ht="20.100000000000001" customHeight="1">
      <c r="A1731" s="326"/>
      <c r="B1731" s="309"/>
      <c r="C1731" s="309"/>
      <c r="D1731" s="309"/>
      <c r="E1731" s="309"/>
      <c r="F1731" s="327"/>
      <c r="G1731" s="327"/>
    </row>
    <row r="1732" spans="1:7" ht="20.100000000000001" customHeight="1">
      <c r="A1732" s="326"/>
      <c r="B1732" s="309"/>
      <c r="C1732" s="309"/>
      <c r="D1732" s="309"/>
      <c r="E1732" s="309"/>
      <c r="F1732" s="327"/>
      <c r="G1732" s="327"/>
    </row>
    <row r="1733" spans="1:7" ht="20.100000000000001" customHeight="1">
      <c r="A1733" s="326"/>
      <c r="B1733" s="309"/>
      <c r="C1733" s="309"/>
      <c r="D1733" s="309"/>
      <c r="E1733" s="309"/>
      <c r="F1733" s="327"/>
      <c r="G1733" s="327"/>
    </row>
    <row r="1734" spans="1:7" ht="20.100000000000001" customHeight="1">
      <c r="A1734" s="326"/>
      <c r="B1734" s="309"/>
      <c r="C1734" s="309"/>
      <c r="D1734" s="309"/>
      <c r="E1734" s="309"/>
      <c r="F1734" s="327"/>
      <c r="G1734" s="327"/>
    </row>
    <row r="1735" spans="1:7" ht="20.100000000000001" customHeight="1">
      <c r="A1735" s="326"/>
      <c r="B1735" s="309"/>
      <c r="C1735" s="309"/>
      <c r="D1735" s="309"/>
      <c r="E1735" s="309"/>
      <c r="F1735" s="327"/>
      <c r="G1735" s="327"/>
    </row>
    <row r="1736" spans="1:7" ht="20.100000000000001" customHeight="1">
      <c r="A1736" s="326"/>
      <c r="B1736" s="309"/>
      <c r="C1736" s="309"/>
      <c r="D1736" s="309"/>
      <c r="E1736" s="309"/>
      <c r="F1736" s="327"/>
      <c r="G1736" s="327"/>
    </row>
    <row r="1737" spans="1:7" ht="20.100000000000001" customHeight="1">
      <c r="A1737" s="326"/>
      <c r="B1737" s="309"/>
      <c r="C1737" s="309"/>
      <c r="D1737" s="309"/>
      <c r="E1737" s="309"/>
      <c r="F1737" s="327"/>
      <c r="G1737" s="327"/>
    </row>
    <row r="1738" spans="1:7" ht="20.100000000000001" customHeight="1">
      <c r="A1738" s="326"/>
      <c r="B1738" s="309"/>
      <c r="C1738" s="309"/>
      <c r="D1738" s="309"/>
      <c r="E1738" s="309"/>
      <c r="F1738" s="327"/>
      <c r="G1738" s="327"/>
    </row>
    <row r="1739" spans="1:7" ht="20.100000000000001" customHeight="1">
      <c r="A1739" s="326"/>
      <c r="B1739" s="309"/>
      <c r="C1739" s="309"/>
      <c r="D1739" s="309"/>
      <c r="E1739" s="309"/>
      <c r="F1739" s="327"/>
      <c r="G1739" s="327"/>
    </row>
    <row r="1740" spans="1:7" ht="20.100000000000001" customHeight="1">
      <c r="A1740" s="326"/>
      <c r="B1740" s="309"/>
      <c r="C1740" s="309"/>
      <c r="D1740" s="309"/>
      <c r="E1740" s="309"/>
      <c r="F1740" s="327"/>
      <c r="G1740" s="327"/>
    </row>
    <row r="1741" spans="1:7" ht="20.100000000000001" customHeight="1">
      <c r="A1741" s="326"/>
      <c r="B1741" s="309"/>
      <c r="C1741" s="309"/>
      <c r="D1741" s="309"/>
      <c r="E1741" s="309"/>
      <c r="F1741" s="327"/>
      <c r="G1741" s="327"/>
    </row>
    <row r="1742" spans="1:7" ht="20.100000000000001" customHeight="1">
      <c r="A1742" s="326"/>
      <c r="B1742" s="309"/>
      <c r="C1742" s="309"/>
      <c r="D1742" s="309"/>
      <c r="E1742" s="309"/>
      <c r="F1742" s="327"/>
      <c r="G1742" s="327"/>
    </row>
    <row r="1743" spans="1:7" ht="20.100000000000001" customHeight="1">
      <c r="A1743" s="326"/>
      <c r="B1743" s="309"/>
      <c r="C1743" s="309"/>
      <c r="D1743" s="309"/>
      <c r="E1743" s="309"/>
      <c r="F1743" s="327"/>
      <c r="G1743" s="327"/>
    </row>
    <row r="1744" spans="1:7" ht="20.100000000000001" customHeight="1">
      <c r="A1744" s="326"/>
      <c r="B1744" s="309"/>
      <c r="C1744" s="309"/>
      <c r="D1744" s="309"/>
      <c r="E1744" s="309"/>
      <c r="F1744" s="327"/>
      <c r="G1744" s="327"/>
    </row>
    <row r="1745" spans="1:7" ht="20.100000000000001" customHeight="1">
      <c r="A1745" s="326"/>
      <c r="B1745" s="309"/>
      <c r="C1745" s="309"/>
      <c r="D1745" s="309"/>
      <c r="E1745" s="309"/>
      <c r="F1745" s="327"/>
      <c r="G1745" s="327"/>
    </row>
    <row r="1746" spans="1:7" ht="20.100000000000001" customHeight="1">
      <c r="A1746" s="326"/>
      <c r="B1746" s="309"/>
      <c r="C1746" s="309"/>
      <c r="D1746" s="309"/>
      <c r="E1746" s="309"/>
      <c r="F1746" s="327"/>
      <c r="G1746" s="327"/>
    </row>
    <row r="1747" spans="1:7" ht="20.100000000000001" customHeight="1">
      <c r="A1747" s="326"/>
      <c r="B1747" s="309"/>
      <c r="C1747" s="309"/>
      <c r="D1747" s="309"/>
      <c r="E1747" s="309"/>
      <c r="F1747" s="327"/>
      <c r="G1747" s="327"/>
    </row>
    <row r="1748" spans="1:7" ht="20.100000000000001" customHeight="1">
      <c r="A1748" s="326"/>
      <c r="B1748" s="309"/>
      <c r="C1748" s="309"/>
      <c r="D1748" s="309"/>
      <c r="E1748" s="309"/>
      <c r="F1748" s="327"/>
      <c r="G1748" s="327"/>
    </row>
    <row r="1749" spans="1:7" ht="20.100000000000001" customHeight="1">
      <c r="A1749" s="326"/>
      <c r="B1749" s="309"/>
      <c r="C1749" s="309"/>
      <c r="D1749" s="309"/>
      <c r="E1749" s="309"/>
      <c r="F1749" s="327"/>
      <c r="G1749" s="327"/>
    </row>
    <row r="1750" spans="1:7" ht="20.100000000000001" customHeight="1">
      <c r="A1750" s="326"/>
      <c r="B1750" s="309"/>
      <c r="C1750" s="309"/>
      <c r="D1750" s="309"/>
      <c r="E1750" s="309"/>
      <c r="F1750" s="327"/>
      <c r="G1750" s="327"/>
    </row>
    <row r="1751" spans="1:7" ht="20.100000000000001" customHeight="1">
      <c r="A1751" s="326"/>
      <c r="B1751" s="309"/>
      <c r="C1751" s="309"/>
      <c r="D1751" s="309"/>
      <c r="E1751" s="309"/>
      <c r="F1751" s="327"/>
      <c r="G1751" s="327"/>
    </row>
    <row r="1752" spans="1:7" ht="20.100000000000001" customHeight="1">
      <c r="A1752" s="326"/>
      <c r="B1752" s="309"/>
      <c r="C1752" s="309"/>
      <c r="D1752" s="309"/>
      <c r="E1752" s="309"/>
      <c r="F1752" s="327"/>
      <c r="G1752" s="327"/>
    </row>
    <row r="1753" spans="1:7" ht="20.100000000000001" customHeight="1">
      <c r="A1753" s="326"/>
      <c r="B1753" s="309"/>
      <c r="C1753" s="309"/>
      <c r="D1753" s="309"/>
      <c r="E1753" s="309"/>
      <c r="F1753" s="327"/>
      <c r="G1753" s="327"/>
    </row>
    <row r="1754" spans="1:7" ht="20.100000000000001" customHeight="1">
      <c r="A1754" s="326"/>
      <c r="B1754" s="309"/>
      <c r="C1754" s="309"/>
      <c r="D1754" s="309"/>
      <c r="E1754" s="309"/>
      <c r="F1754" s="327"/>
      <c r="G1754" s="327"/>
    </row>
    <row r="1755" spans="1:7" ht="20.100000000000001" customHeight="1">
      <c r="A1755" s="326"/>
      <c r="B1755" s="309"/>
      <c r="C1755" s="309"/>
      <c r="D1755" s="309"/>
      <c r="E1755" s="309"/>
      <c r="F1755" s="327"/>
      <c r="G1755" s="327"/>
    </row>
    <row r="1756" spans="1:7" ht="20.100000000000001" customHeight="1">
      <c r="A1756" s="326"/>
      <c r="B1756" s="309"/>
      <c r="C1756" s="309"/>
      <c r="D1756" s="309"/>
      <c r="E1756" s="309"/>
      <c r="F1756" s="327"/>
      <c r="G1756" s="327"/>
    </row>
    <row r="1757" spans="1:7" ht="20.100000000000001" customHeight="1">
      <c r="A1757" s="326"/>
      <c r="B1757" s="309"/>
      <c r="C1757" s="309"/>
      <c r="D1757" s="309"/>
      <c r="E1757" s="309"/>
      <c r="F1757" s="327"/>
      <c r="G1757" s="327"/>
    </row>
    <row r="1758" spans="1:7" ht="20.100000000000001" customHeight="1">
      <c r="A1758" s="326"/>
      <c r="B1758" s="309"/>
      <c r="C1758" s="309"/>
      <c r="D1758" s="309"/>
      <c r="E1758" s="309"/>
      <c r="F1758" s="327"/>
      <c r="G1758" s="327"/>
    </row>
    <row r="1759" spans="1:7" ht="20.100000000000001" customHeight="1">
      <c r="A1759" s="326"/>
      <c r="B1759" s="309"/>
      <c r="C1759" s="309"/>
      <c r="D1759" s="309"/>
      <c r="E1759" s="309"/>
      <c r="F1759" s="327"/>
      <c r="G1759" s="327"/>
    </row>
    <row r="1760" spans="1:7" ht="20.100000000000001" customHeight="1">
      <c r="A1760" s="326"/>
      <c r="B1760" s="309"/>
      <c r="C1760" s="309"/>
      <c r="D1760" s="309"/>
      <c r="E1760" s="309"/>
      <c r="F1760" s="327"/>
      <c r="G1760" s="327"/>
    </row>
    <row r="1761" spans="1:7" ht="20.100000000000001" customHeight="1">
      <c r="A1761" s="326"/>
      <c r="B1761" s="309"/>
      <c r="C1761" s="309"/>
      <c r="D1761" s="309"/>
      <c r="E1761" s="309"/>
      <c r="F1761" s="327"/>
      <c r="G1761" s="327"/>
    </row>
    <row r="1762" spans="1:7" ht="20.100000000000001" customHeight="1">
      <c r="A1762" s="326"/>
      <c r="B1762" s="309"/>
      <c r="C1762" s="309"/>
      <c r="D1762" s="309"/>
      <c r="E1762" s="309"/>
      <c r="F1762" s="327"/>
      <c r="G1762" s="327"/>
    </row>
    <row r="1763" spans="1:7" ht="20.100000000000001" customHeight="1">
      <c r="A1763" s="326"/>
      <c r="B1763" s="309"/>
      <c r="C1763" s="309"/>
      <c r="D1763" s="309"/>
      <c r="E1763" s="309"/>
      <c r="F1763" s="327"/>
      <c r="G1763" s="327"/>
    </row>
    <row r="1764" spans="1:7" ht="20.100000000000001" customHeight="1">
      <c r="A1764" s="326"/>
      <c r="B1764" s="309"/>
      <c r="C1764" s="309"/>
      <c r="D1764" s="309"/>
      <c r="E1764" s="309"/>
      <c r="F1764" s="327"/>
      <c r="G1764" s="327"/>
    </row>
    <row r="1765" spans="1:7" ht="20.100000000000001" customHeight="1">
      <c r="A1765" s="326"/>
      <c r="B1765" s="309"/>
      <c r="C1765" s="309"/>
      <c r="D1765" s="309"/>
      <c r="E1765" s="309"/>
      <c r="F1765" s="327"/>
      <c r="G1765" s="327"/>
    </row>
    <row r="1766" spans="1:7" ht="20.100000000000001" customHeight="1">
      <c r="A1766" s="326"/>
      <c r="B1766" s="309"/>
      <c r="C1766" s="309"/>
      <c r="D1766" s="309"/>
      <c r="E1766" s="309"/>
      <c r="F1766" s="327"/>
      <c r="G1766" s="327"/>
    </row>
    <row r="1767" spans="1:7" ht="20.100000000000001" customHeight="1">
      <c r="A1767" s="326"/>
      <c r="B1767" s="309"/>
      <c r="C1767" s="309"/>
      <c r="D1767" s="309"/>
      <c r="E1767" s="309"/>
      <c r="F1767" s="327"/>
      <c r="G1767" s="327"/>
    </row>
    <row r="1768" spans="1:7" ht="20.100000000000001" customHeight="1">
      <c r="A1768" s="326"/>
      <c r="B1768" s="309"/>
      <c r="C1768" s="309"/>
      <c r="D1768" s="309"/>
      <c r="E1768" s="309"/>
      <c r="F1768" s="327"/>
      <c r="G1768" s="327"/>
    </row>
    <row r="1769" spans="1:7" ht="20.100000000000001" customHeight="1">
      <c r="A1769" s="326"/>
      <c r="B1769" s="309"/>
      <c r="C1769" s="309"/>
      <c r="D1769" s="309"/>
      <c r="E1769" s="309"/>
      <c r="F1769" s="327"/>
      <c r="G1769" s="327"/>
    </row>
    <row r="1770" spans="1:7" ht="20.100000000000001" customHeight="1">
      <c r="A1770" s="326"/>
      <c r="B1770" s="309"/>
      <c r="C1770" s="309"/>
      <c r="D1770" s="309"/>
      <c r="E1770" s="309"/>
      <c r="F1770" s="327"/>
      <c r="G1770" s="327"/>
    </row>
    <row r="1771" spans="1:7" ht="20.100000000000001" customHeight="1">
      <c r="A1771" s="326"/>
      <c r="B1771" s="309"/>
      <c r="C1771" s="309"/>
      <c r="D1771" s="309"/>
      <c r="E1771" s="309"/>
      <c r="F1771" s="327"/>
      <c r="G1771" s="327"/>
    </row>
    <row r="1772" spans="1:7" ht="20.100000000000001" customHeight="1">
      <c r="A1772" s="326"/>
      <c r="B1772" s="309"/>
      <c r="C1772" s="309"/>
      <c r="D1772" s="309"/>
      <c r="E1772" s="309"/>
      <c r="F1772" s="327"/>
      <c r="G1772" s="327"/>
    </row>
    <row r="1773" spans="1:7" ht="20.100000000000001" customHeight="1">
      <c r="A1773" s="326"/>
      <c r="B1773" s="309"/>
      <c r="C1773" s="309"/>
      <c r="D1773" s="309"/>
      <c r="E1773" s="309"/>
      <c r="F1773" s="327"/>
      <c r="G1773" s="327"/>
    </row>
    <row r="1774" spans="1:7" ht="20.100000000000001" customHeight="1">
      <c r="A1774" s="326"/>
      <c r="B1774" s="309"/>
      <c r="C1774" s="309"/>
      <c r="D1774" s="309"/>
      <c r="E1774" s="309"/>
      <c r="F1774" s="327"/>
      <c r="G1774" s="327"/>
    </row>
    <row r="1775" spans="1:7" ht="20.100000000000001" customHeight="1">
      <c r="A1775" s="326"/>
      <c r="B1775" s="309"/>
      <c r="C1775" s="309"/>
      <c r="D1775" s="309"/>
      <c r="E1775" s="309"/>
      <c r="F1775" s="327"/>
      <c r="G1775" s="327"/>
    </row>
    <row r="1776" spans="1:7" ht="20.100000000000001" customHeight="1">
      <c r="A1776" s="326"/>
      <c r="B1776" s="309"/>
      <c r="C1776" s="309"/>
      <c r="D1776" s="309"/>
      <c r="E1776" s="309"/>
      <c r="F1776" s="327"/>
      <c r="G1776" s="327"/>
    </row>
    <row r="1777" spans="1:7" ht="20.100000000000001" customHeight="1">
      <c r="A1777" s="326"/>
      <c r="B1777" s="309"/>
      <c r="C1777" s="309"/>
      <c r="D1777" s="309"/>
      <c r="E1777" s="309"/>
      <c r="F1777" s="327"/>
      <c r="G1777" s="327"/>
    </row>
    <row r="1778" spans="1:7" ht="20.100000000000001" customHeight="1">
      <c r="A1778" s="326"/>
      <c r="B1778" s="309"/>
      <c r="C1778" s="309"/>
      <c r="D1778" s="309"/>
      <c r="E1778" s="309"/>
      <c r="F1778" s="327"/>
      <c r="G1778" s="327"/>
    </row>
    <row r="1779" spans="1:7" ht="20.100000000000001" customHeight="1">
      <c r="A1779" s="326"/>
      <c r="B1779" s="309"/>
      <c r="C1779" s="309"/>
      <c r="D1779" s="309"/>
      <c r="E1779" s="309"/>
      <c r="F1779" s="327"/>
      <c r="G1779" s="327"/>
    </row>
  </sheetData>
  <mergeCells count="6">
    <mergeCell ref="A356:E356"/>
    <mergeCell ref="A5:E5"/>
    <mergeCell ref="F17:F44"/>
    <mergeCell ref="F77:G77"/>
    <mergeCell ref="A163:E163"/>
    <mergeCell ref="A346:E346"/>
  </mergeCells>
  <printOptions horizontalCentered="1"/>
  <pageMargins left="0.7" right="0.7" top="0.75" bottom="0.75" header="0.3" footer="0.3"/>
  <pageSetup paperSize="9" scale="66" fitToHeight="0" orientation="portrait" horizontalDpi="300" verticalDpi="300" r:id="rId1"/>
  <headerFooter alignWithMargins="0">
    <oddFooter>&amp;CStránka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A1786-1CFF-4CAA-8B18-24617AD307D1}">
  <sheetPr>
    <tabColor theme="8" tint="0.79998168889431442"/>
  </sheetPr>
  <dimension ref="A1:F127"/>
  <sheetViews>
    <sheetView view="pageLayout" workbookViewId="0">
      <selection activeCell="D5" sqref="D5"/>
    </sheetView>
  </sheetViews>
  <sheetFormatPr defaultColWidth="9.140625" defaultRowHeight="15"/>
  <cols>
    <col min="1" max="1" width="48.7109375" style="329" customWidth="1"/>
    <col min="2" max="3" width="5.28515625" style="329" customWidth="1"/>
    <col min="4" max="4" width="12.140625" style="329" customWidth="1"/>
    <col min="5" max="5" width="15.28515625" style="357" customWidth="1"/>
    <col min="6" max="16384" width="9.140625" style="329"/>
  </cols>
  <sheetData>
    <row r="1" spans="1:6" ht="48" customHeight="1" thickBot="1">
      <c r="A1" s="680" t="s">
        <v>1439</v>
      </c>
      <c r="B1" s="681"/>
      <c r="C1" s="681"/>
      <c r="D1" s="681"/>
      <c r="E1" s="682"/>
      <c r="F1" s="328"/>
    </row>
    <row r="2" spans="1:6" ht="27.75" thickBot="1">
      <c r="A2" s="330" t="s">
        <v>1440</v>
      </c>
      <c r="B2" s="331" t="s">
        <v>1368</v>
      </c>
      <c r="C2" s="332" t="s">
        <v>88</v>
      </c>
      <c r="D2" s="333" t="s">
        <v>1441</v>
      </c>
      <c r="E2" s="333" t="s">
        <v>1442</v>
      </c>
    </row>
    <row r="3" spans="1:6" ht="24.75" customHeight="1">
      <c r="A3" s="683" t="s">
        <v>1443</v>
      </c>
      <c r="B3" s="684"/>
      <c r="C3" s="684"/>
      <c r="D3" s="334"/>
      <c r="E3" s="335"/>
    </row>
    <row r="4" spans="1:6" ht="90" customHeight="1">
      <c r="A4" s="336" t="s">
        <v>1444</v>
      </c>
      <c r="B4" s="337">
        <v>1</v>
      </c>
      <c r="C4" s="338" t="s">
        <v>805</v>
      </c>
      <c r="D4" s="540"/>
      <c r="E4" s="340">
        <f>D4*B4</f>
        <v>0</v>
      </c>
    </row>
    <row r="5" spans="1:6" ht="87.75" customHeight="1">
      <c r="A5" s="336" t="s">
        <v>1445</v>
      </c>
      <c r="B5" s="337">
        <v>11</v>
      </c>
      <c r="C5" s="338" t="s">
        <v>805</v>
      </c>
      <c r="D5" s="540"/>
      <c r="E5" s="340">
        <f>D5*B5</f>
        <v>0</v>
      </c>
    </row>
    <row r="6" spans="1:6">
      <c r="A6" s="341" t="s">
        <v>1446</v>
      </c>
      <c r="B6" s="342">
        <f>B5+B4</f>
        <v>12</v>
      </c>
      <c r="C6" s="337" t="s">
        <v>805</v>
      </c>
      <c r="D6" s="540"/>
      <c r="E6" s="340">
        <f>D6*B6</f>
        <v>0</v>
      </c>
    </row>
    <row r="7" spans="1:6">
      <c r="A7" s="341"/>
      <c r="B7" s="342"/>
      <c r="C7" s="337"/>
      <c r="D7" s="339"/>
      <c r="E7" s="340"/>
    </row>
    <row r="8" spans="1:6" ht="56.25" customHeight="1">
      <c r="A8" s="343" t="s">
        <v>1447</v>
      </c>
      <c r="B8" s="337">
        <f>B4</f>
        <v>1</v>
      </c>
      <c r="C8" s="337" t="s">
        <v>805</v>
      </c>
      <c r="D8" s="540"/>
      <c r="E8" s="340">
        <f>D8*B8</f>
        <v>0</v>
      </c>
    </row>
    <row r="9" spans="1:6" ht="71.25" customHeight="1">
      <c r="A9" s="343" t="s">
        <v>1448</v>
      </c>
      <c r="B9" s="337">
        <f>B5</f>
        <v>11</v>
      </c>
      <c r="C9" s="337" t="s">
        <v>805</v>
      </c>
      <c r="D9" s="540"/>
      <c r="E9" s="340">
        <f>D9*B9</f>
        <v>0</v>
      </c>
    </row>
    <row r="10" spans="1:6">
      <c r="A10" s="341"/>
      <c r="B10" s="342"/>
      <c r="C10" s="337"/>
      <c r="D10" s="339"/>
      <c r="E10" s="340"/>
    </row>
    <row r="11" spans="1:6" ht="22.5" customHeight="1">
      <c r="A11" s="685" t="s">
        <v>1449</v>
      </c>
      <c r="B11" s="685"/>
      <c r="C11" s="685"/>
      <c r="D11" s="344"/>
      <c r="E11" s="345"/>
    </row>
    <row r="12" spans="1:6" ht="73.5" customHeight="1">
      <c r="A12" s="336" t="s">
        <v>1450</v>
      </c>
      <c r="B12" s="337">
        <v>1</v>
      </c>
      <c r="C12" s="338" t="s">
        <v>805</v>
      </c>
      <c r="D12" s="540"/>
      <c r="E12" s="340">
        <f>D12*B12</f>
        <v>0</v>
      </c>
    </row>
    <row r="13" spans="1:6" ht="73.5" customHeight="1">
      <c r="A13" s="336" t="s">
        <v>1451</v>
      </c>
      <c r="B13" s="337">
        <v>2</v>
      </c>
      <c r="C13" s="338" t="s">
        <v>805</v>
      </c>
      <c r="D13" s="540"/>
      <c r="E13" s="340">
        <f>D13*B13</f>
        <v>0</v>
      </c>
    </row>
    <row r="14" spans="1:6" ht="73.5" customHeight="1">
      <c r="A14" s="336" t="s">
        <v>1452</v>
      </c>
      <c r="B14" s="337">
        <v>4</v>
      </c>
      <c r="C14" s="338" t="s">
        <v>805</v>
      </c>
      <c r="D14" s="540"/>
      <c r="E14" s="340">
        <f>D14*B14</f>
        <v>0</v>
      </c>
    </row>
    <row r="15" spans="1:6" ht="72" customHeight="1">
      <c r="A15" s="341"/>
      <c r="B15" s="342"/>
      <c r="C15" s="337"/>
      <c r="D15" s="339"/>
      <c r="E15" s="340"/>
    </row>
    <row r="16" spans="1:6" ht="21.75" customHeight="1">
      <c r="A16" s="685" t="s">
        <v>1453</v>
      </c>
      <c r="B16" s="685"/>
      <c r="C16" s="685"/>
      <c r="D16" s="344"/>
      <c r="E16" s="345"/>
    </row>
    <row r="17" spans="1:5" ht="90.75" customHeight="1">
      <c r="A17" s="336" t="s">
        <v>1454</v>
      </c>
      <c r="B17" s="337">
        <v>2</v>
      </c>
      <c r="C17" s="338" t="s">
        <v>805</v>
      </c>
      <c r="D17" s="540"/>
      <c r="E17" s="340">
        <f>D17*B17</f>
        <v>0</v>
      </c>
    </row>
    <row r="18" spans="1:5" ht="81" customHeight="1">
      <c r="A18" s="336" t="s">
        <v>1452</v>
      </c>
      <c r="B18" s="337">
        <v>1</v>
      </c>
      <c r="C18" s="338" t="s">
        <v>805</v>
      </c>
      <c r="D18" s="540"/>
      <c r="E18" s="340">
        <f>D18*B18</f>
        <v>0</v>
      </c>
    </row>
    <row r="19" spans="1:5">
      <c r="A19" s="341"/>
      <c r="B19" s="342"/>
      <c r="C19" s="337"/>
      <c r="D19" s="342"/>
      <c r="E19" s="337"/>
    </row>
    <row r="20" spans="1:5" ht="23.25" customHeight="1">
      <c r="A20" s="346" t="s">
        <v>1455</v>
      </c>
      <c r="B20" s="337"/>
      <c r="C20" s="337"/>
      <c r="D20" s="337"/>
      <c r="E20" s="337"/>
    </row>
    <row r="21" spans="1:5" ht="45.75" customHeight="1">
      <c r="A21" s="347" t="s">
        <v>1456</v>
      </c>
      <c r="B21" s="337">
        <v>100</v>
      </c>
      <c r="C21" s="337" t="s">
        <v>219</v>
      </c>
      <c r="D21" s="540"/>
      <c r="E21" s="340">
        <f>D21*B21</f>
        <v>0</v>
      </c>
    </row>
    <row r="22" spans="1:5" ht="22.5" customHeight="1">
      <c r="A22" s="348" t="s">
        <v>1457</v>
      </c>
      <c r="B22" s="349" t="s">
        <v>1458</v>
      </c>
      <c r="C22" s="342"/>
      <c r="D22" s="350"/>
      <c r="E22" s="351">
        <f>D22</f>
        <v>0</v>
      </c>
    </row>
    <row r="23" spans="1:5">
      <c r="A23" s="352"/>
      <c r="B23" s="352"/>
      <c r="C23" s="338"/>
      <c r="D23" s="352"/>
      <c r="E23" s="338"/>
    </row>
    <row r="24" spans="1:5" ht="24.75" customHeight="1">
      <c r="A24" s="346" t="s">
        <v>1459</v>
      </c>
      <c r="B24" s="337"/>
      <c r="C24" s="337"/>
      <c r="D24" s="352"/>
      <c r="E24" s="338"/>
    </row>
    <row r="25" spans="1:5" ht="40.5" customHeight="1">
      <c r="A25" s="347" t="s">
        <v>1456</v>
      </c>
      <c r="B25" s="337">
        <v>25</v>
      </c>
      <c r="C25" s="337" t="s">
        <v>219</v>
      </c>
      <c r="D25" s="540"/>
      <c r="E25" s="340">
        <f>D25*B25</f>
        <v>0</v>
      </c>
    </row>
    <row r="26" spans="1:5">
      <c r="A26" s="353"/>
      <c r="B26" s="337"/>
      <c r="C26" s="338"/>
      <c r="D26" s="337"/>
      <c r="E26" s="338"/>
    </row>
    <row r="27" spans="1:5" ht="20.25" customHeight="1">
      <c r="A27" s="347" t="s">
        <v>1460</v>
      </c>
      <c r="B27" s="337">
        <v>1</v>
      </c>
      <c r="C27" s="338" t="s">
        <v>138</v>
      </c>
      <c r="D27" s="540"/>
      <c r="E27" s="340">
        <f t="shared" ref="E27:E32" si="0">D27*B27</f>
        <v>0</v>
      </c>
    </row>
    <row r="28" spans="1:5" ht="20.25" customHeight="1">
      <c r="A28" s="347" t="s">
        <v>1461</v>
      </c>
      <c r="B28" s="337">
        <v>1</v>
      </c>
      <c r="C28" s="338" t="s">
        <v>138</v>
      </c>
      <c r="D28" s="540"/>
      <c r="E28" s="340">
        <f t="shared" si="0"/>
        <v>0</v>
      </c>
    </row>
    <row r="29" spans="1:5" ht="20.25" customHeight="1">
      <c r="A29" s="347" t="s">
        <v>1462</v>
      </c>
      <c r="B29" s="337">
        <v>1</v>
      </c>
      <c r="C29" s="338" t="s">
        <v>138</v>
      </c>
      <c r="D29" s="540"/>
      <c r="E29" s="340">
        <f t="shared" si="0"/>
        <v>0</v>
      </c>
    </row>
    <row r="30" spans="1:5" ht="20.25" customHeight="1">
      <c r="A30" s="347" t="s">
        <v>1463</v>
      </c>
      <c r="B30" s="337">
        <v>1</v>
      </c>
      <c r="C30" s="338" t="s">
        <v>138</v>
      </c>
      <c r="D30" s="540"/>
      <c r="E30" s="340">
        <f t="shared" si="0"/>
        <v>0</v>
      </c>
    </row>
    <row r="31" spans="1:5" ht="20.25" customHeight="1">
      <c r="A31" s="354" t="s">
        <v>1464</v>
      </c>
      <c r="B31" s="337">
        <v>1</v>
      </c>
      <c r="C31" s="338" t="s">
        <v>138</v>
      </c>
      <c r="D31" s="540"/>
      <c r="E31" s="340">
        <f t="shared" si="0"/>
        <v>0</v>
      </c>
    </row>
    <row r="32" spans="1:5" ht="20.25" customHeight="1">
      <c r="A32" s="347" t="s">
        <v>1465</v>
      </c>
      <c r="B32" s="337">
        <v>1</v>
      </c>
      <c r="C32" s="338" t="s">
        <v>138</v>
      </c>
      <c r="D32" s="540"/>
      <c r="E32" s="340">
        <f t="shared" si="0"/>
        <v>0</v>
      </c>
    </row>
    <row r="33" spans="1:5">
      <c r="A33" s="355"/>
      <c r="B33" s="356"/>
      <c r="C33" s="356"/>
      <c r="D33" s="356"/>
    </row>
    <row r="34" spans="1:5" ht="15.75" thickBot="1">
      <c r="A34" s="355"/>
      <c r="B34" s="356"/>
      <c r="C34" s="356"/>
      <c r="D34" s="356"/>
    </row>
    <row r="35" spans="1:5" ht="18.75" customHeight="1" thickBot="1">
      <c r="A35" s="686" t="s">
        <v>1466</v>
      </c>
      <c r="B35" s="687"/>
      <c r="C35" s="688"/>
      <c r="D35" s="689">
        <f>SUM(E17:E32)+SUM(E12:E14)+SUM(E4:E9)</f>
        <v>0</v>
      </c>
      <c r="E35" s="690"/>
    </row>
    <row r="36" spans="1:5">
      <c r="A36" s="355"/>
      <c r="B36" s="356"/>
      <c r="C36" s="356"/>
      <c r="D36" s="356"/>
    </row>
    <row r="37" spans="1:5">
      <c r="A37" s="355"/>
      <c r="B37" s="356"/>
      <c r="C37" s="356"/>
      <c r="D37" s="356"/>
    </row>
    <row r="38" spans="1:5">
      <c r="A38" s="355"/>
      <c r="B38" s="356"/>
      <c r="C38" s="356"/>
      <c r="D38" s="358"/>
    </row>
    <row r="39" spans="1:5">
      <c r="A39" s="355"/>
      <c r="B39" s="356"/>
      <c r="C39" s="356"/>
      <c r="D39" s="356"/>
    </row>
    <row r="40" spans="1:5">
      <c r="A40" s="359"/>
      <c r="B40" s="356"/>
      <c r="C40" s="356"/>
      <c r="D40" s="356"/>
    </row>
    <row r="41" spans="1:5">
      <c r="A41" s="356"/>
      <c r="B41" s="356"/>
      <c r="C41" s="356"/>
      <c r="D41" s="356"/>
    </row>
    <row r="42" spans="1:5" ht="15" customHeight="1">
      <c r="A42" s="356"/>
      <c r="B42" s="356"/>
      <c r="C42" s="356"/>
      <c r="D42" s="356"/>
    </row>
    <row r="43" spans="1:5">
      <c r="A43" s="358"/>
      <c r="B43" s="358"/>
      <c r="C43" s="358"/>
      <c r="D43" s="358"/>
    </row>
    <row r="44" spans="1:5">
      <c r="A44" s="360"/>
      <c r="B44" s="358"/>
      <c r="C44" s="358"/>
      <c r="D44" s="358"/>
    </row>
    <row r="45" spans="1:5">
      <c r="A45" s="361"/>
      <c r="B45" s="358"/>
      <c r="C45" s="358"/>
      <c r="D45" s="358"/>
    </row>
    <row r="46" spans="1:5">
      <c r="A46" s="358"/>
      <c r="B46" s="358"/>
      <c r="C46" s="358"/>
      <c r="D46" s="358"/>
    </row>
    <row r="47" spans="1:5">
      <c r="A47" s="358"/>
      <c r="B47" s="358"/>
      <c r="C47" s="358"/>
      <c r="D47" s="358"/>
    </row>
    <row r="48" spans="1:5">
      <c r="A48" s="360"/>
      <c r="B48" s="358"/>
      <c r="C48" s="358"/>
      <c r="D48" s="358"/>
    </row>
    <row r="49" spans="1:4">
      <c r="A49" s="356"/>
      <c r="B49" s="356"/>
      <c r="C49" s="356"/>
      <c r="D49" s="356"/>
    </row>
    <row r="50" spans="1:4">
      <c r="A50" s="356"/>
      <c r="B50" s="356"/>
      <c r="C50" s="356"/>
      <c r="D50" s="356"/>
    </row>
    <row r="51" spans="1:4">
      <c r="A51" s="356"/>
      <c r="B51" s="356"/>
      <c r="C51" s="356"/>
      <c r="D51" s="356"/>
    </row>
    <row r="52" spans="1:4">
      <c r="A52" s="356"/>
      <c r="B52" s="356"/>
      <c r="C52" s="356"/>
      <c r="D52" s="356"/>
    </row>
    <row r="53" spans="1:4">
      <c r="A53" s="356"/>
      <c r="B53" s="356"/>
      <c r="C53" s="356"/>
      <c r="D53" s="356"/>
    </row>
    <row r="54" spans="1:4">
      <c r="A54" s="358"/>
      <c r="B54" s="358"/>
      <c r="C54" s="358"/>
      <c r="D54" s="358"/>
    </row>
    <row r="55" spans="1:4" ht="15" customHeight="1">
      <c r="A55" s="362"/>
      <c r="B55" s="362"/>
      <c r="C55" s="362"/>
      <c r="D55" s="362"/>
    </row>
    <row r="56" spans="1:4">
      <c r="A56" s="355"/>
      <c r="B56" s="356"/>
      <c r="C56" s="356"/>
      <c r="D56" s="356"/>
    </row>
    <row r="57" spans="1:4">
      <c r="A57" s="356"/>
      <c r="B57" s="356"/>
      <c r="C57" s="356"/>
      <c r="D57" s="356"/>
    </row>
    <row r="58" spans="1:4">
      <c r="A58" s="356"/>
      <c r="B58" s="356"/>
      <c r="C58" s="356"/>
      <c r="D58" s="356"/>
    </row>
    <row r="59" spans="1:4">
      <c r="A59" s="356"/>
      <c r="B59" s="356"/>
      <c r="C59" s="356"/>
      <c r="D59" s="356"/>
    </row>
    <row r="60" spans="1:4">
      <c r="A60" s="356"/>
      <c r="B60" s="356"/>
      <c r="C60" s="356"/>
      <c r="D60" s="356"/>
    </row>
    <row r="61" spans="1:4">
      <c r="A61" s="358"/>
      <c r="B61" s="358"/>
      <c r="C61" s="358"/>
      <c r="D61" s="358"/>
    </row>
    <row r="62" spans="1:4">
      <c r="A62" s="355"/>
      <c r="B62" s="356"/>
      <c r="C62" s="356"/>
      <c r="D62" s="356"/>
    </row>
    <row r="63" spans="1:4">
      <c r="A63" s="359"/>
      <c r="B63" s="356"/>
      <c r="C63" s="356"/>
      <c r="D63" s="356"/>
    </row>
    <row r="64" spans="1:4">
      <c r="A64" s="356"/>
      <c r="B64" s="356"/>
      <c r="C64" s="356"/>
      <c r="D64" s="356"/>
    </row>
    <row r="65" spans="1:4">
      <c r="A65" s="356"/>
      <c r="B65" s="356"/>
      <c r="C65" s="356"/>
      <c r="D65" s="356"/>
    </row>
    <row r="66" spans="1:4">
      <c r="A66" s="358"/>
      <c r="B66" s="358"/>
      <c r="C66" s="358"/>
      <c r="D66" s="358"/>
    </row>
    <row r="67" spans="1:4">
      <c r="A67" s="360"/>
      <c r="B67" s="358"/>
      <c r="C67" s="358"/>
      <c r="D67" s="358"/>
    </row>
    <row r="68" spans="1:4">
      <c r="A68" s="361"/>
      <c r="B68" s="358"/>
      <c r="C68" s="358"/>
      <c r="D68" s="358"/>
    </row>
    <row r="69" spans="1:4">
      <c r="A69" s="358"/>
      <c r="B69" s="358"/>
      <c r="C69" s="358"/>
      <c r="D69" s="358"/>
    </row>
    <row r="70" spans="1:4">
      <c r="A70" s="358"/>
      <c r="B70" s="358"/>
      <c r="C70" s="358"/>
      <c r="D70" s="358"/>
    </row>
    <row r="71" spans="1:4">
      <c r="A71" s="360"/>
      <c r="B71" s="358"/>
      <c r="C71" s="358"/>
      <c r="D71" s="358"/>
    </row>
    <row r="72" spans="1:4">
      <c r="A72" s="356"/>
      <c r="B72" s="356"/>
      <c r="C72" s="356"/>
      <c r="D72" s="356"/>
    </row>
    <row r="73" spans="1:4">
      <c r="A73" s="356"/>
      <c r="B73" s="356"/>
      <c r="C73" s="356"/>
      <c r="D73" s="356"/>
    </row>
    <row r="74" spans="1:4">
      <c r="A74" s="356"/>
      <c r="B74" s="356"/>
      <c r="C74" s="356"/>
      <c r="D74" s="356"/>
    </row>
    <row r="75" spans="1:4">
      <c r="A75" s="356"/>
      <c r="B75" s="356"/>
      <c r="C75" s="356"/>
      <c r="D75" s="356"/>
    </row>
    <row r="76" spans="1:4">
      <c r="A76" s="356"/>
      <c r="B76" s="356"/>
      <c r="C76" s="356"/>
      <c r="D76" s="356"/>
    </row>
    <row r="77" spans="1:4">
      <c r="A77" s="358"/>
      <c r="B77" s="358"/>
      <c r="C77" s="358"/>
      <c r="D77" s="358"/>
    </row>
    <row r="78" spans="1:4">
      <c r="A78" s="358"/>
      <c r="B78" s="358"/>
      <c r="C78" s="358"/>
      <c r="D78" s="358"/>
    </row>
    <row r="79" spans="1:4">
      <c r="A79" s="358"/>
      <c r="B79" s="358"/>
      <c r="C79" s="358"/>
      <c r="D79" s="358"/>
    </row>
    <row r="80" spans="1:4" ht="18.75">
      <c r="A80" s="363"/>
      <c r="B80" s="363"/>
      <c r="C80" s="363"/>
      <c r="D80" s="363"/>
    </row>
    <row r="81" spans="1:4" ht="15.75">
      <c r="A81" s="362"/>
      <c r="B81" s="362"/>
      <c r="C81" s="362"/>
      <c r="D81" s="362"/>
    </row>
    <row r="82" spans="1:4">
      <c r="A82" s="355"/>
      <c r="B82" s="356"/>
      <c r="C82" s="356"/>
      <c r="D82" s="356"/>
    </row>
    <row r="83" spans="1:4">
      <c r="A83" s="356"/>
      <c r="B83" s="356"/>
      <c r="C83" s="356"/>
      <c r="D83" s="356"/>
    </row>
    <row r="84" spans="1:4">
      <c r="A84" s="356"/>
      <c r="B84" s="356"/>
      <c r="C84" s="356"/>
      <c r="D84" s="356"/>
    </row>
    <row r="85" spans="1:4">
      <c r="A85" s="356"/>
      <c r="B85" s="356"/>
      <c r="C85" s="356"/>
      <c r="D85" s="356"/>
    </row>
    <row r="86" spans="1:4">
      <c r="A86" s="356"/>
      <c r="B86" s="356"/>
      <c r="C86" s="356"/>
      <c r="D86" s="356"/>
    </row>
    <row r="87" spans="1:4">
      <c r="A87" s="358"/>
      <c r="B87" s="358"/>
      <c r="C87" s="358"/>
      <c r="D87" s="358"/>
    </row>
    <row r="88" spans="1:4">
      <c r="A88" s="355"/>
      <c r="B88" s="356"/>
      <c r="C88" s="356"/>
      <c r="D88" s="356"/>
    </row>
    <row r="89" spans="1:4">
      <c r="A89" s="359"/>
      <c r="B89" s="356"/>
      <c r="C89" s="356"/>
      <c r="D89" s="356"/>
    </row>
    <row r="90" spans="1:4">
      <c r="A90" s="356"/>
      <c r="B90" s="356"/>
      <c r="C90" s="356"/>
      <c r="D90" s="356"/>
    </row>
    <row r="91" spans="1:4">
      <c r="A91" s="356"/>
      <c r="B91" s="356"/>
      <c r="C91" s="356"/>
      <c r="D91" s="356"/>
    </row>
    <row r="92" spans="1:4">
      <c r="A92" s="358"/>
      <c r="B92" s="358"/>
      <c r="C92" s="358"/>
      <c r="D92" s="358"/>
    </row>
    <row r="93" spans="1:4">
      <c r="A93" s="360"/>
      <c r="B93" s="358"/>
      <c r="C93" s="358"/>
      <c r="D93" s="358"/>
    </row>
    <row r="94" spans="1:4">
      <c r="A94" s="361"/>
      <c r="B94" s="358"/>
      <c r="C94" s="358"/>
      <c r="D94" s="358"/>
    </row>
    <row r="95" spans="1:4">
      <c r="A95" s="358"/>
      <c r="B95" s="358"/>
      <c r="C95" s="358"/>
      <c r="D95" s="358"/>
    </row>
    <row r="96" spans="1:4">
      <c r="A96" s="358"/>
      <c r="B96" s="358"/>
      <c r="C96" s="358"/>
      <c r="D96" s="358"/>
    </row>
    <row r="97" spans="1:4">
      <c r="A97" s="360"/>
      <c r="B97" s="358"/>
      <c r="C97" s="358"/>
      <c r="D97" s="358"/>
    </row>
    <row r="98" spans="1:4">
      <c r="A98" s="356"/>
      <c r="B98" s="356"/>
      <c r="C98" s="356"/>
      <c r="D98" s="356"/>
    </row>
    <row r="99" spans="1:4">
      <c r="A99" s="356"/>
      <c r="B99" s="356"/>
      <c r="C99" s="356"/>
      <c r="D99" s="356"/>
    </row>
    <row r="100" spans="1:4">
      <c r="A100" s="356"/>
      <c r="B100" s="356"/>
      <c r="C100" s="356"/>
      <c r="D100" s="356"/>
    </row>
    <row r="101" spans="1:4">
      <c r="A101" s="356"/>
      <c r="B101" s="356"/>
      <c r="C101" s="356"/>
      <c r="D101" s="356"/>
    </row>
    <row r="102" spans="1:4">
      <c r="A102" s="356"/>
      <c r="B102" s="356"/>
      <c r="C102" s="356"/>
      <c r="D102" s="356"/>
    </row>
    <row r="103" spans="1:4">
      <c r="A103" s="358"/>
      <c r="B103" s="358"/>
      <c r="C103" s="358"/>
      <c r="D103" s="358"/>
    </row>
    <row r="104" spans="1:4" ht="15.75">
      <c r="A104" s="364"/>
      <c r="B104" s="364"/>
      <c r="C104" s="364"/>
      <c r="D104" s="364"/>
    </row>
    <row r="105" spans="1:4">
      <c r="A105" s="365"/>
      <c r="B105" s="366"/>
      <c r="C105" s="366"/>
      <c r="D105" s="366"/>
    </row>
    <row r="106" spans="1:4">
      <c r="A106" s="366"/>
      <c r="B106" s="366"/>
      <c r="C106" s="366"/>
      <c r="D106" s="366"/>
    </row>
    <row r="107" spans="1:4">
      <c r="A107" s="366"/>
      <c r="B107" s="356"/>
      <c r="C107" s="356"/>
      <c r="D107" s="356"/>
    </row>
    <row r="108" spans="1:4">
      <c r="A108" s="366"/>
      <c r="B108" s="356"/>
      <c r="C108" s="356"/>
      <c r="D108" s="356"/>
    </row>
    <row r="109" spans="1:4">
      <c r="A109" s="366"/>
      <c r="B109" s="356"/>
      <c r="C109" s="356"/>
      <c r="D109" s="356"/>
    </row>
    <row r="110" spans="1:4">
      <c r="B110" s="358"/>
      <c r="C110" s="358"/>
      <c r="D110" s="358"/>
    </row>
    <row r="111" spans="1:4">
      <c r="B111" s="366"/>
      <c r="C111" s="366"/>
      <c r="D111" s="366"/>
    </row>
    <row r="112" spans="1:4">
      <c r="B112" s="366"/>
      <c r="C112" s="366"/>
      <c r="D112" s="366"/>
    </row>
    <row r="113" spans="1:4">
      <c r="B113" s="366"/>
      <c r="C113" s="366"/>
      <c r="D113" s="366"/>
    </row>
    <row r="115" spans="1:4">
      <c r="A115" s="356"/>
    </row>
    <row r="116" spans="1:4">
      <c r="A116" s="365"/>
    </row>
    <row r="117" spans="1:4">
      <c r="A117" s="367"/>
    </row>
    <row r="118" spans="1:4">
      <c r="A118" s="368"/>
      <c r="B118" s="368"/>
      <c r="C118" s="368"/>
      <c r="D118" s="368"/>
    </row>
    <row r="120" spans="1:4">
      <c r="A120" s="365"/>
    </row>
    <row r="121" spans="1:4">
      <c r="A121" s="366"/>
      <c r="B121" s="366"/>
      <c r="C121" s="366"/>
      <c r="D121" s="366"/>
    </row>
    <row r="122" spans="1:4">
      <c r="A122" s="366"/>
      <c r="B122" s="366"/>
      <c r="C122" s="366"/>
      <c r="D122" s="366"/>
    </row>
    <row r="123" spans="1:4">
      <c r="A123" s="366"/>
      <c r="B123" s="366"/>
      <c r="C123" s="366"/>
      <c r="D123" s="366"/>
    </row>
    <row r="124" spans="1:4">
      <c r="A124" s="369"/>
      <c r="B124" s="369"/>
      <c r="C124" s="369"/>
      <c r="D124" s="369"/>
    </row>
    <row r="125" spans="1:4">
      <c r="A125" s="366"/>
      <c r="B125" s="366"/>
      <c r="C125" s="366"/>
      <c r="D125" s="366"/>
    </row>
    <row r="127" spans="1:4">
      <c r="A127" s="370"/>
    </row>
  </sheetData>
  <mergeCells count="6">
    <mergeCell ref="A1:E1"/>
    <mergeCell ref="A3:C3"/>
    <mergeCell ref="A11:C11"/>
    <mergeCell ref="A16:C16"/>
    <mergeCell ref="A35:C35"/>
    <mergeCell ref="D35:E35"/>
  </mergeCells>
  <pageMargins left="0.70866141732283472" right="0.70866141732283472" top="0.78740157480314965" bottom="0.78740157480314965" header="0.31496062992125984" footer="0.31496062992125984"/>
  <pageSetup paperSize="9" orientation="portrait" horizontalDpi="4294967295" verticalDpi="300" r:id="rId1"/>
  <headerFooter>
    <oddFooter>&amp;R Strana &amp;P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8D4D7-466D-4A2B-86E2-A776EEDFFC9F}">
  <sheetPr>
    <tabColor theme="2" tint="-0.249977111117893"/>
  </sheetPr>
  <dimension ref="A1:M329"/>
  <sheetViews>
    <sheetView workbookViewId="0">
      <pane ySplit="11" topLeftCell="A12" activePane="bottomLeft" state="frozen"/>
      <selection pane="bottomLeft" activeCell="G60" sqref="G60"/>
    </sheetView>
  </sheetViews>
  <sheetFormatPr defaultRowHeight="12.75"/>
  <cols>
    <col min="1" max="1" width="4.28515625" style="371" customWidth="1"/>
    <col min="2" max="2" width="11.28515625" style="371" customWidth="1"/>
    <col min="3" max="3" width="48" style="371" customWidth="1"/>
    <col min="4" max="4" width="6.140625" style="371" customWidth="1"/>
    <col min="5" max="5" width="6.42578125" style="371" customWidth="1"/>
    <col min="6" max="6" width="8.85546875" style="371" customWidth="1"/>
    <col min="7" max="7" width="9.42578125" style="371" customWidth="1"/>
    <col min="8" max="8" width="11" style="391" customWidth="1"/>
    <col min="9" max="256" width="9.140625" style="371"/>
    <col min="257" max="257" width="4.28515625" style="371" customWidth="1"/>
    <col min="258" max="258" width="11.28515625" style="371" customWidth="1"/>
    <col min="259" max="259" width="48" style="371" customWidth="1"/>
    <col min="260" max="260" width="6.140625" style="371" customWidth="1"/>
    <col min="261" max="261" width="6.42578125" style="371" customWidth="1"/>
    <col min="262" max="262" width="8.85546875" style="371" customWidth="1"/>
    <col min="263" max="263" width="9.42578125" style="371" customWidth="1"/>
    <col min="264" max="264" width="11" style="371" customWidth="1"/>
    <col min="265" max="512" width="9.140625" style="371"/>
    <col min="513" max="513" width="4.28515625" style="371" customWidth="1"/>
    <col min="514" max="514" width="11.28515625" style="371" customWidth="1"/>
    <col min="515" max="515" width="48" style="371" customWidth="1"/>
    <col min="516" max="516" width="6.140625" style="371" customWidth="1"/>
    <col min="517" max="517" width="6.42578125" style="371" customWidth="1"/>
    <col min="518" max="518" width="8.85546875" style="371" customWidth="1"/>
    <col min="519" max="519" width="9.42578125" style="371" customWidth="1"/>
    <col min="520" max="520" width="11" style="371" customWidth="1"/>
    <col min="521" max="768" width="9.140625" style="371"/>
    <col min="769" max="769" width="4.28515625" style="371" customWidth="1"/>
    <col min="770" max="770" width="11.28515625" style="371" customWidth="1"/>
    <col min="771" max="771" width="48" style="371" customWidth="1"/>
    <col min="772" max="772" width="6.140625" style="371" customWidth="1"/>
    <col min="773" max="773" width="6.42578125" style="371" customWidth="1"/>
    <col min="774" max="774" width="8.85546875" style="371" customWidth="1"/>
    <col min="775" max="775" width="9.42578125" style="371" customWidth="1"/>
    <col min="776" max="776" width="11" style="371" customWidth="1"/>
    <col min="777" max="1024" width="9.140625" style="371"/>
    <col min="1025" max="1025" width="4.28515625" style="371" customWidth="1"/>
    <col min="1026" max="1026" width="11.28515625" style="371" customWidth="1"/>
    <col min="1027" max="1027" width="48" style="371" customWidth="1"/>
    <col min="1028" max="1028" width="6.140625" style="371" customWidth="1"/>
    <col min="1029" max="1029" width="6.42578125" style="371" customWidth="1"/>
    <col min="1030" max="1030" width="8.85546875" style="371" customWidth="1"/>
    <col min="1031" max="1031" width="9.42578125" style="371" customWidth="1"/>
    <col min="1032" max="1032" width="11" style="371" customWidth="1"/>
    <col min="1033" max="1280" width="9.140625" style="371"/>
    <col min="1281" max="1281" width="4.28515625" style="371" customWidth="1"/>
    <col min="1282" max="1282" width="11.28515625" style="371" customWidth="1"/>
    <col min="1283" max="1283" width="48" style="371" customWidth="1"/>
    <col min="1284" max="1284" width="6.140625" style="371" customWidth="1"/>
    <col min="1285" max="1285" width="6.42578125" style="371" customWidth="1"/>
    <col min="1286" max="1286" width="8.85546875" style="371" customWidth="1"/>
    <col min="1287" max="1287" width="9.42578125" style="371" customWidth="1"/>
    <col min="1288" max="1288" width="11" style="371" customWidth="1"/>
    <col min="1289" max="1536" width="9.140625" style="371"/>
    <col min="1537" max="1537" width="4.28515625" style="371" customWidth="1"/>
    <col min="1538" max="1538" width="11.28515625" style="371" customWidth="1"/>
    <col min="1539" max="1539" width="48" style="371" customWidth="1"/>
    <col min="1540" max="1540" width="6.140625" style="371" customWidth="1"/>
    <col min="1541" max="1541" width="6.42578125" style="371" customWidth="1"/>
    <col min="1542" max="1542" width="8.85546875" style="371" customWidth="1"/>
    <col min="1543" max="1543" width="9.42578125" style="371" customWidth="1"/>
    <col min="1544" max="1544" width="11" style="371" customWidth="1"/>
    <col min="1545" max="1792" width="9.140625" style="371"/>
    <col min="1793" max="1793" width="4.28515625" style="371" customWidth="1"/>
    <col min="1794" max="1794" width="11.28515625" style="371" customWidth="1"/>
    <col min="1795" max="1795" width="48" style="371" customWidth="1"/>
    <col min="1796" max="1796" width="6.140625" style="371" customWidth="1"/>
    <col min="1797" max="1797" width="6.42578125" style="371" customWidth="1"/>
    <col min="1798" max="1798" width="8.85546875" style="371" customWidth="1"/>
    <col min="1799" max="1799" width="9.42578125" style="371" customWidth="1"/>
    <col min="1800" max="1800" width="11" style="371" customWidth="1"/>
    <col min="1801" max="2048" width="9.140625" style="371"/>
    <col min="2049" max="2049" width="4.28515625" style="371" customWidth="1"/>
    <col min="2050" max="2050" width="11.28515625" style="371" customWidth="1"/>
    <col min="2051" max="2051" width="48" style="371" customWidth="1"/>
    <col min="2052" max="2052" width="6.140625" style="371" customWidth="1"/>
    <col min="2053" max="2053" width="6.42578125" style="371" customWidth="1"/>
    <col min="2054" max="2054" width="8.85546875" style="371" customWidth="1"/>
    <col min="2055" max="2055" width="9.42578125" style="371" customWidth="1"/>
    <col min="2056" max="2056" width="11" style="371" customWidth="1"/>
    <col min="2057" max="2304" width="9.140625" style="371"/>
    <col min="2305" max="2305" width="4.28515625" style="371" customWidth="1"/>
    <col min="2306" max="2306" width="11.28515625" style="371" customWidth="1"/>
    <col min="2307" max="2307" width="48" style="371" customWidth="1"/>
    <col min="2308" max="2308" width="6.140625" style="371" customWidth="1"/>
    <col min="2309" max="2309" width="6.42578125" style="371" customWidth="1"/>
    <col min="2310" max="2310" width="8.85546875" style="371" customWidth="1"/>
    <col min="2311" max="2311" width="9.42578125" style="371" customWidth="1"/>
    <col min="2312" max="2312" width="11" style="371" customWidth="1"/>
    <col min="2313" max="2560" width="9.140625" style="371"/>
    <col min="2561" max="2561" width="4.28515625" style="371" customWidth="1"/>
    <col min="2562" max="2562" width="11.28515625" style="371" customWidth="1"/>
    <col min="2563" max="2563" width="48" style="371" customWidth="1"/>
    <col min="2564" max="2564" width="6.140625" style="371" customWidth="1"/>
    <col min="2565" max="2565" width="6.42578125" style="371" customWidth="1"/>
    <col min="2566" max="2566" width="8.85546875" style="371" customWidth="1"/>
    <col min="2567" max="2567" width="9.42578125" style="371" customWidth="1"/>
    <col min="2568" max="2568" width="11" style="371" customWidth="1"/>
    <col min="2569" max="2816" width="9.140625" style="371"/>
    <col min="2817" max="2817" width="4.28515625" style="371" customWidth="1"/>
    <col min="2818" max="2818" width="11.28515625" style="371" customWidth="1"/>
    <col min="2819" max="2819" width="48" style="371" customWidth="1"/>
    <col min="2820" max="2820" width="6.140625" style="371" customWidth="1"/>
    <col min="2821" max="2821" width="6.42578125" style="371" customWidth="1"/>
    <col min="2822" max="2822" width="8.85546875" style="371" customWidth="1"/>
    <col min="2823" max="2823" width="9.42578125" style="371" customWidth="1"/>
    <col min="2824" max="2824" width="11" style="371" customWidth="1"/>
    <col min="2825" max="3072" width="9.140625" style="371"/>
    <col min="3073" max="3073" width="4.28515625" style="371" customWidth="1"/>
    <col min="3074" max="3074" width="11.28515625" style="371" customWidth="1"/>
    <col min="3075" max="3075" width="48" style="371" customWidth="1"/>
    <col min="3076" max="3076" width="6.140625" style="371" customWidth="1"/>
    <col min="3077" max="3077" width="6.42578125" style="371" customWidth="1"/>
    <col min="3078" max="3078" width="8.85546875" style="371" customWidth="1"/>
    <col min="3079" max="3079" width="9.42578125" style="371" customWidth="1"/>
    <col min="3080" max="3080" width="11" style="371" customWidth="1"/>
    <col min="3081" max="3328" width="9.140625" style="371"/>
    <col min="3329" max="3329" width="4.28515625" style="371" customWidth="1"/>
    <col min="3330" max="3330" width="11.28515625" style="371" customWidth="1"/>
    <col min="3331" max="3331" width="48" style="371" customWidth="1"/>
    <col min="3332" max="3332" width="6.140625" style="371" customWidth="1"/>
    <col min="3333" max="3333" width="6.42578125" style="371" customWidth="1"/>
    <col min="3334" max="3334" width="8.85546875" style="371" customWidth="1"/>
    <col min="3335" max="3335" width="9.42578125" style="371" customWidth="1"/>
    <col min="3336" max="3336" width="11" style="371" customWidth="1"/>
    <col min="3337" max="3584" width="9.140625" style="371"/>
    <col min="3585" max="3585" width="4.28515625" style="371" customWidth="1"/>
    <col min="3586" max="3586" width="11.28515625" style="371" customWidth="1"/>
    <col min="3587" max="3587" width="48" style="371" customWidth="1"/>
    <col min="3588" max="3588" width="6.140625" style="371" customWidth="1"/>
    <col min="3589" max="3589" width="6.42578125" style="371" customWidth="1"/>
    <col min="3590" max="3590" width="8.85546875" style="371" customWidth="1"/>
    <col min="3591" max="3591" width="9.42578125" style="371" customWidth="1"/>
    <col min="3592" max="3592" width="11" style="371" customWidth="1"/>
    <col min="3593" max="3840" width="9.140625" style="371"/>
    <col min="3841" max="3841" width="4.28515625" style="371" customWidth="1"/>
    <col min="3842" max="3842" width="11.28515625" style="371" customWidth="1"/>
    <col min="3843" max="3843" width="48" style="371" customWidth="1"/>
    <col min="3844" max="3844" width="6.140625" style="371" customWidth="1"/>
    <col min="3845" max="3845" width="6.42578125" style="371" customWidth="1"/>
    <col min="3846" max="3846" width="8.85546875" style="371" customWidth="1"/>
    <col min="3847" max="3847" width="9.42578125" style="371" customWidth="1"/>
    <col min="3848" max="3848" width="11" style="371" customWidth="1"/>
    <col min="3849" max="4096" width="9.140625" style="371"/>
    <col min="4097" max="4097" width="4.28515625" style="371" customWidth="1"/>
    <col min="4098" max="4098" width="11.28515625" style="371" customWidth="1"/>
    <col min="4099" max="4099" width="48" style="371" customWidth="1"/>
    <col min="4100" max="4100" width="6.140625" style="371" customWidth="1"/>
    <col min="4101" max="4101" width="6.42578125" style="371" customWidth="1"/>
    <col min="4102" max="4102" width="8.85546875" style="371" customWidth="1"/>
    <col min="4103" max="4103" width="9.42578125" style="371" customWidth="1"/>
    <col min="4104" max="4104" width="11" style="371" customWidth="1"/>
    <col min="4105" max="4352" width="9.140625" style="371"/>
    <col min="4353" max="4353" width="4.28515625" style="371" customWidth="1"/>
    <col min="4354" max="4354" width="11.28515625" style="371" customWidth="1"/>
    <col min="4355" max="4355" width="48" style="371" customWidth="1"/>
    <col min="4356" max="4356" width="6.140625" style="371" customWidth="1"/>
    <col min="4357" max="4357" width="6.42578125" style="371" customWidth="1"/>
    <col min="4358" max="4358" width="8.85546875" style="371" customWidth="1"/>
    <col min="4359" max="4359" width="9.42578125" style="371" customWidth="1"/>
    <col min="4360" max="4360" width="11" style="371" customWidth="1"/>
    <col min="4361" max="4608" width="9.140625" style="371"/>
    <col min="4609" max="4609" width="4.28515625" style="371" customWidth="1"/>
    <col min="4610" max="4610" width="11.28515625" style="371" customWidth="1"/>
    <col min="4611" max="4611" width="48" style="371" customWidth="1"/>
    <col min="4612" max="4612" width="6.140625" style="371" customWidth="1"/>
    <col min="4613" max="4613" width="6.42578125" style="371" customWidth="1"/>
    <col min="4614" max="4614" width="8.85546875" style="371" customWidth="1"/>
    <col min="4615" max="4615" width="9.42578125" style="371" customWidth="1"/>
    <col min="4616" max="4616" width="11" style="371" customWidth="1"/>
    <col min="4617" max="4864" width="9.140625" style="371"/>
    <col min="4865" max="4865" width="4.28515625" style="371" customWidth="1"/>
    <col min="4866" max="4866" width="11.28515625" style="371" customWidth="1"/>
    <col min="4867" max="4867" width="48" style="371" customWidth="1"/>
    <col min="4868" max="4868" width="6.140625" style="371" customWidth="1"/>
    <col min="4869" max="4869" width="6.42578125" style="371" customWidth="1"/>
    <col min="4870" max="4870" width="8.85546875" style="371" customWidth="1"/>
    <col min="4871" max="4871" width="9.42578125" style="371" customWidth="1"/>
    <col min="4872" max="4872" width="11" style="371" customWidth="1"/>
    <col min="4873" max="5120" width="9.140625" style="371"/>
    <col min="5121" max="5121" width="4.28515625" style="371" customWidth="1"/>
    <col min="5122" max="5122" width="11.28515625" style="371" customWidth="1"/>
    <col min="5123" max="5123" width="48" style="371" customWidth="1"/>
    <col min="5124" max="5124" width="6.140625" style="371" customWidth="1"/>
    <col min="5125" max="5125" width="6.42578125" style="371" customWidth="1"/>
    <col min="5126" max="5126" width="8.85546875" style="371" customWidth="1"/>
    <col min="5127" max="5127" width="9.42578125" style="371" customWidth="1"/>
    <col min="5128" max="5128" width="11" style="371" customWidth="1"/>
    <col min="5129" max="5376" width="9.140625" style="371"/>
    <col min="5377" max="5377" width="4.28515625" style="371" customWidth="1"/>
    <col min="5378" max="5378" width="11.28515625" style="371" customWidth="1"/>
    <col min="5379" max="5379" width="48" style="371" customWidth="1"/>
    <col min="5380" max="5380" width="6.140625" style="371" customWidth="1"/>
    <col min="5381" max="5381" width="6.42578125" style="371" customWidth="1"/>
    <col min="5382" max="5382" width="8.85546875" style="371" customWidth="1"/>
    <col min="5383" max="5383" width="9.42578125" style="371" customWidth="1"/>
    <col min="5384" max="5384" width="11" style="371" customWidth="1"/>
    <col min="5385" max="5632" width="9.140625" style="371"/>
    <col min="5633" max="5633" width="4.28515625" style="371" customWidth="1"/>
    <col min="5634" max="5634" width="11.28515625" style="371" customWidth="1"/>
    <col min="5635" max="5635" width="48" style="371" customWidth="1"/>
    <col min="5636" max="5636" width="6.140625" style="371" customWidth="1"/>
    <col min="5637" max="5637" width="6.42578125" style="371" customWidth="1"/>
    <col min="5638" max="5638" width="8.85546875" style="371" customWidth="1"/>
    <col min="5639" max="5639" width="9.42578125" style="371" customWidth="1"/>
    <col min="5640" max="5640" width="11" style="371" customWidth="1"/>
    <col min="5641" max="5888" width="9.140625" style="371"/>
    <col min="5889" max="5889" width="4.28515625" style="371" customWidth="1"/>
    <col min="5890" max="5890" width="11.28515625" style="371" customWidth="1"/>
    <col min="5891" max="5891" width="48" style="371" customWidth="1"/>
    <col min="5892" max="5892" width="6.140625" style="371" customWidth="1"/>
    <col min="5893" max="5893" width="6.42578125" style="371" customWidth="1"/>
    <col min="5894" max="5894" width="8.85546875" style="371" customWidth="1"/>
    <col min="5895" max="5895" width="9.42578125" style="371" customWidth="1"/>
    <col min="5896" max="5896" width="11" style="371" customWidth="1"/>
    <col min="5897" max="6144" width="9.140625" style="371"/>
    <col min="6145" max="6145" width="4.28515625" style="371" customWidth="1"/>
    <col min="6146" max="6146" width="11.28515625" style="371" customWidth="1"/>
    <col min="6147" max="6147" width="48" style="371" customWidth="1"/>
    <col min="6148" max="6148" width="6.140625" style="371" customWidth="1"/>
    <col min="6149" max="6149" width="6.42578125" style="371" customWidth="1"/>
    <col min="6150" max="6150" width="8.85546875" style="371" customWidth="1"/>
    <col min="6151" max="6151" width="9.42578125" style="371" customWidth="1"/>
    <col min="6152" max="6152" width="11" style="371" customWidth="1"/>
    <col min="6153" max="6400" width="9.140625" style="371"/>
    <col min="6401" max="6401" width="4.28515625" style="371" customWidth="1"/>
    <col min="6402" max="6402" width="11.28515625" style="371" customWidth="1"/>
    <col min="6403" max="6403" width="48" style="371" customWidth="1"/>
    <col min="6404" max="6404" width="6.140625" style="371" customWidth="1"/>
    <col min="6405" max="6405" width="6.42578125" style="371" customWidth="1"/>
    <col min="6406" max="6406" width="8.85546875" style="371" customWidth="1"/>
    <col min="6407" max="6407" width="9.42578125" style="371" customWidth="1"/>
    <col min="6408" max="6408" width="11" style="371" customWidth="1"/>
    <col min="6409" max="6656" width="9.140625" style="371"/>
    <col min="6657" max="6657" width="4.28515625" style="371" customWidth="1"/>
    <col min="6658" max="6658" width="11.28515625" style="371" customWidth="1"/>
    <col min="6659" max="6659" width="48" style="371" customWidth="1"/>
    <col min="6660" max="6660" width="6.140625" style="371" customWidth="1"/>
    <col min="6661" max="6661" width="6.42578125" style="371" customWidth="1"/>
    <col min="6662" max="6662" width="8.85546875" style="371" customWidth="1"/>
    <col min="6663" max="6663" width="9.42578125" style="371" customWidth="1"/>
    <col min="6664" max="6664" width="11" style="371" customWidth="1"/>
    <col min="6665" max="6912" width="9.140625" style="371"/>
    <col min="6913" max="6913" width="4.28515625" style="371" customWidth="1"/>
    <col min="6914" max="6914" width="11.28515625" style="371" customWidth="1"/>
    <col min="6915" max="6915" width="48" style="371" customWidth="1"/>
    <col min="6916" max="6916" width="6.140625" style="371" customWidth="1"/>
    <col min="6917" max="6917" width="6.42578125" style="371" customWidth="1"/>
    <col min="6918" max="6918" width="8.85546875" style="371" customWidth="1"/>
    <col min="6919" max="6919" width="9.42578125" style="371" customWidth="1"/>
    <col min="6920" max="6920" width="11" style="371" customWidth="1"/>
    <col min="6921" max="7168" width="9.140625" style="371"/>
    <col min="7169" max="7169" width="4.28515625" style="371" customWidth="1"/>
    <col min="7170" max="7170" width="11.28515625" style="371" customWidth="1"/>
    <col min="7171" max="7171" width="48" style="371" customWidth="1"/>
    <col min="7172" max="7172" width="6.140625" style="371" customWidth="1"/>
    <col min="7173" max="7173" width="6.42578125" style="371" customWidth="1"/>
    <col min="7174" max="7174" width="8.85546875" style="371" customWidth="1"/>
    <col min="7175" max="7175" width="9.42578125" style="371" customWidth="1"/>
    <col min="7176" max="7176" width="11" style="371" customWidth="1"/>
    <col min="7177" max="7424" width="9.140625" style="371"/>
    <col min="7425" max="7425" width="4.28515625" style="371" customWidth="1"/>
    <col min="7426" max="7426" width="11.28515625" style="371" customWidth="1"/>
    <col min="7427" max="7427" width="48" style="371" customWidth="1"/>
    <col min="7428" max="7428" width="6.140625" style="371" customWidth="1"/>
    <col min="7429" max="7429" width="6.42578125" style="371" customWidth="1"/>
    <col min="7430" max="7430" width="8.85546875" style="371" customWidth="1"/>
    <col min="7431" max="7431" width="9.42578125" style="371" customWidth="1"/>
    <col min="7432" max="7432" width="11" style="371" customWidth="1"/>
    <col min="7433" max="7680" width="9.140625" style="371"/>
    <col min="7681" max="7681" width="4.28515625" style="371" customWidth="1"/>
    <col min="7682" max="7682" width="11.28515625" style="371" customWidth="1"/>
    <col min="7683" max="7683" width="48" style="371" customWidth="1"/>
    <col min="7684" max="7684" width="6.140625" style="371" customWidth="1"/>
    <col min="7685" max="7685" width="6.42578125" style="371" customWidth="1"/>
    <col min="7686" max="7686" width="8.85546875" style="371" customWidth="1"/>
    <col min="7687" max="7687" width="9.42578125" style="371" customWidth="1"/>
    <col min="7688" max="7688" width="11" style="371" customWidth="1"/>
    <col min="7689" max="7936" width="9.140625" style="371"/>
    <col min="7937" max="7937" width="4.28515625" style="371" customWidth="1"/>
    <col min="7938" max="7938" width="11.28515625" style="371" customWidth="1"/>
    <col min="7939" max="7939" width="48" style="371" customWidth="1"/>
    <col min="7940" max="7940" width="6.140625" style="371" customWidth="1"/>
    <col min="7941" max="7941" width="6.42578125" style="371" customWidth="1"/>
    <col min="7942" max="7942" width="8.85546875" style="371" customWidth="1"/>
    <col min="7943" max="7943" width="9.42578125" style="371" customWidth="1"/>
    <col min="7944" max="7944" width="11" style="371" customWidth="1"/>
    <col min="7945" max="8192" width="9.140625" style="371"/>
    <col min="8193" max="8193" width="4.28515625" style="371" customWidth="1"/>
    <col min="8194" max="8194" width="11.28515625" style="371" customWidth="1"/>
    <col min="8195" max="8195" width="48" style="371" customWidth="1"/>
    <col min="8196" max="8196" width="6.140625" style="371" customWidth="1"/>
    <col min="8197" max="8197" width="6.42578125" style="371" customWidth="1"/>
    <col min="8198" max="8198" width="8.85546875" style="371" customWidth="1"/>
    <col min="8199" max="8199" width="9.42578125" style="371" customWidth="1"/>
    <col min="8200" max="8200" width="11" style="371" customWidth="1"/>
    <col min="8201" max="8448" width="9.140625" style="371"/>
    <col min="8449" max="8449" width="4.28515625" style="371" customWidth="1"/>
    <col min="8450" max="8450" width="11.28515625" style="371" customWidth="1"/>
    <col min="8451" max="8451" width="48" style="371" customWidth="1"/>
    <col min="8452" max="8452" width="6.140625" style="371" customWidth="1"/>
    <col min="8453" max="8453" width="6.42578125" style="371" customWidth="1"/>
    <col min="8454" max="8454" width="8.85546875" style="371" customWidth="1"/>
    <col min="8455" max="8455" width="9.42578125" style="371" customWidth="1"/>
    <col min="8456" max="8456" width="11" style="371" customWidth="1"/>
    <col min="8457" max="8704" width="9.140625" style="371"/>
    <col min="8705" max="8705" width="4.28515625" style="371" customWidth="1"/>
    <col min="8706" max="8706" width="11.28515625" style="371" customWidth="1"/>
    <col min="8707" max="8707" width="48" style="371" customWidth="1"/>
    <col min="8708" max="8708" width="6.140625" style="371" customWidth="1"/>
    <col min="8709" max="8709" width="6.42578125" style="371" customWidth="1"/>
    <col min="8710" max="8710" width="8.85546875" style="371" customWidth="1"/>
    <col min="8711" max="8711" width="9.42578125" style="371" customWidth="1"/>
    <col min="8712" max="8712" width="11" style="371" customWidth="1"/>
    <col min="8713" max="8960" width="9.140625" style="371"/>
    <col min="8961" max="8961" width="4.28515625" style="371" customWidth="1"/>
    <col min="8962" max="8962" width="11.28515625" style="371" customWidth="1"/>
    <col min="8963" max="8963" width="48" style="371" customWidth="1"/>
    <col min="8964" max="8964" width="6.140625" style="371" customWidth="1"/>
    <col min="8965" max="8965" width="6.42578125" style="371" customWidth="1"/>
    <col min="8966" max="8966" width="8.85546875" style="371" customWidth="1"/>
    <col min="8967" max="8967" width="9.42578125" style="371" customWidth="1"/>
    <col min="8968" max="8968" width="11" style="371" customWidth="1"/>
    <col min="8969" max="9216" width="9.140625" style="371"/>
    <col min="9217" max="9217" width="4.28515625" style="371" customWidth="1"/>
    <col min="9218" max="9218" width="11.28515625" style="371" customWidth="1"/>
    <col min="9219" max="9219" width="48" style="371" customWidth="1"/>
    <col min="9220" max="9220" width="6.140625" style="371" customWidth="1"/>
    <col min="9221" max="9221" width="6.42578125" style="371" customWidth="1"/>
    <col min="9222" max="9222" width="8.85546875" style="371" customWidth="1"/>
    <col min="9223" max="9223" width="9.42578125" style="371" customWidth="1"/>
    <col min="9224" max="9224" width="11" style="371" customWidth="1"/>
    <col min="9225" max="9472" width="9.140625" style="371"/>
    <col min="9473" max="9473" width="4.28515625" style="371" customWidth="1"/>
    <col min="9474" max="9474" width="11.28515625" style="371" customWidth="1"/>
    <col min="9475" max="9475" width="48" style="371" customWidth="1"/>
    <col min="9476" max="9476" width="6.140625" style="371" customWidth="1"/>
    <col min="9477" max="9477" width="6.42578125" style="371" customWidth="1"/>
    <col min="9478" max="9478" width="8.85546875" style="371" customWidth="1"/>
    <col min="9479" max="9479" width="9.42578125" style="371" customWidth="1"/>
    <col min="9480" max="9480" width="11" style="371" customWidth="1"/>
    <col min="9481" max="9728" width="9.140625" style="371"/>
    <col min="9729" max="9729" width="4.28515625" style="371" customWidth="1"/>
    <col min="9730" max="9730" width="11.28515625" style="371" customWidth="1"/>
    <col min="9731" max="9731" width="48" style="371" customWidth="1"/>
    <col min="9732" max="9732" width="6.140625" style="371" customWidth="1"/>
    <col min="9733" max="9733" width="6.42578125" style="371" customWidth="1"/>
    <col min="9734" max="9734" width="8.85546875" style="371" customWidth="1"/>
    <col min="9735" max="9735" width="9.42578125" style="371" customWidth="1"/>
    <col min="9736" max="9736" width="11" style="371" customWidth="1"/>
    <col min="9737" max="9984" width="9.140625" style="371"/>
    <col min="9985" max="9985" width="4.28515625" style="371" customWidth="1"/>
    <col min="9986" max="9986" width="11.28515625" style="371" customWidth="1"/>
    <col min="9987" max="9987" width="48" style="371" customWidth="1"/>
    <col min="9988" max="9988" width="6.140625" style="371" customWidth="1"/>
    <col min="9989" max="9989" width="6.42578125" style="371" customWidth="1"/>
    <col min="9990" max="9990" width="8.85546875" style="371" customWidth="1"/>
    <col min="9991" max="9991" width="9.42578125" style="371" customWidth="1"/>
    <col min="9992" max="9992" width="11" style="371" customWidth="1"/>
    <col min="9993" max="10240" width="9.140625" style="371"/>
    <col min="10241" max="10241" width="4.28515625" style="371" customWidth="1"/>
    <col min="10242" max="10242" width="11.28515625" style="371" customWidth="1"/>
    <col min="10243" max="10243" width="48" style="371" customWidth="1"/>
    <col min="10244" max="10244" width="6.140625" style="371" customWidth="1"/>
    <col min="10245" max="10245" width="6.42578125" style="371" customWidth="1"/>
    <col min="10246" max="10246" width="8.85546875" style="371" customWidth="1"/>
    <col min="10247" max="10247" width="9.42578125" style="371" customWidth="1"/>
    <col min="10248" max="10248" width="11" style="371" customWidth="1"/>
    <col min="10249" max="10496" width="9.140625" style="371"/>
    <col min="10497" max="10497" width="4.28515625" style="371" customWidth="1"/>
    <col min="10498" max="10498" width="11.28515625" style="371" customWidth="1"/>
    <col min="10499" max="10499" width="48" style="371" customWidth="1"/>
    <col min="10500" max="10500" width="6.140625" style="371" customWidth="1"/>
    <col min="10501" max="10501" width="6.42578125" style="371" customWidth="1"/>
    <col min="10502" max="10502" width="8.85546875" style="371" customWidth="1"/>
    <col min="10503" max="10503" width="9.42578125" style="371" customWidth="1"/>
    <col min="10504" max="10504" width="11" style="371" customWidth="1"/>
    <col min="10505" max="10752" width="9.140625" style="371"/>
    <col min="10753" max="10753" width="4.28515625" style="371" customWidth="1"/>
    <col min="10754" max="10754" width="11.28515625" style="371" customWidth="1"/>
    <col min="10755" max="10755" width="48" style="371" customWidth="1"/>
    <col min="10756" max="10756" width="6.140625" style="371" customWidth="1"/>
    <col min="10757" max="10757" width="6.42578125" style="371" customWidth="1"/>
    <col min="10758" max="10758" width="8.85546875" style="371" customWidth="1"/>
    <col min="10759" max="10759" width="9.42578125" style="371" customWidth="1"/>
    <col min="10760" max="10760" width="11" style="371" customWidth="1"/>
    <col min="10761" max="11008" width="9.140625" style="371"/>
    <col min="11009" max="11009" width="4.28515625" style="371" customWidth="1"/>
    <col min="11010" max="11010" width="11.28515625" style="371" customWidth="1"/>
    <col min="11011" max="11011" width="48" style="371" customWidth="1"/>
    <col min="11012" max="11012" width="6.140625" style="371" customWidth="1"/>
    <col min="11013" max="11013" width="6.42578125" style="371" customWidth="1"/>
    <col min="11014" max="11014" width="8.85546875" style="371" customWidth="1"/>
    <col min="11015" max="11015" width="9.42578125" style="371" customWidth="1"/>
    <col min="11016" max="11016" width="11" style="371" customWidth="1"/>
    <col min="11017" max="11264" width="9.140625" style="371"/>
    <col min="11265" max="11265" width="4.28515625" style="371" customWidth="1"/>
    <col min="11266" max="11266" width="11.28515625" style="371" customWidth="1"/>
    <col min="11267" max="11267" width="48" style="371" customWidth="1"/>
    <col min="11268" max="11268" width="6.140625" style="371" customWidth="1"/>
    <col min="11269" max="11269" width="6.42578125" style="371" customWidth="1"/>
    <col min="11270" max="11270" width="8.85546875" style="371" customWidth="1"/>
    <col min="11271" max="11271" width="9.42578125" style="371" customWidth="1"/>
    <col min="11272" max="11272" width="11" style="371" customWidth="1"/>
    <col min="11273" max="11520" width="9.140625" style="371"/>
    <col min="11521" max="11521" width="4.28515625" style="371" customWidth="1"/>
    <col min="11522" max="11522" width="11.28515625" style="371" customWidth="1"/>
    <col min="11523" max="11523" width="48" style="371" customWidth="1"/>
    <col min="11524" max="11524" width="6.140625" style="371" customWidth="1"/>
    <col min="11525" max="11525" width="6.42578125" style="371" customWidth="1"/>
    <col min="11526" max="11526" width="8.85546875" style="371" customWidth="1"/>
    <col min="11527" max="11527" width="9.42578125" style="371" customWidth="1"/>
    <col min="11528" max="11528" width="11" style="371" customWidth="1"/>
    <col min="11529" max="11776" width="9.140625" style="371"/>
    <col min="11777" max="11777" width="4.28515625" style="371" customWidth="1"/>
    <col min="11778" max="11778" width="11.28515625" style="371" customWidth="1"/>
    <col min="11779" max="11779" width="48" style="371" customWidth="1"/>
    <col min="11780" max="11780" width="6.140625" style="371" customWidth="1"/>
    <col min="11781" max="11781" width="6.42578125" style="371" customWidth="1"/>
    <col min="11782" max="11782" width="8.85546875" style="371" customWidth="1"/>
    <col min="11783" max="11783" width="9.42578125" style="371" customWidth="1"/>
    <col min="11784" max="11784" width="11" style="371" customWidth="1"/>
    <col min="11785" max="12032" width="9.140625" style="371"/>
    <col min="12033" max="12033" width="4.28515625" style="371" customWidth="1"/>
    <col min="12034" max="12034" width="11.28515625" style="371" customWidth="1"/>
    <col min="12035" max="12035" width="48" style="371" customWidth="1"/>
    <col min="12036" max="12036" width="6.140625" style="371" customWidth="1"/>
    <col min="12037" max="12037" width="6.42578125" style="371" customWidth="1"/>
    <col min="12038" max="12038" width="8.85546875" style="371" customWidth="1"/>
    <col min="12039" max="12039" width="9.42578125" style="371" customWidth="1"/>
    <col min="12040" max="12040" width="11" style="371" customWidth="1"/>
    <col min="12041" max="12288" width="9.140625" style="371"/>
    <col min="12289" max="12289" width="4.28515625" style="371" customWidth="1"/>
    <col min="12290" max="12290" width="11.28515625" style="371" customWidth="1"/>
    <col min="12291" max="12291" width="48" style="371" customWidth="1"/>
    <col min="12292" max="12292" width="6.140625" style="371" customWidth="1"/>
    <col min="12293" max="12293" width="6.42578125" style="371" customWidth="1"/>
    <col min="12294" max="12294" width="8.85546875" style="371" customWidth="1"/>
    <col min="12295" max="12295" width="9.42578125" style="371" customWidth="1"/>
    <col min="12296" max="12296" width="11" style="371" customWidth="1"/>
    <col min="12297" max="12544" width="9.140625" style="371"/>
    <col min="12545" max="12545" width="4.28515625" style="371" customWidth="1"/>
    <col min="12546" max="12546" width="11.28515625" style="371" customWidth="1"/>
    <col min="12547" max="12547" width="48" style="371" customWidth="1"/>
    <col min="12548" max="12548" width="6.140625" style="371" customWidth="1"/>
    <col min="12549" max="12549" width="6.42578125" style="371" customWidth="1"/>
    <col min="12550" max="12550" width="8.85546875" style="371" customWidth="1"/>
    <col min="12551" max="12551" width="9.42578125" style="371" customWidth="1"/>
    <col min="12552" max="12552" width="11" style="371" customWidth="1"/>
    <col min="12553" max="12800" width="9.140625" style="371"/>
    <col min="12801" max="12801" width="4.28515625" style="371" customWidth="1"/>
    <col min="12802" max="12802" width="11.28515625" style="371" customWidth="1"/>
    <col min="12803" max="12803" width="48" style="371" customWidth="1"/>
    <col min="12804" max="12804" width="6.140625" style="371" customWidth="1"/>
    <col min="12805" max="12805" width="6.42578125" style="371" customWidth="1"/>
    <col min="12806" max="12806" width="8.85546875" style="371" customWidth="1"/>
    <col min="12807" max="12807" width="9.42578125" style="371" customWidth="1"/>
    <col min="12808" max="12808" width="11" style="371" customWidth="1"/>
    <col min="12809" max="13056" width="9.140625" style="371"/>
    <col min="13057" max="13057" width="4.28515625" style="371" customWidth="1"/>
    <col min="13058" max="13058" width="11.28515625" style="371" customWidth="1"/>
    <col min="13059" max="13059" width="48" style="371" customWidth="1"/>
    <col min="13060" max="13060" width="6.140625" style="371" customWidth="1"/>
    <col min="13061" max="13061" width="6.42578125" style="371" customWidth="1"/>
    <col min="13062" max="13062" width="8.85546875" style="371" customWidth="1"/>
    <col min="13063" max="13063" width="9.42578125" style="371" customWidth="1"/>
    <col min="13064" max="13064" width="11" style="371" customWidth="1"/>
    <col min="13065" max="13312" width="9.140625" style="371"/>
    <col min="13313" max="13313" width="4.28515625" style="371" customWidth="1"/>
    <col min="13314" max="13314" width="11.28515625" style="371" customWidth="1"/>
    <col min="13315" max="13315" width="48" style="371" customWidth="1"/>
    <col min="13316" max="13316" width="6.140625" style="371" customWidth="1"/>
    <col min="13317" max="13317" width="6.42578125" style="371" customWidth="1"/>
    <col min="13318" max="13318" width="8.85546875" style="371" customWidth="1"/>
    <col min="13319" max="13319" width="9.42578125" style="371" customWidth="1"/>
    <col min="13320" max="13320" width="11" style="371" customWidth="1"/>
    <col min="13321" max="13568" width="9.140625" style="371"/>
    <col min="13569" max="13569" width="4.28515625" style="371" customWidth="1"/>
    <col min="13570" max="13570" width="11.28515625" style="371" customWidth="1"/>
    <col min="13571" max="13571" width="48" style="371" customWidth="1"/>
    <col min="13572" max="13572" width="6.140625" style="371" customWidth="1"/>
    <col min="13573" max="13573" width="6.42578125" style="371" customWidth="1"/>
    <col min="13574" max="13574" width="8.85546875" style="371" customWidth="1"/>
    <col min="13575" max="13575" width="9.42578125" style="371" customWidth="1"/>
    <col min="13576" max="13576" width="11" style="371" customWidth="1"/>
    <col min="13577" max="13824" width="9.140625" style="371"/>
    <col min="13825" max="13825" width="4.28515625" style="371" customWidth="1"/>
    <col min="13826" max="13826" width="11.28515625" style="371" customWidth="1"/>
    <col min="13827" max="13827" width="48" style="371" customWidth="1"/>
    <col min="13828" max="13828" width="6.140625" style="371" customWidth="1"/>
    <col min="13829" max="13829" width="6.42578125" style="371" customWidth="1"/>
    <col min="13830" max="13830" width="8.85546875" style="371" customWidth="1"/>
    <col min="13831" max="13831" width="9.42578125" style="371" customWidth="1"/>
    <col min="13832" max="13832" width="11" style="371" customWidth="1"/>
    <col min="13833" max="14080" width="9.140625" style="371"/>
    <col min="14081" max="14081" width="4.28515625" style="371" customWidth="1"/>
    <col min="14082" max="14082" width="11.28515625" style="371" customWidth="1"/>
    <col min="14083" max="14083" width="48" style="371" customWidth="1"/>
    <col min="14084" max="14084" width="6.140625" style="371" customWidth="1"/>
    <col min="14085" max="14085" width="6.42578125" style="371" customWidth="1"/>
    <col min="14086" max="14086" width="8.85546875" style="371" customWidth="1"/>
    <col min="14087" max="14087" width="9.42578125" style="371" customWidth="1"/>
    <col min="14088" max="14088" width="11" style="371" customWidth="1"/>
    <col min="14089" max="14336" width="9.140625" style="371"/>
    <col min="14337" max="14337" width="4.28515625" style="371" customWidth="1"/>
    <col min="14338" max="14338" width="11.28515625" style="371" customWidth="1"/>
    <col min="14339" max="14339" width="48" style="371" customWidth="1"/>
    <col min="14340" max="14340" width="6.140625" style="371" customWidth="1"/>
    <col min="14341" max="14341" width="6.42578125" style="371" customWidth="1"/>
    <col min="14342" max="14342" width="8.85546875" style="371" customWidth="1"/>
    <col min="14343" max="14343" width="9.42578125" style="371" customWidth="1"/>
    <col min="14344" max="14344" width="11" style="371" customWidth="1"/>
    <col min="14345" max="14592" width="9.140625" style="371"/>
    <col min="14593" max="14593" width="4.28515625" style="371" customWidth="1"/>
    <col min="14594" max="14594" width="11.28515625" style="371" customWidth="1"/>
    <col min="14595" max="14595" width="48" style="371" customWidth="1"/>
    <col min="14596" max="14596" width="6.140625" style="371" customWidth="1"/>
    <col min="14597" max="14597" width="6.42578125" style="371" customWidth="1"/>
    <col min="14598" max="14598" width="8.85546875" style="371" customWidth="1"/>
    <col min="14599" max="14599" width="9.42578125" style="371" customWidth="1"/>
    <col min="14600" max="14600" width="11" style="371" customWidth="1"/>
    <col min="14601" max="14848" width="9.140625" style="371"/>
    <col min="14849" max="14849" width="4.28515625" style="371" customWidth="1"/>
    <col min="14850" max="14850" width="11.28515625" style="371" customWidth="1"/>
    <col min="14851" max="14851" width="48" style="371" customWidth="1"/>
    <col min="14852" max="14852" width="6.140625" style="371" customWidth="1"/>
    <col min="14853" max="14853" width="6.42578125" style="371" customWidth="1"/>
    <col min="14854" max="14854" width="8.85546875" style="371" customWidth="1"/>
    <col min="14855" max="14855" width="9.42578125" style="371" customWidth="1"/>
    <col min="14856" max="14856" width="11" style="371" customWidth="1"/>
    <col min="14857" max="15104" width="9.140625" style="371"/>
    <col min="15105" max="15105" width="4.28515625" style="371" customWidth="1"/>
    <col min="15106" max="15106" width="11.28515625" style="371" customWidth="1"/>
    <col min="15107" max="15107" width="48" style="371" customWidth="1"/>
    <col min="15108" max="15108" width="6.140625" style="371" customWidth="1"/>
    <col min="15109" max="15109" width="6.42578125" style="371" customWidth="1"/>
    <col min="15110" max="15110" width="8.85546875" style="371" customWidth="1"/>
    <col min="15111" max="15111" width="9.42578125" style="371" customWidth="1"/>
    <col min="15112" max="15112" width="11" style="371" customWidth="1"/>
    <col min="15113" max="15360" width="9.140625" style="371"/>
    <col min="15361" max="15361" width="4.28515625" style="371" customWidth="1"/>
    <col min="15362" max="15362" width="11.28515625" style="371" customWidth="1"/>
    <col min="15363" max="15363" width="48" style="371" customWidth="1"/>
    <col min="15364" max="15364" width="6.140625" style="371" customWidth="1"/>
    <col min="15365" max="15365" width="6.42578125" style="371" customWidth="1"/>
    <col min="15366" max="15366" width="8.85546875" style="371" customWidth="1"/>
    <col min="15367" max="15367" width="9.42578125" style="371" customWidth="1"/>
    <col min="15368" max="15368" width="11" style="371" customWidth="1"/>
    <col min="15369" max="15616" width="9.140625" style="371"/>
    <col min="15617" max="15617" width="4.28515625" style="371" customWidth="1"/>
    <col min="15618" max="15618" width="11.28515625" style="371" customWidth="1"/>
    <col min="15619" max="15619" width="48" style="371" customWidth="1"/>
    <col min="15620" max="15620" width="6.140625" style="371" customWidth="1"/>
    <col min="15621" max="15621" width="6.42578125" style="371" customWidth="1"/>
    <col min="15622" max="15622" width="8.85546875" style="371" customWidth="1"/>
    <col min="15623" max="15623" width="9.42578125" style="371" customWidth="1"/>
    <col min="15624" max="15624" width="11" style="371" customWidth="1"/>
    <col min="15625" max="15872" width="9.140625" style="371"/>
    <col min="15873" max="15873" width="4.28515625" style="371" customWidth="1"/>
    <col min="15874" max="15874" width="11.28515625" style="371" customWidth="1"/>
    <col min="15875" max="15875" width="48" style="371" customWidth="1"/>
    <col min="15876" max="15876" width="6.140625" style="371" customWidth="1"/>
    <col min="15877" max="15877" width="6.42578125" style="371" customWidth="1"/>
    <col min="15878" max="15878" width="8.85546875" style="371" customWidth="1"/>
    <col min="15879" max="15879" width="9.42578125" style="371" customWidth="1"/>
    <col min="15880" max="15880" width="11" style="371" customWidth="1"/>
    <col min="15881" max="16128" width="9.140625" style="371"/>
    <col min="16129" max="16129" width="4.28515625" style="371" customWidth="1"/>
    <col min="16130" max="16130" width="11.28515625" style="371" customWidth="1"/>
    <col min="16131" max="16131" width="48" style="371" customWidth="1"/>
    <col min="16132" max="16132" width="6.140625" style="371" customWidth="1"/>
    <col min="16133" max="16133" width="6.42578125" style="371" customWidth="1"/>
    <col min="16134" max="16134" width="8.85546875" style="371" customWidth="1"/>
    <col min="16135" max="16135" width="9.42578125" style="371" customWidth="1"/>
    <col min="16136" max="16136" width="11" style="371" customWidth="1"/>
    <col min="16137" max="16384" width="9.140625" style="371"/>
  </cols>
  <sheetData>
    <row r="1" spans="1:13" ht="15.75">
      <c r="B1" s="378" t="s">
        <v>1467</v>
      </c>
      <c r="C1" s="379" t="s">
        <v>2133</v>
      </c>
      <c r="D1" s="380"/>
      <c r="E1" s="380"/>
      <c r="F1" s="380"/>
      <c r="G1" s="380"/>
      <c r="H1" s="381"/>
    </row>
    <row r="2" spans="1:13" ht="15.75">
      <c r="B2" s="382"/>
      <c r="C2" s="383" t="s">
        <v>2130</v>
      </c>
      <c r="H2" s="384"/>
    </row>
    <row r="3" spans="1:13" ht="15">
      <c r="B3" s="382" t="s">
        <v>1468</v>
      </c>
      <c r="C3" s="385" t="s">
        <v>2131</v>
      </c>
      <c r="H3" s="384"/>
    </row>
    <row r="4" spans="1:13">
      <c r="B4" s="382" t="s">
        <v>1469</v>
      </c>
      <c r="C4" s="386" t="s">
        <v>2132</v>
      </c>
      <c r="H4" s="384"/>
    </row>
    <row r="5" spans="1:13" ht="15">
      <c r="B5" s="387" t="s">
        <v>1470</v>
      </c>
      <c r="C5" s="388" t="s">
        <v>1471</v>
      </c>
      <c r="D5" s="389"/>
      <c r="E5" s="389"/>
      <c r="F5" s="389"/>
      <c r="G5" s="389"/>
      <c r="H5" s="390"/>
    </row>
    <row r="6" spans="1:13">
      <c r="C6" s="386"/>
    </row>
    <row r="8" spans="1:13" ht="15">
      <c r="A8" s="375"/>
      <c r="B8" s="392" t="s">
        <v>1472</v>
      </c>
    </row>
    <row r="9" spans="1:13" ht="15">
      <c r="A9" s="375"/>
      <c r="B9" s="392" t="s">
        <v>1473</v>
      </c>
      <c r="C9" s="373"/>
      <c r="D9" s="373"/>
      <c r="E9" s="373"/>
      <c r="F9" s="373"/>
      <c r="G9" s="373"/>
      <c r="H9" s="393"/>
      <c r="I9" s="373"/>
      <c r="J9" s="373"/>
    </row>
    <row r="10" spans="1:13">
      <c r="A10" s="375"/>
      <c r="B10" s="394" t="s">
        <v>1474</v>
      </c>
      <c r="C10" s="395" t="s">
        <v>1136</v>
      </c>
      <c r="D10" s="395" t="s">
        <v>1475</v>
      </c>
      <c r="E10" s="395" t="s">
        <v>1476</v>
      </c>
      <c r="F10" s="691" t="s">
        <v>1477</v>
      </c>
      <c r="G10" s="692"/>
      <c r="H10" s="396" t="s">
        <v>1478</v>
      </c>
      <c r="I10" s="395" t="s">
        <v>1479</v>
      </c>
      <c r="J10" s="397" t="s">
        <v>1480</v>
      </c>
      <c r="K10" s="382"/>
    </row>
    <row r="11" spans="1:13">
      <c r="A11" s="375"/>
      <c r="B11" s="398" t="s">
        <v>1481</v>
      </c>
      <c r="C11" s="399"/>
      <c r="D11" s="399"/>
      <c r="E11" s="399"/>
      <c r="F11" s="400" t="s">
        <v>1141</v>
      </c>
      <c r="G11" s="398" t="s">
        <v>1142</v>
      </c>
      <c r="H11" s="401" t="s">
        <v>1482</v>
      </c>
      <c r="I11" s="398" t="s">
        <v>1483</v>
      </c>
      <c r="J11" s="402" t="s">
        <v>1483</v>
      </c>
      <c r="K11" s="382"/>
    </row>
    <row r="12" spans="1:13">
      <c r="A12" s="375"/>
      <c r="C12" s="403" t="s">
        <v>1484</v>
      </c>
      <c r="D12" s="378"/>
      <c r="E12" s="404"/>
      <c r="F12" s="405"/>
      <c r="G12" s="406"/>
      <c r="H12" s="407"/>
      <c r="I12" s="382"/>
    </row>
    <row r="13" spans="1:13">
      <c r="A13" s="375">
        <v>1</v>
      </c>
      <c r="B13" s="371" t="s">
        <v>1485</v>
      </c>
      <c r="C13" s="408" t="s">
        <v>1486</v>
      </c>
      <c r="D13" s="409" t="s">
        <v>1487</v>
      </c>
      <c r="E13" s="410">
        <v>50</v>
      </c>
      <c r="F13" s="411"/>
      <c r="G13" s="406"/>
      <c r="H13" s="412">
        <f>PRODUCT(K13:L13)</f>
        <v>0</v>
      </c>
      <c r="I13" s="413">
        <v>0.01</v>
      </c>
      <c r="J13" s="414">
        <f>PRODUCT(L13:M13)</f>
        <v>0.5</v>
      </c>
      <c r="K13" s="371">
        <f>SUM(F13:G13)</f>
        <v>0</v>
      </c>
      <c r="L13" s="371">
        <f>SUM(E13)</f>
        <v>50</v>
      </c>
      <c r="M13" s="371">
        <f>SUM(I13)</f>
        <v>0.01</v>
      </c>
    </row>
    <row r="14" spans="1:13">
      <c r="A14" s="375"/>
      <c r="C14" s="403" t="s">
        <v>1488</v>
      </c>
      <c r="D14" s="382"/>
      <c r="E14" s="410"/>
      <c r="F14" s="411"/>
      <c r="G14" s="415"/>
      <c r="H14" s="407"/>
      <c r="I14" s="382"/>
    </row>
    <row r="15" spans="1:13">
      <c r="A15" s="375">
        <v>2</v>
      </c>
      <c r="B15" s="371" t="s">
        <v>1489</v>
      </c>
      <c r="C15" s="408" t="s">
        <v>1490</v>
      </c>
      <c r="D15" s="409" t="s">
        <v>1487</v>
      </c>
      <c r="E15" s="410">
        <v>40</v>
      </c>
      <c r="F15" s="411"/>
      <c r="G15" s="415"/>
      <c r="H15" s="412">
        <f>PRODUCT(K15:L15)</f>
        <v>0</v>
      </c>
      <c r="I15" s="413">
        <v>0.01</v>
      </c>
      <c r="J15" s="414">
        <f>PRODUCT(L15:M15)</f>
        <v>0.4</v>
      </c>
      <c r="K15" s="371">
        <f>SUM(F15:G15)</f>
        <v>0</v>
      </c>
      <c r="L15" s="371">
        <f>SUM(E15)</f>
        <v>40</v>
      </c>
      <c r="M15" s="371">
        <f>SUM(I15)</f>
        <v>0.01</v>
      </c>
    </row>
    <row r="16" spans="1:13">
      <c r="A16" s="375"/>
      <c r="C16" s="403" t="s">
        <v>1491</v>
      </c>
      <c r="D16" s="382"/>
      <c r="E16" s="410"/>
      <c r="F16" s="411"/>
      <c r="G16" s="415"/>
      <c r="H16" s="407"/>
      <c r="I16" s="382"/>
    </row>
    <row r="17" spans="1:13">
      <c r="A17" s="375">
        <v>3</v>
      </c>
      <c r="B17" s="371" t="s">
        <v>1492</v>
      </c>
      <c r="C17" s="408" t="s">
        <v>1493</v>
      </c>
      <c r="D17" s="409" t="s">
        <v>1487</v>
      </c>
      <c r="E17" s="410">
        <v>50</v>
      </c>
      <c r="F17" s="411"/>
      <c r="G17" s="415"/>
      <c r="H17" s="412">
        <f>PRODUCT(K17:L17)</f>
        <v>0</v>
      </c>
      <c r="I17" s="413">
        <v>5.0000000000000001E-3</v>
      </c>
      <c r="J17" s="414">
        <f>PRODUCT(L17:M17)</f>
        <v>0.25</v>
      </c>
      <c r="K17" s="371">
        <f>SUM(F17:G17)</f>
        <v>0</v>
      </c>
      <c r="L17" s="371">
        <f>SUM(E17)</f>
        <v>50</v>
      </c>
      <c r="M17" s="371">
        <f>SUM(I17)</f>
        <v>5.0000000000000001E-3</v>
      </c>
    </row>
    <row r="18" spans="1:13">
      <c r="A18" s="375"/>
      <c r="C18" s="403" t="s">
        <v>1494</v>
      </c>
      <c r="D18" s="409"/>
      <c r="E18" s="410"/>
      <c r="F18" s="411"/>
      <c r="G18" s="415"/>
      <c r="H18" s="412"/>
      <c r="I18" s="413"/>
      <c r="J18" s="414"/>
    </row>
    <row r="19" spans="1:13">
      <c r="A19" s="375">
        <v>4</v>
      </c>
      <c r="B19" s="371" t="s">
        <v>1495</v>
      </c>
      <c r="C19" s="408" t="s">
        <v>1496</v>
      </c>
      <c r="D19" s="409" t="s">
        <v>219</v>
      </c>
      <c r="E19" s="410">
        <v>160</v>
      </c>
      <c r="F19" s="411"/>
      <c r="G19" s="415"/>
      <c r="H19" s="412">
        <f>PRODUCT(K19:L19)</f>
        <v>0</v>
      </c>
      <c r="I19" s="413">
        <v>5.0000000000000001E-3</v>
      </c>
      <c r="J19" s="414">
        <f>PRODUCT(L19:M19)</f>
        <v>0.8</v>
      </c>
      <c r="K19" s="371">
        <f>SUM(F19:G19)</f>
        <v>0</v>
      </c>
      <c r="L19" s="371">
        <f>SUM(E19)</f>
        <v>160</v>
      </c>
      <c r="M19" s="371">
        <f>SUM(I19)</f>
        <v>5.0000000000000001E-3</v>
      </c>
    </row>
    <row r="20" spans="1:13">
      <c r="A20" s="375"/>
      <c r="C20" s="403" t="s">
        <v>1497</v>
      </c>
      <c r="D20" s="409"/>
      <c r="E20" s="410"/>
      <c r="F20" s="411"/>
      <c r="G20" s="415"/>
      <c r="H20" s="412"/>
      <c r="I20" s="413"/>
      <c r="J20" s="414"/>
    </row>
    <row r="21" spans="1:13">
      <c r="A21" s="375">
        <v>5</v>
      </c>
      <c r="B21" s="371" t="s">
        <v>1498</v>
      </c>
      <c r="C21" s="408" t="s">
        <v>1499</v>
      </c>
      <c r="D21" s="409" t="s">
        <v>219</v>
      </c>
      <c r="E21" s="410">
        <v>160</v>
      </c>
      <c r="F21" s="411"/>
      <c r="G21" s="415"/>
      <c r="H21" s="412">
        <f>PRODUCT(K21:L21)</f>
        <v>0</v>
      </c>
      <c r="I21" s="413">
        <v>1E-3</v>
      </c>
      <c r="J21" s="414">
        <f>PRODUCT(L21:M21)</f>
        <v>0.16</v>
      </c>
      <c r="K21" s="371">
        <f>SUM(F21:G21)</f>
        <v>0</v>
      </c>
      <c r="L21" s="371">
        <f>SUM(E21)</f>
        <v>160</v>
      </c>
      <c r="M21" s="371">
        <f>SUM(I21)</f>
        <v>1E-3</v>
      </c>
    </row>
    <row r="22" spans="1:13">
      <c r="A22" s="375"/>
      <c r="C22" s="403" t="s">
        <v>1500</v>
      </c>
      <c r="D22" s="409"/>
      <c r="E22" s="410"/>
      <c r="F22" s="411"/>
      <c r="G22" s="415"/>
      <c r="H22" s="412"/>
      <c r="I22" s="413"/>
      <c r="J22" s="414"/>
    </row>
    <row r="23" spans="1:13">
      <c r="A23" s="375">
        <v>6</v>
      </c>
      <c r="B23" s="371" t="s">
        <v>1501</v>
      </c>
      <c r="C23" s="408" t="s">
        <v>1502</v>
      </c>
      <c r="D23" s="409" t="s">
        <v>805</v>
      </c>
      <c r="E23" s="410">
        <v>8</v>
      </c>
      <c r="F23" s="411"/>
      <c r="G23" s="415"/>
      <c r="H23" s="412">
        <f>PRODUCT(K23:L23)</f>
        <v>0</v>
      </c>
      <c r="I23" s="413">
        <v>1E-3</v>
      </c>
      <c r="J23" s="414">
        <f>PRODUCT(L23:M23)</f>
        <v>8.0000000000000002E-3</v>
      </c>
      <c r="K23" s="371">
        <f>SUM(F23:G23)</f>
        <v>0</v>
      </c>
      <c r="L23" s="371">
        <f>SUM(E23)</f>
        <v>8</v>
      </c>
      <c r="M23" s="371">
        <f>SUM(I23)</f>
        <v>1E-3</v>
      </c>
    </row>
    <row r="24" spans="1:13">
      <c r="A24" s="375">
        <v>7</v>
      </c>
      <c r="B24" s="371" t="s">
        <v>1503</v>
      </c>
      <c r="C24" s="408" t="s">
        <v>1504</v>
      </c>
      <c r="D24" s="409" t="s">
        <v>805</v>
      </c>
      <c r="E24" s="410">
        <v>20</v>
      </c>
      <c r="F24" s="411"/>
      <c r="G24" s="415"/>
      <c r="H24" s="412">
        <f>PRODUCT(K24:L24)</f>
        <v>0</v>
      </c>
      <c r="I24" s="413">
        <v>1E-3</v>
      </c>
      <c r="J24" s="414">
        <f>PRODUCT(L24:M24)</f>
        <v>0.02</v>
      </c>
      <c r="K24" s="371">
        <f>SUM(F24:G24)</f>
        <v>0</v>
      </c>
      <c r="L24" s="371">
        <f>SUM(E24)</f>
        <v>20</v>
      </c>
      <c r="M24" s="371">
        <f>SUM(I24)</f>
        <v>1E-3</v>
      </c>
    </row>
    <row r="25" spans="1:13">
      <c r="A25" s="375"/>
      <c r="C25" s="403" t="s">
        <v>1505</v>
      </c>
      <c r="D25" s="382"/>
      <c r="E25" s="410"/>
      <c r="F25" s="411"/>
      <c r="G25" s="415"/>
      <c r="H25" s="407"/>
      <c r="I25" s="382"/>
    </row>
    <row r="26" spans="1:13">
      <c r="A26" s="375">
        <v>8</v>
      </c>
      <c r="B26" s="371" t="s">
        <v>1506</v>
      </c>
      <c r="C26" s="408" t="s">
        <v>1507</v>
      </c>
      <c r="D26" s="409" t="s">
        <v>1508</v>
      </c>
      <c r="E26" s="410">
        <v>8</v>
      </c>
      <c r="F26" s="411"/>
      <c r="G26" s="415"/>
      <c r="H26" s="412">
        <f>PRODUCT(K26:L26)</f>
        <v>0</v>
      </c>
      <c r="I26" s="413">
        <v>3.5000000000000003E-2</v>
      </c>
      <c r="J26" s="414">
        <f>PRODUCT(L26:M26)</f>
        <v>0.28000000000000003</v>
      </c>
      <c r="K26" s="371">
        <f>SUM(F26:G26)</f>
        <v>0</v>
      </c>
      <c r="L26" s="371">
        <f>SUM(E26)</f>
        <v>8</v>
      </c>
      <c r="M26" s="371">
        <f>SUM(I26)</f>
        <v>3.5000000000000003E-2</v>
      </c>
    </row>
    <row r="27" spans="1:13">
      <c r="A27" s="375"/>
      <c r="C27" s="403" t="s">
        <v>1509</v>
      </c>
      <c r="D27" s="382"/>
      <c r="E27" s="410"/>
      <c r="F27" s="411"/>
      <c r="G27" s="415"/>
      <c r="H27" s="407"/>
      <c r="I27" s="382"/>
    </row>
    <row r="28" spans="1:13">
      <c r="A28" s="375">
        <v>9</v>
      </c>
      <c r="B28" s="371" t="s">
        <v>1510</v>
      </c>
      <c r="C28" s="408" t="s">
        <v>1511</v>
      </c>
      <c r="D28" s="409" t="s">
        <v>1508</v>
      </c>
      <c r="E28" s="410">
        <v>11</v>
      </c>
      <c r="F28" s="411"/>
      <c r="G28" s="415"/>
      <c r="H28" s="412">
        <f>PRODUCT(K28:L28)</f>
        <v>0</v>
      </c>
      <c r="I28" s="413">
        <v>1.7999999999999999E-2</v>
      </c>
      <c r="J28" s="414">
        <f>PRODUCT(L28:M28)</f>
        <v>0.19799999999999998</v>
      </c>
      <c r="K28" s="371">
        <f>SUM(F28:G28)</f>
        <v>0</v>
      </c>
      <c r="L28" s="371">
        <f>SUM(E28)</f>
        <v>11</v>
      </c>
      <c r="M28" s="371">
        <f>SUM(I28)</f>
        <v>1.7999999999999999E-2</v>
      </c>
    </row>
    <row r="29" spans="1:13">
      <c r="A29" s="375"/>
      <c r="C29" s="403" t="s">
        <v>1512</v>
      </c>
      <c r="D29" s="409"/>
      <c r="E29" s="410"/>
      <c r="F29" s="411"/>
      <c r="G29" s="415"/>
      <c r="H29" s="412"/>
      <c r="I29" s="413"/>
      <c r="J29" s="414"/>
    </row>
    <row r="30" spans="1:13">
      <c r="A30" s="375">
        <v>10</v>
      </c>
      <c r="B30" s="371" t="s">
        <v>1513</v>
      </c>
      <c r="C30" s="416" t="s">
        <v>1514</v>
      </c>
      <c r="D30" s="409" t="s">
        <v>1508</v>
      </c>
      <c r="E30" s="410">
        <v>1</v>
      </c>
      <c r="F30" s="411"/>
      <c r="G30" s="415"/>
      <c r="H30" s="412">
        <f>PRODUCT(K30:L30)</f>
        <v>0</v>
      </c>
      <c r="I30" s="413">
        <v>0.05</v>
      </c>
      <c r="J30" s="414">
        <f>PRODUCT(L30:M30)</f>
        <v>0.05</v>
      </c>
      <c r="K30" s="371">
        <f>SUM(F30:G30)</f>
        <v>0</v>
      </c>
      <c r="L30" s="371">
        <f>SUM(E30)</f>
        <v>1</v>
      </c>
      <c r="M30" s="371">
        <f>SUM(I30)</f>
        <v>0.05</v>
      </c>
    </row>
    <row r="31" spans="1:13">
      <c r="A31" s="375"/>
      <c r="C31" s="403" t="s">
        <v>1515</v>
      </c>
      <c r="D31" s="409"/>
      <c r="E31" s="410"/>
      <c r="F31" s="411"/>
      <c r="G31" s="415"/>
      <c r="H31" s="412"/>
      <c r="I31" s="413"/>
      <c r="J31" s="414"/>
    </row>
    <row r="32" spans="1:13">
      <c r="A32" s="375">
        <v>11</v>
      </c>
      <c r="B32" s="371" t="s">
        <v>1516</v>
      </c>
      <c r="C32" s="416" t="s">
        <v>1517</v>
      </c>
      <c r="D32" s="409" t="s">
        <v>1508</v>
      </c>
      <c r="E32" s="410">
        <v>4</v>
      </c>
      <c r="F32" s="411"/>
      <c r="G32" s="415"/>
      <c r="H32" s="412">
        <f>PRODUCT(K32:L32)</f>
        <v>0</v>
      </c>
      <c r="I32" s="413">
        <v>1.4999999999999999E-2</v>
      </c>
      <c r="J32" s="414">
        <f>PRODUCT(L32:M32)</f>
        <v>0.06</v>
      </c>
      <c r="K32" s="371">
        <f>SUM(F32:G32)</f>
        <v>0</v>
      </c>
      <c r="L32" s="371">
        <f>SUM(E32)</f>
        <v>4</v>
      </c>
      <c r="M32" s="371">
        <f>SUM(I32)</f>
        <v>1.4999999999999999E-2</v>
      </c>
    </row>
    <row r="33" spans="1:13">
      <c r="A33" s="375"/>
      <c r="C33" s="403" t="s">
        <v>1518</v>
      </c>
      <c r="D33" s="382"/>
      <c r="E33" s="410"/>
      <c r="F33" s="411"/>
      <c r="G33" s="415"/>
      <c r="H33" s="407"/>
      <c r="I33" s="382"/>
    </row>
    <row r="34" spans="1:13">
      <c r="A34" s="375">
        <v>12</v>
      </c>
      <c r="B34" s="371" t="s">
        <v>1519</v>
      </c>
      <c r="C34" s="408" t="s">
        <v>1520</v>
      </c>
      <c r="D34" s="409" t="s">
        <v>1508</v>
      </c>
      <c r="E34" s="410">
        <v>1</v>
      </c>
      <c r="F34" s="411"/>
      <c r="G34" s="415"/>
      <c r="H34" s="412">
        <f>PRODUCT(K34:L34)</f>
        <v>0</v>
      </c>
      <c r="I34" s="413">
        <v>3.5000000000000003E-2</v>
      </c>
      <c r="J34" s="414">
        <f>PRODUCT(L34:M34)</f>
        <v>3.5000000000000003E-2</v>
      </c>
      <c r="K34" s="371">
        <f>SUM(F34:G34)</f>
        <v>0</v>
      </c>
      <c r="L34" s="371">
        <f>SUM(E34)</f>
        <v>1</v>
      </c>
      <c r="M34" s="371">
        <f>SUM(I34)</f>
        <v>3.5000000000000003E-2</v>
      </c>
    </row>
    <row r="35" spans="1:13">
      <c r="A35" s="375"/>
      <c r="C35" s="403" t="s">
        <v>1521</v>
      </c>
      <c r="D35" s="382"/>
      <c r="E35" s="410"/>
      <c r="F35" s="411"/>
      <c r="G35" s="415"/>
      <c r="H35" s="407"/>
      <c r="I35" s="382"/>
    </row>
    <row r="36" spans="1:13">
      <c r="A36" s="375">
        <v>13</v>
      </c>
      <c r="B36" s="371" t="s">
        <v>1522</v>
      </c>
      <c r="C36" s="408" t="s">
        <v>1523</v>
      </c>
      <c r="D36" s="409" t="s">
        <v>1508</v>
      </c>
      <c r="E36" s="410">
        <v>10</v>
      </c>
      <c r="F36" s="411"/>
      <c r="G36" s="415"/>
      <c r="H36" s="412">
        <f>PRODUCT(K36:L36)</f>
        <v>0</v>
      </c>
      <c r="I36" s="413">
        <v>2E-3</v>
      </c>
      <c r="J36" s="414">
        <f>PRODUCT(L36:M36)</f>
        <v>0.02</v>
      </c>
      <c r="K36" s="371">
        <f>SUM(F36:G36)</f>
        <v>0</v>
      </c>
      <c r="L36" s="371">
        <f>SUM(E36)</f>
        <v>10</v>
      </c>
      <c r="M36" s="371">
        <f>SUM(I36)</f>
        <v>2E-3</v>
      </c>
    </row>
    <row r="37" spans="1:13">
      <c r="A37" s="375">
        <v>14</v>
      </c>
      <c r="B37" s="371" t="s">
        <v>1524</v>
      </c>
      <c r="C37" s="408" t="s">
        <v>1525</v>
      </c>
      <c r="D37" s="409" t="s">
        <v>1508</v>
      </c>
      <c r="E37" s="410">
        <v>6</v>
      </c>
      <c r="F37" s="411"/>
      <c r="G37" s="415"/>
      <c r="H37" s="412">
        <f>PRODUCT(K37:L37)</f>
        <v>0</v>
      </c>
      <c r="I37" s="413">
        <v>2E-3</v>
      </c>
      <c r="J37" s="414">
        <f>PRODUCT(L37:M37)</f>
        <v>1.2E-2</v>
      </c>
      <c r="K37" s="371">
        <f>SUM(F37:G37)</f>
        <v>0</v>
      </c>
      <c r="L37" s="371">
        <f>SUM(E37)</f>
        <v>6</v>
      </c>
      <c r="M37" s="371">
        <f>SUM(I37)</f>
        <v>2E-3</v>
      </c>
    </row>
    <row r="38" spans="1:13">
      <c r="A38" s="375">
        <v>15</v>
      </c>
      <c r="B38" s="371" t="s">
        <v>1526</v>
      </c>
      <c r="C38" s="408" t="s">
        <v>1527</v>
      </c>
      <c r="D38" s="409" t="s">
        <v>805</v>
      </c>
      <c r="E38" s="410">
        <v>1</v>
      </c>
      <c r="F38" s="411"/>
      <c r="G38" s="415"/>
      <c r="H38" s="412">
        <f>PRODUCT(K38:L38)</f>
        <v>0</v>
      </c>
      <c r="I38" s="413">
        <v>2E-3</v>
      </c>
      <c r="J38" s="414">
        <f>PRODUCT(L38:M38)</f>
        <v>2E-3</v>
      </c>
      <c r="K38" s="371">
        <f>SUM(F38:G38)</f>
        <v>0</v>
      </c>
      <c r="L38" s="371">
        <f>SUM(E38)</f>
        <v>1</v>
      </c>
      <c r="M38" s="371">
        <f>SUM(I38)</f>
        <v>2E-3</v>
      </c>
    </row>
    <row r="39" spans="1:13">
      <c r="A39" s="375"/>
      <c r="C39" s="403" t="s">
        <v>1528</v>
      </c>
      <c r="D39" s="409"/>
      <c r="E39" s="410"/>
      <c r="F39" s="411"/>
      <c r="G39" s="415"/>
      <c r="H39" s="412"/>
      <c r="I39" s="413"/>
      <c r="J39" s="414"/>
    </row>
    <row r="40" spans="1:13">
      <c r="A40" s="375">
        <v>16</v>
      </c>
      <c r="B40" s="371" t="s">
        <v>1529</v>
      </c>
      <c r="C40" s="408" t="s">
        <v>1530</v>
      </c>
      <c r="D40" s="409" t="s">
        <v>805</v>
      </c>
      <c r="E40" s="410">
        <v>15</v>
      </c>
      <c r="F40" s="411"/>
      <c r="G40" s="415"/>
      <c r="H40" s="412">
        <f>PRODUCT(K40:L40)</f>
        <v>0</v>
      </c>
      <c r="I40" s="413">
        <v>1E-3</v>
      </c>
      <c r="J40" s="414">
        <f>PRODUCT(L40:M40)</f>
        <v>1.4999999999999999E-2</v>
      </c>
      <c r="K40" s="371">
        <f>SUM(F40:G40)</f>
        <v>0</v>
      </c>
      <c r="L40" s="371">
        <f>SUM(E40)</f>
        <v>15</v>
      </c>
      <c r="M40" s="371">
        <f>SUM(I40)</f>
        <v>1E-3</v>
      </c>
    </row>
    <row r="41" spans="1:13" ht="13.5" thickBot="1">
      <c r="A41" s="375"/>
      <c r="B41" s="417"/>
      <c r="C41" s="418"/>
      <c r="D41" s="419"/>
      <c r="E41" s="420"/>
      <c r="F41" s="421"/>
      <c r="G41" s="422"/>
      <c r="H41" s="423"/>
      <c r="I41" s="424"/>
      <c r="J41" s="425"/>
    </row>
    <row r="42" spans="1:13" ht="13.5" thickBot="1">
      <c r="A42" s="375"/>
      <c r="B42" s="426"/>
      <c r="C42" s="408" t="s">
        <v>1531</v>
      </c>
      <c r="D42" s="427"/>
      <c r="F42" s="428"/>
      <c r="G42" s="428"/>
      <c r="H42" s="429">
        <f>SUM(H12:H41)</f>
        <v>0</v>
      </c>
      <c r="J42" s="430">
        <f>SUM(J12:J41)</f>
        <v>2.81</v>
      </c>
      <c r="K42" s="374" t="s">
        <v>79</v>
      </c>
    </row>
    <row r="43" spans="1:13" ht="13.5" thickBot="1">
      <c r="A43" s="375"/>
      <c r="B43" s="417"/>
      <c r="C43" s="418"/>
      <c r="D43" s="431"/>
      <c r="E43" s="376"/>
      <c r="F43" s="432"/>
      <c r="G43" s="432"/>
      <c r="H43" s="433"/>
      <c r="I43" s="376"/>
      <c r="J43" s="376"/>
    </row>
    <row r="44" spans="1:13">
      <c r="A44" s="375"/>
      <c r="B44" s="426"/>
      <c r="C44" s="434"/>
      <c r="D44" s="435"/>
      <c r="E44" s="436"/>
      <c r="F44" s="428"/>
      <c r="G44" s="428"/>
      <c r="H44" s="437"/>
      <c r="I44" s="438"/>
    </row>
    <row r="45" spans="1:13">
      <c r="A45" s="375"/>
      <c r="B45" s="426"/>
      <c r="C45" s="439" t="s">
        <v>1532</v>
      </c>
      <c r="D45" s="440"/>
      <c r="E45" s="410"/>
      <c r="F45" s="428"/>
      <c r="G45" s="428"/>
      <c r="H45" s="441"/>
      <c r="I45" s="382"/>
    </row>
    <row r="46" spans="1:13">
      <c r="A46" s="375">
        <v>17</v>
      </c>
      <c r="B46" s="426" t="s">
        <v>1533</v>
      </c>
      <c r="C46" s="442" t="s">
        <v>1534</v>
      </c>
      <c r="D46" s="440" t="s">
        <v>132</v>
      </c>
      <c r="E46" s="410">
        <f>SUM(J42)</f>
        <v>2.81</v>
      </c>
      <c r="F46" s="415"/>
      <c r="G46" s="415"/>
      <c r="H46" s="412">
        <f>PRODUCT(K46:L46)</f>
        <v>0</v>
      </c>
      <c r="I46" s="443" t="s">
        <v>79</v>
      </c>
      <c r="J46" s="414" t="s">
        <v>79</v>
      </c>
      <c r="K46" s="371">
        <f>SUM(F46:G46)</f>
        <v>0</v>
      </c>
      <c r="L46" s="371">
        <f>SUM(E46)</f>
        <v>2.81</v>
      </c>
      <c r="M46" s="371">
        <f>SUM(I46)</f>
        <v>0</v>
      </c>
    </row>
    <row r="47" spans="1:13">
      <c r="A47" s="375"/>
      <c r="B47" s="426"/>
      <c r="C47" s="442"/>
      <c r="D47" s="440"/>
      <c r="E47" s="410"/>
      <c r="F47" s="415"/>
      <c r="G47" s="415"/>
      <c r="H47" s="412"/>
      <c r="I47" s="443"/>
      <c r="J47" s="414"/>
    </row>
    <row r="48" spans="1:13">
      <c r="A48" s="375"/>
      <c r="B48" s="426"/>
      <c r="C48" s="439" t="s">
        <v>1535</v>
      </c>
      <c r="D48" s="440"/>
      <c r="E48" s="410"/>
      <c r="F48" s="415"/>
      <c r="G48" s="415"/>
      <c r="H48" s="412"/>
      <c r="I48" s="443"/>
      <c r="J48" s="414"/>
    </row>
    <row r="49" spans="1:13">
      <c r="A49" s="375">
        <v>18</v>
      </c>
      <c r="B49" s="426" t="s">
        <v>1536</v>
      </c>
      <c r="C49" s="442" t="s">
        <v>1537</v>
      </c>
      <c r="D49" s="440"/>
      <c r="E49" s="410"/>
      <c r="F49" s="415"/>
      <c r="G49" s="415"/>
      <c r="H49" s="412"/>
      <c r="I49" s="443"/>
      <c r="J49" s="414"/>
    </row>
    <row r="50" spans="1:13">
      <c r="A50" s="375"/>
      <c r="B50" s="426"/>
      <c r="C50" s="442" t="s">
        <v>1538</v>
      </c>
      <c r="D50" s="440"/>
      <c r="E50" s="410"/>
      <c r="F50" s="415"/>
      <c r="G50" s="415"/>
      <c r="H50" s="412"/>
      <c r="I50" s="443"/>
      <c r="J50" s="414"/>
    </row>
    <row r="51" spans="1:13">
      <c r="A51" s="375"/>
      <c r="B51" s="426"/>
      <c r="C51" s="442" t="s">
        <v>1539</v>
      </c>
      <c r="D51" s="440" t="s">
        <v>805</v>
      </c>
      <c r="E51" s="410">
        <v>15</v>
      </c>
      <c r="F51" s="415"/>
      <c r="G51" s="415"/>
      <c r="H51" s="412">
        <f>PRODUCT(K51:L51)</f>
        <v>0</v>
      </c>
      <c r="I51" s="443" t="s">
        <v>79</v>
      </c>
      <c r="J51" s="414" t="s">
        <v>79</v>
      </c>
      <c r="K51" s="371">
        <f>SUM(F51:G51)</f>
        <v>0</v>
      </c>
      <c r="L51" s="371">
        <f>SUM(E51)</f>
        <v>15</v>
      </c>
      <c r="M51" s="371">
        <f>SUM(I51)</f>
        <v>0</v>
      </c>
    </row>
    <row r="52" spans="1:13">
      <c r="A52" s="375">
        <v>19</v>
      </c>
      <c r="B52" s="426" t="s">
        <v>1540</v>
      </c>
      <c r="C52" s="442" t="s">
        <v>1541</v>
      </c>
      <c r="D52" s="440"/>
      <c r="E52" s="410"/>
      <c r="F52" s="415"/>
      <c r="G52" s="415"/>
      <c r="H52" s="412"/>
      <c r="I52" s="443"/>
      <c r="J52" s="414"/>
    </row>
    <row r="53" spans="1:13">
      <c r="A53" s="375"/>
      <c r="B53" s="426"/>
      <c r="C53" s="442" t="s">
        <v>1542</v>
      </c>
      <c r="D53" s="440"/>
      <c r="E53" s="410"/>
      <c r="F53" s="415"/>
      <c r="G53" s="415"/>
      <c r="H53" s="412"/>
      <c r="I53" s="443"/>
      <c r="J53" s="414"/>
    </row>
    <row r="54" spans="1:13">
      <c r="A54" s="375"/>
      <c r="B54" s="426"/>
      <c r="C54" s="442" t="s">
        <v>1543</v>
      </c>
      <c r="D54" s="440"/>
      <c r="E54" s="410"/>
      <c r="F54" s="415"/>
      <c r="G54" s="415"/>
      <c r="H54" s="412"/>
      <c r="I54" s="443"/>
      <c r="J54" s="414"/>
    </row>
    <row r="55" spans="1:13">
      <c r="A55" s="375"/>
      <c r="B55" s="426"/>
      <c r="C55" s="442" t="s">
        <v>1544</v>
      </c>
      <c r="D55" s="440" t="s">
        <v>805</v>
      </c>
      <c r="E55" s="410">
        <v>3</v>
      </c>
      <c r="F55" s="415"/>
      <c r="G55" s="415"/>
      <c r="H55" s="412">
        <f>PRODUCT(K55:L55)</f>
        <v>0</v>
      </c>
      <c r="I55" s="443" t="s">
        <v>79</v>
      </c>
      <c r="J55" s="414" t="s">
        <v>79</v>
      </c>
      <c r="K55" s="371">
        <f>SUM(F55:G55)</f>
        <v>0</v>
      </c>
      <c r="L55" s="371">
        <f>SUM(E55)</f>
        <v>3</v>
      </c>
      <c r="M55" s="371">
        <f>SUM(I55)</f>
        <v>0</v>
      </c>
    </row>
    <row r="56" spans="1:13">
      <c r="A56" s="375">
        <v>20</v>
      </c>
      <c r="B56" s="426" t="s">
        <v>1545</v>
      </c>
      <c r="C56" s="442" t="s">
        <v>1546</v>
      </c>
      <c r="D56" s="440"/>
      <c r="E56" s="410"/>
      <c r="F56" s="415"/>
      <c r="G56" s="415"/>
      <c r="H56" s="412"/>
      <c r="I56" s="443"/>
      <c r="J56" s="414"/>
    </row>
    <row r="57" spans="1:13">
      <c r="A57" s="375"/>
      <c r="B57" s="426"/>
      <c r="C57" s="442" t="s">
        <v>1547</v>
      </c>
      <c r="D57" s="440"/>
      <c r="E57" s="410"/>
      <c r="F57" s="415"/>
      <c r="G57" s="415"/>
      <c r="H57" s="412"/>
      <c r="I57" s="443"/>
      <c r="J57" s="414"/>
    </row>
    <row r="58" spans="1:13">
      <c r="A58" s="375"/>
      <c r="B58" s="426"/>
      <c r="C58" s="442" t="s">
        <v>1548</v>
      </c>
      <c r="D58" s="440"/>
      <c r="E58" s="410"/>
      <c r="F58" s="415"/>
      <c r="G58" s="415"/>
      <c r="H58" s="412"/>
      <c r="I58" s="443"/>
      <c r="J58" s="414"/>
    </row>
    <row r="59" spans="1:13">
      <c r="A59" s="375"/>
      <c r="B59" s="426"/>
      <c r="C59" s="442" t="s">
        <v>1549</v>
      </c>
      <c r="D59" s="440"/>
      <c r="E59" s="410"/>
      <c r="F59" s="415"/>
      <c r="G59" s="415"/>
      <c r="H59" s="412"/>
      <c r="I59" s="443"/>
      <c r="J59" s="414"/>
    </row>
    <row r="60" spans="1:13">
      <c r="A60" s="375"/>
      <c r="B60" s="426"/>
      <c r="C60" s="442" t="s">
        <v>1550</v>
      </c>
      <c r="D60" s="440" t="s">
        <v>805</v>
      </c>
      <c r="E60" s="410">
        <v>1</v>
      </c>
      <c r="F60" s="415"/>
      <c r="G60" s="415"/>
      <c r="H60" s="412">
        <f>PRODUCT(K60:L60)</f>
        <v>0</v>
      </c>
      <c r="I60" s="443" t="s">
        <v>79</v>
      </c>
      <c r="J60" s="414" t="s">
        <v>79</v>
      </c>
      <c r="K60" s="371">
        <f>SUM(F60:G60)</f>
        <v>0</v>
      </c>
      <c r="L60" s="371">
        <f>SUM(E60)</f>
        <v>1</v>
      </c>
      <c r="M60" s="371">
        <f>SUM(I60)</f>
        <v>0</v>
      </c>
    </row>
    <row r="61" spans="1:13">
      <c r="A61" s="375">
        <v>21</v>
      </c>
      <c r="B61" s="426" t="s">
        <v>1551</v>
      </c>
      <c r="C61" s="442" t="s">
        <v>1552</v>
      </c>
      <c r="D61" s="440"/>
      <c r="E61" s="410"/>
      <c r="F61" s="415"/>
      <c r="G61" s="415"/>
      <c r="H61" s="412"/>
      <c r="I61" s="443"/>
      <c r="J61" s="414"/>
    </row>
    <row r="62" spans="1:13">
      <c r="A62" s="375"/>
      <c r="B62" s="426"/>
      <c r="C62" s="442" t="s">
        <v>1553</v>
      </c>
      <c r="D62" s="440"/>
      <c r="E62" s="410"/>
      <c r="F62" s="415"/>
      <c r="G62" s="415"/>
      <c r="H62" s="412"/>
      <c r="I62" s="443"/>
      <c r="J62" s="414"/>
    </row>
    <row r="63" spans="1:13">
      <c r="A63" s="375"/>
      <c r="B63" s="426"/>
      <c r="C63" s="442" t="s">
        <v>1554</v>
      </c>
      <c r="D63" s="440" t="s">
        <v>805</v>
      </c>
      <c r="E63" s="410">
        <v>1</v>
      </c>
      <c r="F63" s="415"/>
      <c r="G63" s="415"/>
      <c r="H63" s="412">
        <f>PRODUCT(K63:L63)</f>
        <v>0</v>
      </c>
      <c r="I63" s="443" t="s">
        <v>79</v>
      </c>
      <c r="J63" s="414" t="s">
        <v>79</v>
      </c>
      <c r="K63" s="371">
        <f>SUM(F63:G63)</f>
        <v>0</v>
      </c>
      <c r="L63" s="371">
        <f>SUM(E63)</f>
        <v>1</v>
      </c>
      <c r="M63" s="371">
        <f>SUM(I63)</f>
        <v>0</v>
      </c>
    </row>
    <row r="64" spans="1:13">
      <c r="A64" s="375">
        <v>22</v>
      </c>
      <c r="B64" s="426" t="s">
        <v>1555</v>
      </c>
      <c r="C64" s="442" t="s">
        <v>1556</v>
      </c>
      <c r="D64" s="440"/>
      <c r="E64" s="410"/>
      <c r="F64" s="415"/>
      <c r="G64" s="415"/>
      <c r="H64" s="412"/>
      <c r="I64" s="443"/>
      <c r="J64" s="414"/>
    </row>
    <row r="65" spans="1:13">
      <c r="A65" s="375"/>
      <c r="B65" s="426"/>
      <c r="C65" s="442" t="s">
        <v>1557</v>
      </c>
      <c r="D65" s="440"/>
      <c r="E65" s="410"/>
      <c r="F65" s="415"/>
      <c r="G65" s="415"/>
      <c r="H65" s="412"/>
      <c r="I65" s="443"/>
      <c r="J65" s="414"/>
    </row>
    <row r="66" spans="1:13">
      <c r="A66" s="375"/>
      <c r="B66" s="426"/>
      <c r="C66" s="442" t="s">
        <v>1558</v>
      </c>
      <c r="D66" s="440" t="s">
        <v>805</v>
      </c>
      <c r="E66" s="410">
        <v>26</v>
      </c>
      <c r="F66" s="415"/>
      <c r="G66" s="415"/>
      <c r="H66" s="412">
        <f>PRODUCT(K66:L66)</f>
        <v>0</v>
      </c>
      <c r="I66" s="443" t="s">
        <v>79</v>
      </c>
      <c r="J66" s="414" t="s">
        <v>79</v>
      </c>
      <c r="K66" s="371">
        <f>SUM(F66:G66)</f>
        <v>0</v>
      </c>
      <c r="L66" s="371">
        <f>SUM(E66)</f>
        <v>26</v>
      </c>
      <c r="M66" s="371">
        <f>SUM(I66)</f>
        <v>0</v>
      </c>
    </row>
    <row r="67" spans="1:13">
      <c r="A67" s="375"/>
      <c r="B67" s="426"/>
      <c r="C67" s="408"/>
      <c r="D67" s="427"/>
      <c r="F67" s="428"/>
      <c r="G67" s="428"/>
      <c r="H67" s="444"/>
      <c r="I67" s="443"/>
      <c r="J67" s="414"/>
    </row>
    <row r="68" spans="1:13" ht="13.5" thickBot="1">
      <c r="A68" s="375"/>
      <c r="B68" s="426"/>
      <c r="C68" s="408"/>
      <c r="D68" s="427"/>
      <c r="F68" s="428"/>
      <c r="G68" s="428"/>
      <c r="H68" s="444"/>
    </row>
    <row r="69" spans="1:13" ht="38.25" thickBot="1">
      <c r="A69" s="375"/>
      <c r="B69" s="445"/>
      <c r="C69" s="446" t="s">
        <v>1559</v>
      </c>
      <c r="D69" s="372"/>
      <c r="E69" s="372"/>
      <c r="F69" s="372"/>
      <c r="G69" s="372"/>
      <c r="H69" s="447">
        <f>SUM(H42:H68)</f>
        <v>0</v>
      </c>
    </row>
    <row r="70" spans="1:13">
      <c r="A70" s="375"/>
    </row>
    <row r="71" spans="1:13">
      <c r="A71" s="375"/>
      <c r="C71" s="371" t="s">
        <v>79</v>
      </c>
    </row>
    <row r="72" spans="1:13">
      <c r="A72" s="375"/>
    </row>
    <row r="73" spans="1:13" ht="15">
      <c r="A73" s="375"/>
      <c r="B73" s="392" t="s">
        <v>1472</v>
      </c>
    </row>
    <row r="74" spans="1:13" ht="15">
      <c r="A74" s="375"/>
      <c r="B74" s="392" t="s">
        <v>1560</v>
      </c>
      <c r="C74" s="373"/>
      <c r="D74" s="373"/>
      <c r="E74" s="373"/>
      <c r="F74" s="373"/>
      <c r="G74" s="373"/>
      <c r="H74" s="393"/>
      <c r="I74" s="373"/>
      <c r="J74" s="373"/>
    </row>
    <row r="75" spans="1:13">
      <c r="A75" s="375"/>
      <c r="B75" s="394" t="s">
        <v>1474</v>
      </c>
      <c r="C75" s="395" t="s">
        <v>1136</v>
      </c>
      <c r="D75" s="395" t="s">
        <v>1475</v>
      </c>
      <c r="E75" s="395" t="s">
        <v>1476</v>
      </c>
      <c r="F75" s="691" t="s">
        <v>1477</v>
      </c>
      <c r="G75" s="692"/>
      <c r="H75" s="396" t="s">
        <v>1478</v>
      </c>
      <c r="I75" s="395" t="s">
        <v>1479</v>
      </c>
      <c r="J75" s="397" t="s">
        <v>1480</v>
      </c>
      <c r="K75" s="382"/>
    </row>
    <row r="76" spans="1:13">
      <c r="A76" s="375"/>
      <c r="B76" s="398" t="s">
        <v>1481</v>
      </c>
      <c r="C76" s="399"/>
      <c r="D76" s="399"/>
      <c r="E76" s="399"/>
      <c r="F76" s="400" t="s">
        <v>1141</v>
      </c>
      <c r="G76" s="402" t="s">
        <v>1142</v>
      </c>
      <c r="H76" s="401" t="s">
        <v>1482</v>
      </c>
      <c r="I76" s="402" t="s">
        <v>1483</v>
      </c>
      <c r="J76" s="402" t="s">
        <v>1483</v>
      </c>
      <c r="K76" s="382"/>
    </row>
    <row r="77" spans="1:13">
      <c r="A77" s="375"/>
      <c r="C77" s="448" t="s">
        <v>1561</v>
      </c>
      <c r="D77" s="404"/>
      <c r="E77" s="404"/>
      <c r="F77" s="415"/>
      <c r="G77" s="415"/>
      <c r="H77" s="449"/>
      <c r="I77" s="382"/>
    </row>
    <row r="78" spans="1:13">
      <c r="A78" s="375"/>
      <c r="C78" s="439" t="s">
        <v>1562</v>
      </c>
      <c r="D78" s="410"/>
      <c r="E78" s="410"/>
      <c r="F78" s="415"/>
      <c r="G78" s="415"/>
      <c r="H78" s="407"/>
      <c r="I78" s="382"/>
    </row>
    <row r="79" spans="1:13">
      <c r="A79" s="375"/>
      <c r="C79" s="439" t="s">
        <v>1563</v>
      </c>
      <c r="D79" s="410"/>
      <c r="E79" s="410"/>
      <c r="F79" s="415"/>
      <c r="G79" s="415"/>
      <c r="H79" s="407"/>
      <c r="I79" s="382"/>
    </row>
    <row r="80" spans="1:13">
      <c r="A80" s="375">
        <v>1</v>
      </c>
      <c r="B80" s="371" t="s">
        <v>1564</v>
      </c>
      <c r="C80" s="442" t="s">
        <v>1565</v>
      </c>
      <c r="D80" s="440" t="s">
        <v>1487</v>
      </c>
      <c r="E80" s="410">
        <v>40</v>
      </c>
      <c r="F80" s="415"/>
      <c r="G80" s="415"/>
      <c r="H80" s="412">
        <f t="shared" ref="H80:H85" si="0">PRODUCT(K80:L80)</f>
        <v>0</v>
      </c>
      <c r="I80" s="413">
        <v>2.128E-2</v>
      </c>
      <c r="J80" s="414">
        <f t="shared" ref="J80:J85" si="1">PRODUCT(L80:M80)</f>
        <v>0.85119999999999996</v>
      </c>
      <c r="K80" s="371">
        <f t="shared" ref="K80:K85" si="2">SUM(F80:G80)</f>
        <v>0</v>
      </c>
      <c r="L80" s="371">
        <f t="shared" ref="L80:L85" si="3">SUM(E80)</f>
        <v>40</v>
      </c>
      <c r="M80" s="371">
        <f t="shared" ref="M80:M85" si="4">SUM(I80)</f>
        <v>2.128E-2</v>
      </c>
    </row>
    <row r="81" spans="1:13">
      <c r="A81" s="375">
        <v>2</v>
      </c>
      <c r="B81" s="371" t="s">
        <v>1566</v>
      </c>
      <c r="C81" s="442" t="s">
        <v>1567</v>
      </c>
      <c r="D81" s="440" t="s">
        <v>1487</v>
      </c>
      <c r="E81" s="410">
        <v>75</v>
      </c>
      <c r="F81" s="415"/>
      <c r="G81" s="415"/>
      <c r="H81" s="412">
        <f t="shared" si="0"/>
        <v>0</v>
      </c>
      <c r="I81" s="413">
        <v>1.4189999999999999E-2</v>
      </c>
      <c r="J81" s="414">
        <f t="shared" si="1"/>
        <v>1.0642499999999999</v>
      </c>
      <c r="K81" s="371">
        <f t="shared" si="2"/>
        <v>0</v>
      </c>
      <c r="L81" s="371">
        <f t="shared" si="3"/>
        <v>75</v>
      </c>
      <c r="M81" s="371">
        <f t="shared" si="4"/>
        <v>1.4189999999999999E-2</v>
      </c>
    </row>
    <row r="82" spans="1:13">
      <c r="A82" s="375">
        <v>3</v>
      </c>
      <c r="B82" s="371" t="s">
        <v>1568</v>
      </c>
      <c r="C82" s="442" t="s">
        <v>1569</v>
      </c>
      <c r="D82" s="440" t="s">
        <v>1487</v>
      </c>
      <c r="E82" s="410">
        <v>18</v>
      </c>
      <c r="F82" s="415"/>
      <c r="G82" s="415"/>
      <c r="H82" s="412">
        <f t="shared" si="0"/>
        <v>0</v>
      </c>
      <c r="I82" s="413">
        <v>9.8799999999999999E-3</v>
      </c>
      <c r="J82" s="414">
        <f t="shared" si="1"/>
        <v>0.17784</v>
      </c>
      <c r="K82" s="371">
        <f t="shared" si="2"/>
        <v>0</v>
      </c>
      <c r="L82" s="371">
        <f t="shared" si="3"/>
        <v>18</v>
      </c>
      <c r="M82" s="371">
        <f t="shared" si="4"/>
        <v>9.8799999999999999E-3</v>
      </c>
    </row>
    <row r="83" spans="1:13">
      <c r="A83" s="375">
        <v>4</v>
      </c>
      <c r="B83" s="371" t="s">
        <v>1570</v>
      </c>
      <c r="C83" s="442" t="s">
        <v>1571</v>
      </c>
      <c r="D83" s="440" t="s">
        <v>1487</v>
      </c>
      <c r="E83" s="410">
        <v>60</v>
      </c>
      <c r="F83" s="415"/>
      <c r="G83" s="415"/>
      <c r="H83" s="412">
        <f t="shared" si="0"/>
        <v>0</v>
      </c>
      <c r="I83" s="413">
        <v>1.1089999999999999E-2</v>
      </c>
      <c r="J83" s="414">
        <f t="shared" si="1"/>
        <v>0.66539999999999999</v>
      </c>
      <c r="K83" s="371">
        <f t="shared" si="2"/>
        <v>0</v>
      </c>
      <c r="L83" s="371">
        <f t="shared" si="3"/>
        <v>60</v>
      </c>
      <c r="M83" s="371">
        <f t="shared" si="4"/>
        <v>1.1089999999999999E-2</v>
      </c>
    </row>
    <row r="84" spans="1:13">
      <c r="A84" s="375">
        <v>5</v>
      </c>
      <c r="B84" s="371" t="s">
        <v>1572</v>
      </c>
      <c r="C84" s="442" t="s">
        <v>1573</v>
      </c>
      <c r="D84" s="440" t="s">
        <v>805</v>
      </c>
      <c r="E84" s="410">
        <v>1</v>
      </c>
      <c r="F84" s="415"/>
      <c r="G84" s="415"/>
      <c r="H84" s="412">
        <f t="shared" si="0"/>
        <v>0</v>
      </c>
      <c r="I84" s="413">
        <v>1.67E-3</v>
      </c>
      <c r="J84" s="414">
        <f t="shared" si="1"/>
        <v>1.67E-3</v>
      </c>
      <c r="K84" s="371">
        <f t="shared" si="2"/>
        <v>0</v>
      </c>
      <c r="L84" s="371">
        <f t="shared" si="3"/>
        <v>1</v>
      </c>
      <c r="M84" s="371">
        <f t="shared" si="4"/>
        <v>1.67E-3</v>
      </c>
    </row>
    <row r="85" spans="1:13">
      <c r="A85" s="375">
        <v>6</v>
      </c>
      <c r="B85" s="371" t="s">
        <v>1574</v>
      </c>
      <c r="C85" s="442" t="s">
        <v>1575</v>
      </c>
      <c r="D85" s="440" t="s">
        <v>805</v>
      </c>
      <c r="E85" s="410">
        <v>2</v>
      </c>
      <c r="F85" s="415"/>
      <c r="G85" s="415"/>
      <c r="H85" s="412">
        <f t="shared" si="0"/>
        <v>0</v>
      </c>
      <c r="I85" s="413">
        <v>4.2599999999999999E-3</v>
      </c>
      <c r="J85" s="414">
        <f t="shared" si="1"/>
        <v>8.5199999999999998E-3</v>
      </c>
      <c r="K85" s="371">
        <f t="shared" si="2"/>
        <v>0</v>
      </c>
      <c r="L85" s="371">
        <f t="shared" si="3"/>
        <v>2</v>
      </c>
      <c r="M85" s="371">
        <f t="shared" si="4"/>
        <v>4.2599999999999999E-3</v>
      </c>
    </row>
    <row r="86" spans="1:13">
      <c r="A86" s="375"/>
      <c r="C86" s="450" t="s">
        <v>1576</v>
      </c>
      <c r="D86" s="440"/>
      <c r="E86" s="410"/>
      <c r="F86" s="415"/>
      <c r="G86" s="415"/>
      <c r="H86" s="412"/>
      <c r="I86" s="382"/>
    </row>
    <row r="87" spans="1:13">
      <c r="A87" s="375"/>
      <c r="C87" s="442" t="s">
        <v>1577</v>
      </c>
      <c r="D87" s="410"/>
      <c r="E87" s="410"/>
      <c r="F87" s="415"/>
      <c r="G87" s="415"/>
      <c r="H87" s="412"/>
      <c r="I87" s="382"/>
    </row>
    <row r="88" spans="1:13">
      <c r="A88" s="375"/>
      <c r="C88" s="442" t="s">
        <v>1578</v>
      </c>
      <c r="D88" s="410"/>
      <c r="E88" s="410"/>
      <c r="F88" s="415"/>
      <c r="G88" s="415"/>
      <c r="H88" s="412"/>
      <c r="I88" s="382"/>
    </row>
    <row r="89" spans="1:13">
      <c r="A89" s="375"/>
      <c r="C89" s="442" t="s">
        <v>1563</v>
      </c>
      <c r="D89" s="410"/>
      <c r="E89" s="410"/>
      <c r="F89" s="415"/>
      <c r="G89" s="415"/>
      <c r="H89" s="412"/>
      <c r="I89" s="382"/>
    </row>
    <row r="90" spans="1:13">
      <c r="A90" s="375">
        <v>7</v>
      </c>
      <c r="B90" s="371" t="s">
        <v>1579</v>
      </c>
      <c r="C90" s="442" t="s">
        <v>1580</v>
      </c>
      <c r="D90" s="440" t="s">
        <v>805</v>
      </c>
      <c r="E90" s="410">
        <v>2</v>
      </c>
      <c r="F90" s="415"/>
      <c r="G90" s="415"/>
      <c r="H90" s="412">
        <f t="shared" ref="H90:H103" si="5">PRODUCT(K90:L90)</f>
        <v>0</v>
      </c>
      <c r="I90" s="413">
        <v>1E-4</v>
      </c>
      <c r="J90" s="414">
        <f t="shared" ref="J90:J103" si="6">PRODUCT(L90:M90)</f>
        <v>2.0000000000000001E-4</v>
      </c>
      <c r="K90" s="371">
        <f t="shared" ref="K90:K103" si="7">SUM(F90:G90)</f>
        <v>0</v>
      </c>
      <c r="L90" s="371">
        <f t="shared" ref="L90:L103" si="8">SUM(E90)</f>
        <v>2</v>
      </c>
      <c r="M90" s="371">
        <f t="shared" ref="M90:M103" si="9">SUM(I90)</f>
        <v>1E-4</v>
      </c>
    </row>
    <row r="91" spans="1:13">
      <c r="A91" s="375">
        <v>8</v>
      </c>
      <c r="B91" s="371" t="s">
        <v>1581</v>
      </c>
      <c r="C91" s="442" t="s">
        <v>1582</v>
      </c>
      <c r="D91" s="440" t="s">
        <v>805</v>
      </c>
      <c r="E91" s="410">
        <v>66</v>
      </c>
      <c r="F91" s="415"/>
      <c r="G91" s="415"/>
      <c r="H91" s="412">
        <f t="shared" si="5"/>
        <v>0</v>
      </c>
      <c r="I91" s="413">
        <v>1E-4</v>
      </c>
      <c r="J91" s="414">
        <f t="shared" si="6"/>
        <v>6.6E-3</v>
      </c>
      <c r="K91" s="371">
        <f t="shared" si="7"/>
        <v>0</v>
      </c>
      <c r="L91" s="371">
        <f t="shared" si="8"/>
        <v>66</v>
      </c>
      <c r="M91" s="371">
        <f t="shared" si="9"/>
        <v>1E-4</v>
      </c>
    </row>
    <row r="92" spans="1:13">
      <c r="A92" s="375" t="s">
        <v>1583</v>
      </c>
      <c r="B92" s="371" t="s">
        <v>1584</v>
      </c>
      <c r="C92" s="442" t="s">
        <v>1585</v>
      </c>
      <c r="D92" s="440" t="s">
        <v>805</v>
      </c>
      <c r="E92" s="410">
        <v>3</v>
      </c>
      <c r="F92" s="415"/>
      <c r="G92" s="415"/>
      <c r="H92" s="412">
        <f t="shared" si="5"/>
        <v>0</v>
      </c>
      <c r="I92" s="413">
        <v>1E-4</v>
      </c>
      <c r="J92" s="414">
        <f t="shared" si="6"/>
        <v>3.0000000000000003E-4</v>
      </c>
      <c r="K92" s="371">
        <f t="shared" si="7"/>
        <v>0</v>
      </c>
      <c r="L92" s="371">
        <f t="shared" si="8"/>
        <v>3</v>
      </c>
      <c r="M92" s="371">
        <f t="shared" si="9"/>
        <v>1E-4</v>
      </c>
    </row>
    <row r="93" spans="1:13">
      <c r="A93" s="375">
        <v>9</v>
      </c>
      <c r="B93" s="371" t="s">
        <v>1586</v>
      </c>
      <c r="C93" s="442" t="s">
        <v>1587</v>
      </c>
      <c r="D93" s="440" t="s">
        <v>805</v>
      </c>
      <c r="E93" s="410">
        <v>110</v>
      </c>
      <c r="F93" s="415"/>
      <c r="G93" s="415"/>
      <c r="H93" s="412">
        <f t="shared" si="5"/>
        <v>0</v>
      </c>
      <c r="I93" s="413">
        <v>1E-4</v>
      </c>
      <c r="J93" s="414">
        <f t="shared" si="6"/>
        <v>1.1000000000000001E-2</v>
      </c>
      <c r="K93" s="371">
        <f t="shared" si="7"/>
        <v>0</v>
      </c>
      <c r="L93" s="371">
        <f t="shared" si="8"/>
        <v>110</v>
      </c>
      <c r="M93" s="371">
        <f t="shared" si="9"/>
        <v>1E-4</v>
      </c>
    </row>
    <row r="94" spans="1:13">
      <c r="A94" s="375">
        <v>10</v>
      </c>
      <c r="B94" s="371" t="s">
        <v>1588</v>
      </c>
      <c r="C94" s="442" t="s">
        <v>1589</v>
      </c>
      <c r="D94" s="440" t="s">
        <v>805</v>
      </c>
      <c r="E94" s="410">
        <v>1</v>
      </c>
      <c r="F94" s="415"/>
      <c r="G94" s="415"/>
      <c r="H94" s="412">
        <f t="shared" si="5"/>
        <v>0</v>
      </c>
      <c r="I94" s="413">
        <v>1E-4</v>
      </c>
      <c r="J94" s="414">
        <f t="shared" si="6"/>
        <v>1E-4</v>
      </c>
      <c r="K94" s="371">
        <f t="shared" si="7"/>
        <v>0</v>
      </c>
      <c r="L94" s="371">
        <f t="shared" si="8"/>
        <v>1</v>
      </c>
      <c r="M94" s="371">
        <f t="shared" si="9"/>
        <v>1E-4</v>
      </c>
    </row>
    <row r="95" spans="1:13">
      <c r="A95" s="375">
        <v>11</v>
      </c>
      <c r="B95" s="371" t="s">
        <v>1590</v>
      </c>
      <c r="C95" s="442" t="s">
        <v>1591</v>
      </c>
      <c r="D95" s="440" t="s">
        <v>805</v>
      </c>
      <c r="E95" s="410">
        <v>4</v>
      </c>
      <c r="F95" s="415"/>
      <c r="G95" s="415"/>
      <c r="H95" s="412">
        <f t="shared" si="5"/>
        <v>0</v>
      </c>
      <c r="I95" s="413">
        <v>1E-4</v>
      </c>
      <c r="J95" s="414">
        <f t="shared" si="6"/>
        <v>4.0000000000000002E-4</v>
      </c>
      <c r="K95" s="371">
        <f t="shared" si="7"/>
        <v>0</v>
      </c>
      <c r="L95" s="371">
        <f t="shared" si="8"/>
        <v>4</v>
      </c>
      <c r="M95" s="371">
        <f t="shared" si="9"/>
        <v>1E-4</v>
      </c>
    </row>
    <row r="96" spans="1:13">
      <c r="A96" s="375">
        <v>12</v>
      </c>
      <c r="B96" s="371" t="s">
        <v>1592</v>
      </c>
      <c r="C96" s="442" t="s">
        <v>1593</v>
      </c>
      <c r="D96" s="440" t="s">
        <v>805</v>
      </c>
      <c r="E96" s="410">
        <v>2</v>
      </c>
      <c r="F96" s="415"/>
      <c r="G96" s="415"/>
      <c r="H96" s="412">
        <f t="shared" si="5"/>
        <v>0</v>
      </c>
      <c r="I96" s="413">
        <v>1E-4</v>
      </c>
      <c r="J96" s="414">
        <f t="shared" si="6"/>
        <v>2.0000000000000001E-4</v>
      </c>
      <c r="K96" s="371">
        <f t="shared" si="7"/>
        <v>0</v>
      </c>
      <c r="L96" s="371">
        <f t="shared" si="8"/>
        <v>2</v>
      </c>
      <c r="M96" s="371">
        <f t="shared" si="9"/>
        <v>1E-4</v>
      </c>
    </row>
    <row r="97" spans="1:13">
      <c r="A97" s="375">
        <v>13</v>
      </c>
      <c r="B97" s="371" t="s">
        <v>1594</v>
      </c>
      <c r="C97" s="442" t="s">
        <v>1595</v>
      </c>
      <c r="D97" s="440" t="s">
        <v>805</v>
      </c>
      <c r="E97" s="410">
        <v>18</v>
      </c>
      <c r="F97" s="415"/>
      <c r="G97" s="415"/>
      <c r="H97" s="412">
        <f t="shared" si="5"/>
        <v>0</v>
      </c>
      <c r="I97" s="413">
        <v>1E-4</v>
      </c>
      <c r="J97" s="414">
        <f t="shared" si="6"/>
        <v>1.8000000000000002E-3</v>
      </c>
      <c r="K97" s="371">
        <f t="shared" si="7"/>
        <v>0</v>
      </c>
      <c r="L97" s="371">
        <f t="shared" si="8"/>
        <v>18</v>
      </c>
      <c r="M97" s="371">
        <f t="shared" si="9"/>
        <v>1E-4</v>
      </c>
    </row>
    <row r="98" spans="1:13">
      <c r="A98" s="375">
        <v>14</v>
      </c>
      <c r="B98" s="371" t="s">
        <v>1596</v>
      </c>
      <c r="C98" s="442" t="s">
        <v>1597</v>
      </c>
      <c r="D98" s="440" t="s">
        <v>805</v>
      </c>
      <c r="E98" s="410">
        <v>7</v>
      </c>
      <c r="F98" s="415"/>
      <c r="G98" s="415"/>
      <c r="H98" s="412">
        <f t="shared" si="5"/>
        <v>0</v>
      </c>
      <c r="I98" s="413">
        <v>1E-4</v>
      </c>
      <c r="J98" s="414">
        <f t="shared" si="6"/>
        <v>6.9999999999999999E-4</v>
      </c>
      <c r="K98" s="371">
        <f t="shared" si="7"/>
        <v>0</v>
      </c>
      <c r="L98" s="371">
        <f t="shared" si="8"/>
        <v>7</v>
      </c>
      <c r="M98" s="371">
        <f t="shared" si="9"/>
        <v>1E-4</v>
      </c>
    </row>
    <row r="99" spans="1:13">
      <c r="A99" s="375">
        <v>15</v>
      </c>
      <c r="B99" s="371" t="s">
        <v>1598</v>
      </c>
      <c r="C99" s="442" t="s">
        <v>1599</v>
      </c>
      <c r="D99" s="440" t="s">
        <v>805</v>
      </c>
      <c r="E99" s="410">
        <v>4</v>
      </c>
      <c r="F99" s="415"/>
      <c r="G99" s="415"/>
      <c r="H99" s="412">
        <f t="shared" si="5"/>
        <v>0</v>
      </c>
      <c r="I99" s="413">
        <v>1E-4</v>
      </c>
      <c r="J99" s="414">
        <f t="shared" si="6"/>
        <v>4.0000000000000002E-4</v>
      </c>
      <c r="K99" s="371">
        <f t="shared" si="7"/>
        <v>0</v>
      </c>
      <c r="L99" s="371">
        <f t="shared" si="8"/>
        <v>4</v>
      </c>
      <c r="M99" s="371">
        <f t="shared" si="9"/>
        <v>1E-4</v>
      </c>
    </row>
    <row r="100" spans="1:13">
      <c r="A100" s="375">
        <v>16</v>
      </c>
      <c r="B100" s="371" t="s">
        <v>1600</v>
      </c>
      <c r="C100" s="442" t="s">
        <v>1601</v>
      </c>
      <c r="D100" s="440" t="s">
        <v>805</v>
      </c>
      <c r="E100" s="410">
        <v>2</v>
      </c>
      <c r="F100" s="415"/>
      <c r="G100" s="415"/>
      <c r="H100" s="412">
        <f t="shared" si="5"/>
        <v>0</v>
      </c>
      <c r="I100" s="413">
        <v>1E-4</v>
      </c>
      <c r="J100" s="414">
        <f t="shared" si="6"/>
        <v>2.0000000000000001E-4</v>
      </c>
      <c r="K100" s="371">
        <f t="shared" si="7"/>
        <v>0</v>
      </c>
      <c r="L100" s="371">
        <f t="shared" si="8"/>
        <v>2</v>
      </c>
      <c r="M100" s="371">
        <f t="shared" si="9"/>
        <v>1E-4</v>
      </c>
    </row>
    <row r="101" spans="1:13">
      <c r="A101" s="375">
        <v>17</v>
      </c>
      <c r="B101" s="371" t="s">
        <v>1602</v>
      </c>
      <c r="C101" s="442" t="s">
        <v>1603</v>
      </c>
      <c r="D101" s="440" t="s">
        <v>805</v>
      </c>
      <c r="E101" s="410">
        <v>19</v>
      </c>
      <c r="F101" s="415"/>
      <c r="G101" s="415"/>
      <c r="H101" s="412">
        <f t="shared" si="5"/>
        <v>0</v>
      </c>
      <c r="I101" s="413">
        <v>1E-4</v>
      </c>
      <c r="J101" s="414">
        <f t="shared" si="6"/>
        <v>1.9E-3</v>
      </c>
      <c r="K101" s="371">
        <f t="shared" si="7"/>
        <v>0</v>
      </c>
      <c r="L101" s="371">
        <f t="shared" si="8"/>
        <v>19</v>
      </c>
      <c r="M101" s="371">
        <f t="shared" si="9"/>
        <v>1E-4</v>
      </c>
    </row>
    <row r="102" spans="1:13">
      <c r="A102" s="375">
        <v>18</v>
      </c>
      <c r="B102" s="371" t="s">
        <v>1604</v>
      </c>
      <c r="C102" s="442" t="s">
        <v>1605</v>
      </c>
      <c r="D102" s="440" t="s">
        <v>805</v>
      </c>
      <c r="E102" s="410">
        <v>1</v>
      </c>
      <c r="F102" s="415"/>
      <c r="G102" s="415"/>
      <c r="H102" s="412">
        <f t="shared" si="5"/>
        <v>0</v>
      </c>
      <c r="I102" s="413">
        <v>1E-4</v>
      </c>
      <c r="J102" s="414">
        <f t="shared" si="6"/>
        <v>1E-4</v>
      </c>
      <c r="K102" s="371">
        <f t="shared" si="7"/>
        <v>0</v>
      </c>
      <c r="L102" s="371">
        <f t="shared" si="8"/>
        <v>1</v>
      </c>
      <c r="M102" s="371">
        <f t="shared" si="9"/>
        <v>1E-4</v>
      </c>
    </row>
    <row r="103" spans="1:13">
      <c r="A103" s="375">
        <v>19</v>
      </c>
      <c r="B103" s="371" t="s">
        <v>1606</v>
      </c>
      <c r="C103" s="442" t="s">
        <v>1607</v>
      </c>
      <c r="D103" s="440" t="s">
        <v>805</v>
      </c>
      <c r="E103" s="410">
        <v>31</v>
      </c>
      <c r="F103" s="415"/>
      <c r="G103" s="415"/>
      <c r="H103" s="412">
        <f t="shared" si="5"/>
        <v>0</v>
      </c>
      <c r="I103" s="413">
        <v>1E-4</v>
      </c>
      <c r="J103" s="414">
        <f t="shared" si="6"/>
        <v>3.1000000000000003E-3</v>
      </c>
      <c r="K103" s="371">
        <f t="shared" si="7"/>
        <v>0</v>
      </c>
      <c r="L103" s="371">
        <f t="shared" si="8"/>
        <v>31</v>
      </c>
      <c r="M103" s="371">
        <f t="shared" si="9"/>
        <v>1E-4</v>
      </c>
    </row>
    <row r="104" spans="1:13">
      <c r="A104" s="375">
        <v>20</v>
      </c>
      <c r="B104" s="371" t="s">
        <v>1608</v>
      </c>
      <c r="C104" s="442" t="s">
        <v>1609</v>
      </c>
      <c r="D104" s="440" t="s">
        <v>805</v>
      </c>
      <c r="E104" s="410">
        <v>1</v>
      </c>
      <c r="F104" s="415"/>
      <c r="G104" s="415"/>
      <c r="H104" s="412">
        <f>PRODUCT(K104:L104)</f>
        <v>0</v>
      </c>
      <c r="I104" s="413">
        <v>1E-4</v>
      </c>
      <c r="J104" s="414">
        <f>PRODUCT(L104:M104)</f>
        <v>1E-4</v>
      </c>
      <c r="K104" s="371">
        <f>SUM(F104:G104)</f>
        <v>0</v>
      </c>
      <c r="L104" s="371">
        <f>SUM(E104)</f>
        <v>1</v>
      </c>
      <c r="M104" s="371">
        <f>SUM(I104)</f>
        <v>1E-4</v>
      </c>
    </row>
    <row r="105" spans="1:13" ht="25.5">
      <c r="A105" s="375"/>
      <c r="C105" s="439" t="s">
        <v>1610</v>
      </c>
      <c r="D105" s="410"/>
      <c r="E105" s="410"/>
      <c r="F105" s="415"/>
      <c r="G105" s="415"/>
      <c r="H105" s="412"/>
      <c r="I105" s="382"/>
    </row>
    <row r="106" spans="1:13">
      <c r="A106" s="375"/>
      <c r="C106" s="439" t="s">
        <v>1611</v>
      </c>
      <c r="D106" s="410"/>
      <c r="E106" s="410"/>
      <c r="F106" s="415"/>
      <c r="G106" s="415"/>
      <c r="H106" s="412"/>
      <c r="I106" s="382"/>
    </row>
    <row r="107" spans="1:13">
      <c r="A107" s="375">
        <v>21</v>
      </c>
      <c r="B107" s="371" t="s">
        <v>1612</v>
      </c>
      <c r="C107" s="442" t="s">
        <v>1613</v>
      </c>
      <c r="D107" s="440" t="s">
        <v>1487</v>
      </c>
      <c r="E107" s="410">
        <v>15</v>
      </c>
      <c r="F107" s="415"/>
      <c r="G107" s="415"/>
      <c r="H107" s="412">
        <f>PRODUCT(K107:L107)</f>
        <v>0</v>
      </c>
      <c r="I107" s="413">
        <v>8.9999999999999998E-4</v>
      </c>
      <c r="J107" s="414">
        <f>PRODUCT(L107:M107)</f>
        <v>1.35E-2</v>
      </c>
      <c r="K107" s="371">
        <f>SUM(F107:G107)</f>
        <v>0</v>
      </c>
      <c r="L107" s="371">
        <f>SUM(E107)</f>
        <v>15</v>
      </c>
      <c r="M107" s="371">
        <f>SUM(I107)</f>
        <v>8.9999999999999998E-4</v>
      </c>
    </row>
    <row r="108" spans="1:13">
      <c r="A108" s="375">
        <v>22</v>
      </c>
      <c r="B108" s="371" t="s">
        <v>1614</v>
      </c>
      <c r="C108" s="442" t="s">
        <v>1615</v>
      </c>
      <c r="D108" s="440" t="s">
        <v>1487</v>
      </c>
      <c r="E108" s="410">
        <v>7</v>
      </c>
      <c r="F108" s="415"/>
      <c r="G108" s="415"/>
      <c r="H108" s="412">
        <f>PRODUCT(K108:L108)</f>
        <v>0</v>
      </c>
      <c r="I108" s="413">
        <v>9.6000000000000002E-4</v>
      </c>
      <c r="J108" s="414">
        <f>PRODUCT(L108:M108)</f>
        <v>6.7200000000000003E-3</v>
      </c>
      <c r="K108" s="371">
        <f>SUM(F108:G108)</f>
        <v>0</v>
      </c>
      <c r="L108" s="371">
        <f>SUM(E108)</f>
        <v>7</v>
      </c>
      <c r="M108" s="371">
        <f>SUM(I108)</f>
        <v>9.6000000000000002E-4</v>
      </c>
    </row>
    <row r="109" spans="1:13">
      <c r="A109" s="375">
        <v>23</v>
      </c>
      <c r="B109" s="371" t="s">
        <v>1616</v>
      </c>
      <c r="C109" s="442" t="s">
        <v>1617</v>
      </c>
      <c r="D109" s="440" t="s">
        <v>1487</v>
      </c>
      <c r="E109" s="410">
        <v>30</v>
      </c>
      <c r="F109" s="415"/>
      <c r="G109" s="415"/>
      <c r="H109" s="412">
        <f>PRODUCT(K109:L109)</f>
        <v>0</v>
      </c>
      <c r="I109" s="413">
        <v>1.2099999999999999E-3</v>
      </c>
      <c r="J109" s="414">
        <f>PRODUCT(L109:M109)</f>
        <v>3.6299999999999999E-2</v>
      </c>
      <c r="K109" s="371">
        <f>SUM(F109:G109)</f>
        <v>0</v>
      </c>
      <c r="L109" s="371">
        <f>SUM(E109)</f>
        <v>30</v>
      </c>
      <c r="M109" s="371">
        <f>SUM(I109)</f>
        <v>1.2099999999999999E-3</v>
      </c>
    </row>
    <row r="110" spans="1:13">
      <c r="A110" s="375">
        <v>24</v>
      </c>
      <c r="B110" s="371" t="s">
        <v>1618</v>
      </c>
      <c r="C110" s="442" t="s">
        <v>1619</v>
      </c>
      <c r="D110" s="440" t="s">
        <v>1487</v>
      </c>
      <c r="E110" s="410">
        <v>95</v>
      </c>
      <c r="F110" s="415"/>
      <c r="G110" s="415"/>
      <c r="H110" s="412">
        <f>PRODUCT(K110:L110)</f>
        <v>0</v>
      </c>
      <c r="I110" s="413">
        <v>1.3500000000000001E-3</v>
      </c>
      <c r="J110" s="414">
        <f>PRODUCT(L110:M110)</f>
        <v>0.12825</v>
      </c>
      <c r="K110" s="371">
        <f>SUM(F110:G110)</f>
        <v>0</v>
      </c>
      <c r="L110" s="371">
        <f>SUM(E110)</f>
        <v>95</v>
      </c>
      <c r="M110" s="371">
        <f>SUM(I110)</f>
        <v>1.3500000000000001E-3</v>
      </c>
    </row>
    <row r="111" spans="1:13">
      <c r="A111" s="375">
        <v>25</v>
      </c>
      <c r="B111" s="371" t="s">
        <v>1620</v>
      </c>
      <c r="C111" s="442" t="s">
        <v>1621</v>
      </c>
      <c r="D111" s="440" t="s">
        <v>805</v>
      </c>
      <c r="E111" s="410">
        <v>28</v>
      </c>
      <c r="F111" s="415"/>
      <c r="G111" s="415"/>
      <c r="H111" s="412">
        <f>PRODUCT(K111:L111)</f>
        <v>0</v>
      </c>
      <c r="I111" s="413">
        <v>1.0000000000000001E-5</v>
      </c>
      <c r="J111" s="414">
        <f>PRODUCT(L111:M111)</f>
        <v>2.8000000000000003E-4</v>
      </c>
      <c r="K111" s="371">
        <f>SUM(F111:G111)</f>
        <v>0</v>
      </c>
      <c r="L111" s="371">
        <f>SUM(E111)</f>
        <v>28</v>
      </c>
      <c r="M111" s="371">
        <f>SUM(I111)</f>
        <v>1.0000000000000001E-5</v>
      </c>
    </row>
    <row r="112" spans="1:13">
      <c r="A112" s="375"/>
      <c r="C112" s="450" t="s">
        <v>1622</v>
      </c>
      <c r="D112" s="440"/>
      <c r="E112" s="410"/>
      <c r="F112" s="415"/>
      <c r="G112" s="415"/>
      <c r="H112" s="412"/>
      <c r="I112" s="382"/>
    </row>
    <row r="113" spans="1:13">
      <c r="A113" s="375"/>
      <c r="C113" s="442" t="s">
        <v>1623</v>
      </c>
      <c r="D113" s="440"/>
      <c r="E113" s="410"/>
      <c r="F113" s="415"/>
      <c r="G113" s="415"/>
      <c r="H113" s="412"/>
      <c r="I113" s="382"/>
    </row>
    <row r="114" spans="1:13">
      <c r="A114" s="375">
        <v>26</v>
      </c>
      <c r="B114" s="371" t="s">
        <v>1624</v>
      </c>
      <c r="C114" s="442" t="s">
        <v>1625</v>
      </c>
      <c r="D114" s="440" t="s">
        <v>805</v>
      </c>
      <c r="E114" s="410">
        <v>1</v>
      </c>
      <c r="F114" s="415"/>
      <c r="G114" s="415"/>
      <c r="H114" s="412">
        <f t="shared" ref="H114:H122" si="10">PRODUCT(K114:L114)</f>
        <v>0</v>
      </c>
      <c r="I114" s="413">
        <v>4.0000000000000002E-4</v>
      </c>
      <c r="J114" s="414">
        <f t="shared" ref="J114:J122" si="11">PRODUCT(L114:M114)</f>
        <v>4.0000000000000002E-4</v>
      </c>
      <c r="K114" s="371">
        <f t="shared" ref="K114:K122" si="12">SUM(F114:G114)</f>
        <v>0</v>
      </c>
      <c r="L114" s="371">
        <f t="shared" ref="L114:L122" si="13">SUM(E114)</f>
        <v>1</v>
      </c>
      <c r="M114" s="371">
        <f t="shared" ref="M114:M122" si="14">SUM(I114)</f>
        <v>4.0000000000000002E-4</v>
      </c>
    </row>
    <row r="115" spans="1:13">
      <c r="A115" s="375">
        <v>27</v>
      </c>
      <c r="B115" s="371" t="s">
        <v>1626</v>
      </c>
      <c r="C115" s="442" t="s">
        <v>1627</v>
      </c>
      <c r="D115" s="440" t="s">
        <v>805</v>
      </c>
      <c r="E115" s="410">
        <v>3</v>
      </c>
      <c r="F115" s="415"/>
      <c r="G115" s="415"/>
      <c r="H115" s="412">
        <f t="shared" si="10"/>
        <v>0</v>
      </c>
      <c r="I115" s="413">
        <v>4.0000000000000002E-4</v>
      </c>
      <c r="J115" s="414">
        <f t="shared" si="11"/>
        <v>1.2000000000000001E-3</v>
      </c>
      <c r="K115" s="371">
        <f t="shared" si="12"/>
        <v>0</v>
      </c>
      <c r="L115" s="371">
        <f t="shared" si="13"/>
        <v>3</v>
      </c>
      <c r="M115" s="371">
        <f t="shared" si="14"/>
        <v>4.0000000000000002E-4</v>
      </c>
    </row>
    <row r="116" spans="1:13">
      <c r="A116" s="375">
        <v>28</v>
      </c>
      <c r="B116" s="371" t="s">
        <v>1628</v>
      </c>
      <c r="C116" s="442" t="s">
        <v>1629</v>
      </c>
      <c r="D116" s="440" t="s">
        <v>805</v>
      </c>
      <c r="E116" s="410">
        <v>1</v>
      </c>
      <c r="F116" s="415"/>
      <c r="G116" s="415"/>
      <c r="H116" s="412">
        <f t="shared" si="10"/>
        <v>0</v>
      </c>
      <c r="I116" s="413">
        <v>4.0000000000000002E-4</v>
      </c>
      <c r="J116" s="414">
        <f t="shared" si="11"/>
        <v>4.0000000000000002E-4</v>
      </c>
      <c r="K116" s="371">
        <f t="shared" si="12"/>
        <v>0</v>
      </c>
      <c r="L116" s="371">
        <f t="shared" si="13"/>
        <v>1</v>
      </c>
      <c r="M116" s="371">
        <f t="shared" si="14"/>
        <v>4.0000000000000002E-4</v>
      </c>
    </row>
    <row r="117" spans="1:13">
      <c r="A117" s="375">
        <v>29</v>
      </c>
      <c r="B117" s="371" t="s">
        <v>1630</v>
      </c>
      <c r="C117" s="442" t="s">
        <v>1631</v>
      </c>
      <c r="D117" s="440" t="s">
        <v>805</v>
      </c>
      <c r="E117" s="410">
        <v>1</v>
      </c>
      <c r="F117" s="415"/>
      <c r="G117" s="415"/>
      <c r="H117" s="412">
        <f t="shared" si="10"/>
        <v>0</v>
      </c>
      <c r="I117" s="413">
        <v>4.0000000000000002E-4</v>
      </c>
      <c r="J117" s="414">
        <f t="shared" si="11"/>
        <v>4.0000000000000002E-4</v>
      </c>
      <c r="K117" s="371">
        <f t="shared" si="12"/>
        <v>0</v>
      </c>
      <c r="L117" s="371">
        <f t="shared" si="13"/>
        <v>1</v>
      </c>
      <c r="M117" s="371">
        <f t="shared" si="14"/>
        <v>4.0000000000000002E-4</v>
      </c>
    </row>
    <row r="118" spans="1:13">
      <c r="A118" s="375">
        <v>30</v>
      </c>
      <c r="B118" s="371" t="s">
        <v>1632</v>
      </c>
      <c r="C118" s="442" t="s">
        <v>1633</v>
      </c>
      <c r="D118" s="440" t="s">
        <v>805</v>
      </c>
      <c r="E118" s="410">
        <v>2</v>
      </c>
      <c r="F118" s="415"/>
      <c r="G118" s="415"/>
      <c r="H118" s="412">
        <f t="shared" si="10"/>
        <v>0</v>
      </c>
      <c r="I118" s="413">
        <v>1E-4</v>
      </c>
      <c r="J118" s="414">
        <f t="shared" si="11"/>
        <v>2.0000000000000001E-4</v>
      </c>
      <c r="K118" s="371">
        <f t="shared" si="12"/>
        <v>0</v>
      </c>
      <c r="L118" s="371">
        <f t="shared" si="13"/>
        <v>2</v>
      </c>
      <c r="M118" s="371">
        <f t="shared" si="14"/>
        <v>1E-4</v>
      </c>
    </row>
    <row r="119" spans="1:13">
      <c r="A119" s="375">
        <v>31</v>
      </c>
      <c r="B119" s="371" t="s">
        <v>1634</v>
      </c>
      <c r="C119" s="442" t="s">
        <v>1635</v>
      </c>
      <c r="D119" s="440" t="s">
        <v>805</v>
      </c>
      <c r="E119" s="410"/>
      <c r="F119" s="415"/>
      <c r="G119" s="415"/>
      <c r="H119" s="412">
        <f t="shared" si="10"/>
        <v>0</v>
      </c>
      <c r="I119" s="413">
        <v>1E-4</v>
      </c>
      <c r="J119" s="414">
        <f t="shared" si="11"/>
        <v>0</v>
      </c>
      <c r="K119" s="371">
        <f t="shared" si="12"/>
        <v>0</v>
      </c>
      <c r="L119" s="371">
        <f t="shared" si="13"/>
        <v>0</v>
      </c>
      <c r="M119" s="371">
        <f t="shared" si="14"/>
        <v>1E-4</v>
      </c>
    </row>
    <row r="120" spans="1:13">
      <c r="A120" s="375">
        <v>32</v>
      </c>
      <c r="B120" s="371" t="s">
        <v>1636</v>
      </c>
      <c r="C120" s="442" t="s">
        <v>1637</v>
      </c>
      <c r="D120" s="440" t="s">
        <v>805</v>
      </c>
      <c r="E120" s="410">
        <v>5</v>
      </c>
      <c r="F120" s="415"/>
      <c r="G120" s="415"/>
      <c r="H120" s="412">
        <f t="shared" si="10"/>
        <v>0</v>
      </c>
      <c r="I120" s="413">
        <v>1E-4</v>
      </c>
      <c r="J120" s="414">
        <f t="shared" si="11"/>
        <v>5.0000000000000001E-4</v>
      </c>
      <c r="K120" s="371">
        <f t="shared" si="12"/>
        <v>0</v>
      </c>
      <c r="L120" s="371">
        <f t="shared" si="13"/>
        <v>5</v>
      </c>
      <c r="M120" s="371">
        <f t="shared" si="14"/>
        <v>1E-4</v>
      </c>
    </row>
    <row r="121" spans="1:13">
      <c r="A121" s="375">
        <v>33</v>
      </c>
      <c r="B121" s="371" t="s">
        <v>1638</v>
      </c>
      <c r="C121" s="442" t="s">
        <v>1639</v>
      </c>
      <c r="D121" s="440" t="s">
        <v>805</v>
      </c>
      <c r="E121" s="410">
        <v>10</v>
      </c>
      <c r="F121" s="415"/>
      <c r="G121" s="415"/>
      <c r="H121" s="412">
        <f t="shared" si="10"/>
        <v>0</v>
      </c>
      <c r="I121" s="413">
        <v>1E-4</v>
      </c>
      <c r="J121" s="414">
        <f t="shared" si="11"/>
        <v>1E-3</v>
      </c>
      <c r="K121" s="371">
        <f t="shared" si="12"/>
        <v>0</v>
      </c>
      <c r="L121" s="371">
        <f t="shared" si="13"/>
        <v>10</v>
      </c>
      <c r="M121" s="371">
        <f t="shared" si="14"/>
        <v>1E-4</v>
      </c>
    </row>
    <row r="122" spans="1:13">
      <c r="A122" s="375">
        <v>34</v>
      </c>
      <c r="B122" s="371" t="s">
        <v>1640</v>
      </c>
      <c r="C122" s="442" t="s">
        <v>1641</v>
      </c>
      <c r="D122" s="440" t="s">
        <v>805</v>
      </c>
      <c r="E122" s="410">
        <v>28</v>
      </c>
      <c r="F122" s="415"/>
      <c r="G122" s="415"/>
      <c r="H122" s="412">
        <f t="shared" si="10"/>
        <v>0</v>
      </c>
      <c r="I122" s="413">
        <v>1E-4</v>
      </c>
      <c r="J122" s="414">
        <f t="shared" si="11"/>
        <v>2.8E-3</v>
      </c>
      <c r="K122" s="371">
        <f t="shared" si="12"/>
        <v>0</v>
      </c>
      <c r="L122" s="371">
        <f t="shared" si="13"/>
        <v>28</v>
      </c>
      <c r="M122" s="371">
        <f t="shared" si="14"/>
        <v>1E-4</v>
      </c>
    </row>
    <row r="123" spans="1:13">
      <c r="A123" s="375"/>
      <c r="C123" s="439" t="s">
        <v>1642</v>
      </c>
      <c r="D123" s="440"/>
      <c r="E123" s="410"/>
      <c r="F123" s="415"/>
      <c r="G123" s="415"/>
      <c r="H123" s="412"/>
      <c r="I123" s="413"/>
      <c r="J123" s="414"/>
    </row>
    <row r="124" spans="1:13">
      <c r="A124" s="375">
        <v>35</v>
      </c>
      <c r="B124" s="371" t="s">
        <v>1643</v>
      </c>
      <c r="C124" s="442" t="s">
        <v>1644</v>
      </c>
      <c r="D124" s="440" t="s">
        <v>219</v>
      </c>
      <c r="E124" s="410">
        <v>15</v>
      </c>
      <c r="F124" s="415"/>
      <c r="G124" s="415"/>
      <c r="H124" s="412">
        <f>PRODUCT(K124:L124)</f>
        <v>0</v>
      </c>
      <c r="I124" s="413">
        <v>2.3000000000000001E-4</v>
      </c>
      <c r="J124" s="414">
        <f>PRODUCT(L124:M124)</f>
        <v>3.4499999999999999E-3</v>
      </c>
      <c r="K124" s="371">
        <f>SUM(F124:G124)</f>
        <v>0</v>
      </c>
      <c r="L124" s="371">
        <f>SUM(E124)</f>
        <v>15</v>
      </c>
      <c r="M124" s="371">
        <f>SUM(I124)</f>
        <v>2.3000000000000001E-4</v>
      </c>
    </row>
    <row r="125" spans="1:13">
      <c r="A125" s="375">
        <v>36</v>
      </c>
      <c r="B125" s="371" t="s">
        <v>1645</v>
      </c>
      <c r="C125" s="442" t="s">
        <v>1646</v>
      </c>
      <c r="D125" s="440" t="s">
        <v>219</v>
      </c>
      <c r="E125" s="410">
        <v>7</v>
      </c>
      <c r="F125" s="415"/>
      <c r="G125" s="415"/>
      <c r="H125" s="412">
        <f>PRODUCT(K125:L125)</f>
        <v>0</v>
      </c>
      <c r="I125" s="413">
        <v>3.2000000000000003E-4</v>
      </c>
      <c r="J125" s="414">
        <f>PRODUCT(L125:M125)</f>
        <v>2.2400000000000002E-3</v>
      </c>
      <c r="K125" s="371">
        <f>SUM(F125:G125)</f>
        <v>0</v>
      </c>
      <c r="L125" s="371">
        <f>SUM(E125)</f>
        <v>7</v>
      </c>
      <c r="M125" s="371">
        <f>SUM(I125)</f>
        <v>3.2000000000000003E-4</v>
      </c>
    </row>
    <row r="126" spans="1:13">
      <c r="A126" s="375">
        <v>37</v>
      </c>
      <c r="B126" s="371" t="s">
        <v>1647</v>
      </c>
      <c r="C126" s="442" t="s">
        <v>1648</v>
      </c>
      <c r="D126" s="440" t="s">
        <v>219</v>
      </c>
      <c r="E126" s="410">
        <v>30</v>
      </c>
      <c r="F126" s="415"/>
      <c r="G126" s="415"/>
      <c r="H126" s="412">
        <f>PRODUCT(K126:L126)</f>
        <v>0</v>
      </c>
      <c r="I126" s="413">
        <v>4.6999999999999999E-4</v>
      </c>
      <c r="J126" s="414">
        <f>PRODUCT(L126:M126)</f>
        <v>1.41E-2</v>
      </c>
      <c r="K126" s="371">
        <f>SUM(F126:G126)</f>
        <v>0</v>
      </c>
      <c r="L126" s="371">
        <f>SUM(E126)</f>
        <v>30</v>
      </c>
      <c r="M126" s="371">
        <f>SUM(I126)</f>
        <v>4.6999999999999999E-4</v>
      </c>
    </row>
    <row r="127" spans="1:13">
      <c r="A127" s="375">
        <v>38</v>
      </c>
      <c r="B127" s="371" t="s">
        <v>1649</v>
      </c>
      <c r="C127" s="442" t="s">
        <v>1650</v>
      </c>
      <c r="D127" s="440" t="s">
        <v>219</v>
      </c>
      <c r="E127" s="410">
        <v>95</v>
      </c>
      <c r="F127" s="415"/>
      <c r="G127" s="415"/>
      <c r="H127" s="412">
        <f>PRODUCT(K127:L127)</f>
        <v>0</v>
      </c>
      <c r="I127" s="413">
        <v>5.9999999999999995E-4</v>
      </c>
      <c r="J127" s="414">
        <f>PRODUCT(L127:M127)</f>
        <v>5.6999999999999995E-2</v>
      </c>
      <c r="K127" s="371">
        <f>SUM(F127:G127)</f>
        <v>0</v>
      </c>
      <c r="L127" s="371">
        <f>SUM(E127)</f>
        <v>95</v>
      </c>
      <c r="M127" s="371">
        <f>SUM(I127)</f>
        <v>5.9999999999999995E-4</v>
      </c>
    </row>
    <row r="128" spans="1:13">
      <c r="A128" s="375"/>
      <c r="B128" s="426"/>
      <c r="C128" s="439" t="s">
        <v>1651</v>
      </c>
      <c r="D128" s="440"/>
      <c r="E128" s="410"/>
      <c r="F128" s="415"/>
      <c r="G128" s="415"/>
      <c r="H128" s="412"/>
      <c r="I128" s="413"/>
      <c r="J128" s="414"/>
    </row>
    <row r="129" spans="1:13">
      <c r="A129" s="375">
        <v>39</v>
      </c>
      <c r="B129" s="426" t="s">
        <v>1652</v>
      </c>
      <c r="C129" s="442" t="s">
        <v>1653</v>
      </c>
      <c r="D129" s="440" t="s">
        <v>805</v>
      </c>
      <c r="E129" s="410">
        <v>18</v>
      </c>
      <c r="F129" s="415"/>
      <c r="G129" s="415"/>
      <c r="H129" s="412">
        <f>PRODUCT(K129:L129)</f>
        <v>0</v>
      </c>
      <c r="I129" s="413">
        <v>0</v>
      </c>
      <c r="J129" s="414">
        <f>PRODUCT(L129:M129)</f>
        <v>0</v>
      </c>
      <c r="K129" s="371">
        <f>SUM(F129:G129)</f>
        <v>0</v>
      </c>
      <c r="L129" s="371">
        <f>SUM(E129)</f>
        <v>18</v>
      </c>
      <c r="M129" s="371">
        <f>SUM(I129)</f>
        <v>0</v>
      </c>
    </row>
    <row r="130" spans="1:13">
      <c r="A130" s="375">
        <v>40</v>
      </c>
      <c r="B130" s="426" t="s">
        <v>1654</v>
      </c>
      <c r="C130" s="442" t="s">
        <v>1655</v>
      </c>
      <c r="D130" s="440" t="s">
        <v>805</v>
      </c>
      <c r="E130" s="410">
        <v>8</v>
      </c>
      <c r="F130" s="415"/>
      <c r="G130" s="415"/>
      <c r="H130" s="412">
        <f>PRODUCT(K130:L130)</f>
        <v>0</v>
      </c>
      <c r="I130" s="413">
        <v>0</v>
      </c>
      <c r="J130" s="414">
        <f>PRODUCT(L130:M130)</f>
        <v>0</v>
      </c>
      <c r="K130" s="371">
        <f>SUM(F130:G130)</f>
        <v>0</v>
      </c>
      <c r="L130" s="371">
        <f>SUM(E130)</f>
        <v>8</v>
      </c>
      <c r="M130" s="371">
        <f>SUM(I130)</f>
        <v>0</v>
      </c>
    </row>
    <row r="131" spans="1:13">
      <c r="A131" s="375">
        <v>41</v>
      </c>
      <c r="B131" s="426" t="s">
        <v>1656</v>
      </c>
      <c r="C131" s="442" t="s">
        <v>1657</v>
      </c>
      <c r="D131" s="440" t="s">
        <v>805</v>
      </c>
      <c r="E131" s="410">
        <v>16</v>
      </c>
      <c r="F131" s="415"/>
      <c r="G131" s="415"/>
      <c r="H131" s="412">
        <f>PRODUCT(K131:L131)</f>
        <v>0</v>
      </c>
      <c r="I131" s="413">
        <v>0</v>
      </c>
      <c r="J131" s="414">
        <f>PRODUCT(L131:M131)</f>
        <v>0</v>
      </c>
      <c r="K131" s="371">
        <f>SUM(F131:G131)</f>
        <v>0</v>
      </c>
      <c r="L131" s="371">
        <f>SUM(E131)</f>
        <v>16</v>
      </c>
      <c r="M131" s="371">
        <f>SUM(I131)</f>
        <v>0</v>
      </c>
    </row>
    <row r="132" spans="1:13">
      <c r="A132" s="375"/>
      <c r="C132" s="439" t="s">
        <v>1658</v>
      </c>
      <c r="D132" s="440"/>
      <c r="E132" s="410"/>
      <c r="F132" s="415"/>
      <c r="G132" s="415"/>
      <c r="H132" s="412"/>
      <c r="I132" s="413"/>
      <c r="J132" s="414"/>
    </row>
    <row r="133" spans="1:13">
      <c r="A133" s="375">
        <v>42</v>
      </c>
      <c r="B133" s="426" t="s">
        <v>1659</v>
      </c>
      <c r="C133" s="442" t="s">
        <v>1660</v>
      </c>
      <c r="D133" s="440" t="s">
        <v>805</v>
      </c>
      <c r="E133" s="410">
        <v>9</v>
      </c>
      <c r="F133" s="415"/>
      <c r="G133" s="415"/>
      <c r="H133" s="412">
        <f>PRODUCT(K133:L133)</f>
        <v>0</v>
      </c>
      <c r="I133" s="413">
        <v>0</v>
      </c>
      <c r="J133" s="414">
        <f>PRODUCT(L133:M133)</f>
        <v>0</v>
      </c>
      <c r="K133" s="371">
        <f>SUM(F133:G133)</f>
        <v>0</v>
      </c>
      <c r="L133" s="371">
        <f>SUM(E133)</f>
        <v>9</v>
      </c>
      <c r="M133" s="371">
        <f>SUM(I133)</f>
        <v>0</v>
      </c>
    </row>
    <row r="134" spans="1:13">
      <c r="A134" s="375">
        <v>43</v>
      </c>
      <c r="B134" s="426" t="s">
        <v>1661</v>
      </c>
      <c r="C134" s="442" t="s">
        <v>1662</v>
      </c>
      <c r="D134" s="440" t="s">
        <v>805</v>
      </c>
      <c r="E134" s="410">
        <v>2</v>
      </c>
      <c r="F134" s="415"/>
      <c r="G134" s="415"/>
      <c r="H134" s="412">
        <f>PRODUCT(K134:L134)</f>
        <v>0</v>
      </c>
      <c r="I134" s="413">
        <v>0</v>
      </c>
      <c r="J134" s="414">
        <f>PRODUCT(L134:M134)</f>
        <v>0</v>
      </c>
      <c r="K134" s="371">
        <f>SUM(F134:G134)</f>
        <v>0</v>
      </c>
      <c r="L134" s="371">
        <f>SUM(E134)</f>
        <v>2</v>
      </c>
      <c r="M134" s="371">
        <f>SUM(I134)</f>
        <v>0</v>
      </c>
    </row>
    <row r="135" spans="1:13">
      <c r="A135" s="375"/>
      <c r="C135" s="450" t="s">
        <v>1663</v>
      </c>
      <c r="D135" s="440"/>
      <c r="E135" s="410"/>
      <c r="F135" s="415"/>
      <c r="G135" s="415"/>
      <c r="H135" s="412"/>
      <c r="I135" s="413"/>
      <c r="J135" s="414"/>
    </row>
    <row r="136" spans="1:13">
      <c r="A136" s="375">
        <v>44</v>
      </c>
      <c r="B136" s="426" t="s">
        <v>1664</v>
      </c>
      <c r="C136" s="442" t="s">
        <v>1665</v>
      </c>
      <c r="D136" s="440"/>
      <c r="E136" s="410"/>
      <c r="F136" s="415"/>
      <c r="G136" s="415"/>
      <c r="H136" s="412"/>
      <c r="I136" s="413"/>
      <c r="J136" s="414"/>
    </row>
    <row r="137" spans="1:13">
      <c r="A137" s="375"/>
      <c r="B137" s="426"/>
      <c r="C137" s="442" t="s">
        <v>1666</v>
      </c>
      <c r="D137" s="440"/>
      <c r="E137" s="410"/>
      <c r="F137" s="415"/>
      <c r="G137" s="415"/>
      <c r="H137" s="412"/>
      <c r="I137" s="413"/>
      <c r="J137" s="414"/>
    </row>
    <row r="138" spans="1:13">
      <c r="A138" s="375"/>
      <c r="B138" s="426"/>
      <c r="C138" s="442" t="s">
        <v>1667</v>
      </c>
      <c r="D138" s="440"/>
      <c r="E138" s="410"/>
      <c r="F138" s="415"/>
      <c r="G138" s="415"/>
      <c r="H138" s="412"/>
      <c r="I138" s="413"/>
      <c r="J138" s="414"/>
    </row>
    <row r="139" spans="1:13">
      <c r="A139" s="375"/>
      <c r="B139" s="426"/>
      <c r="C139" s="442" t="s">
        <v>1668</v>
      </c>
      <c r="D139" s="440" t="s">
        <v>805</v>
      </c>
      <c r="E139" s="410">
        <v>1</v>
      </c>
      <c r="F139" s="415"/>
      <c r="G139" s="415"/>
      <c r="H139" s="412">
        <f>PRODUCT(K139:L139)</f>
        <v>0</v>
      </c>
      <c r="I139" s="413">
        <v>0.01</v>
      </c>
      <c r="J139" s="414">
        <f>PRODUCT(L139:M139)</f>
        <v>0.01</v>
      </c>
      <c r="K139" s="371">
        <f>SUM(F139:G139)</f>
        <v>0</v>
      </c>
      <c r="L139" s="371">
        <f>SUM(E139)</f>
        <v>1</v>
      </c>
      <c r="M139" s="371">
        <f>SUM(I139)</f>
        <v>0.01</v>
      </c>
    </row>
    <row r="140" spans="1:13">
      <c r="A140" s="375">
        <v>45</v>
      </c>
      <c r="B140" s="426" t="s">
        <v>1669</v>
      </c>
      <c r="C140" s="442" t="s">
        <v>1670</v>
      </c>
      <c r="D140" s="440"/>
      <c r="E140" s="410"/>
      <c r="F140" s="415"/>
      <c r="G140" s="415"/>
      <c r="H140" s="412"/>
      <c r="I140" s="413"/>
      <c r="J140" s="414"/>
    </row>
    <row r="141" spans="1:13">
      <c r="A141" s="375"/>
      <c r="B141" s="426"/>
      <c r="C141" s="442" t="s">
        <v>1671</v>
      </c>
      <c r="D141" s="440"/>
      <c r="E141" s="410"/>
      <c r="F141" s="415"/>
      <c r="G141" s="415"/>
      <c r="H141" s="412"/>
      <c r="I141" s="413"/>
      <c r="J141" s="414"/>
    </row>
    <row r="142" spans="1:13">
      <c r="A142" s="375"/>
      <c r="B142" s="426"/>
      <c r="C142" s="442" t="s">
        <v>1672</v>
      </c>
      <c r="D142" s="440"/>
      <c r="E142" s="410"/>
      <c r="F142" s="415"/>
      <c r="G142" s="415"/>
      <c r="H142" s="412"/>
      <c r="I142" s="413"/>
      <c r="J142" s="414"/>
    </row>
    <row r="143" spans="1:13">
      <c r="A143" s="375"/>
      <c r="B143" s="426" t="s">
        <v>79</v>
      </c>
      <c r="C143" s="442" t="s">
        <v>1673</v>
      </c>
      <c r="D143" s="440" t="s">
        <v>805</v>
      </c>
      <c r="E143" s="410">
        <v>1</v>
      </c>
      <c r="F143" s="415"/>
      <c r="G143" s="415"/>
      <c r="H143" s="412">
        <f>PRODUCT(K143:L143)</f>
        <v>0</v>
      </c>
      <c r="I143" s="413">
        <v>0.01</v>
      </c>
      <c r="J143" s="414">
        <f>PRODUCT(L143:M143)</f>
        <v>0.01</v>
      </c>
      <c r="K143" s="371">
        <f>SUM(F143:G143)</f>
        <v>0</v>
      </c>
      <c r="L143" s="371">
        <f>SUM(E143)</f>
        <v>1</v>
      </c>
      <c r="M143" s="371">
        <f>SUM(I143)</f>
        <v>0.01</v>
      </c>
    </row>
    <row r="144" spans="1:13">
      <c r="A144" s="375"/>
      <c r="B144" s="375"/>
      <c r="C144" s="439" t="s">
        <v>1674</v>
      </c>
      <c r="D144" s="440"/>
      <c r="E144" s="410"/>
      <c r="F144" s="415"/>
      <c r="G144" s="415"/>
      <c r="H144" s="412"/>
      <c r="I144" s="382"/>
    </row>
    <row r="145" spans="1:13">
      <c r="A145" s="375">
        <v>46</v>
      </c>
      <c r="B145" s="426" t="s">
        <v>1675</v>
      </c>
      <c r="C145" s="442" t="s">
        <v>1676</v>
      </c>
      <c r="D145" s="440" t="s">
        <v>805</v>
      </c>
      <c r="E145" s="410">
        <v>2</v>
      </c>
      <c r="F145" s="415"/>
      <c r="G145" s="415"/>
      <c r="H145" s="412">
        <f>PRODUCT(K145:L145)</f>
        <v>0</v>
      </c>
      <c r="I145" s="413">
        <v>0</v>
      </c>
      <c r="J145" s="414">
        <f>PRODUCT(L145:M145)</f>
        <v>0</v>
      </c>
      <c r="K145" s="371">
        <f>SUM(F145:G145)</f>
        <v>0</v>
      </c>
      <c r="L145" s="371">
        <f>SUM(E145)</f>
        <v>2</v>
      </c>
      <c r="M145" s="371">
        <f>SUM(I145)</f>
        <v>0</v>
      </c>
    </row>
    <row r="146" spans="1:13">
      <c r="A146" s="375" t="s">
        <v>1677</v>
      </c>
      <c r="B146" s="426" t="s">
        <v>1678</v>
      </c>
      <c r="C146" s="442" t="s">
        <v>1679</v>
      </c>
      <c r="D146" s="440" t="s">
        <v>805</v>
      </c>
      <c r="E146" s="410">
        <v>1</v>
      </c>
      <c r="F146" s="415"/>
      <c r="G146" s="415"/>
      <c r="H146" s="412">
        <f>PRODUCT(K146:L146)</f>
        <v>0</v>
      </c>
      <c r="I146" s="413">
        <v>0</v>
      </c>
      <c r="J146" s="414">
        <f>PRODUCT(L146:M146)</f>
        <v>0</v>
      </c>
      <c r="K146" s="371">
        <f>SUM(F146:G146)</f>
        <v>0</v>
      </c>
      <c r="L146" s="371">
        <f>SUM(E146)</f>
        <v>1</v>
      </c>
      <c r="M146" s="371">
        <f>SUM(I146)</f>
        <v>0</v>
      </c>
    </row>
    <row r="147" spans="1:13">
      <c r="A147" s="375"/>
      <c r="B147" s="426"/>
      <c r="C147" s="451" t="s">
        <v>1680</v>
      </c>
      <c r="D147" s="440"/>
      <c r="E147" s="410"/>
      <c r="F147" s="415"/>
      <c r="G147" s="415"/>
      <c r="H147" s="412" t="s">
        <v>79</v>
      </c>
      <c r="I147" s="382"/>
    </row>
    <row r="148" spans="1:13">
      <c r="A148" s="375">
        <v>47</v>
      </c>
      <c r="B148" s="426" t="s">
        <v>1681</v>
      </c>
      <c r="C148" s="442" t="s">
        <v>1682</v>
      </c>
      <c r="D148" s="440"/>
      <c r="E148" s="410"/>
      <c r="F148" s="415"/>
      <c r="G148" s="415"/>
      <c r="H148" s="412" t="s">
        <v>79</v>
      </c>
      <c r="I148" s="382"/>
    </row>
    <row r="149" spans="1:13">
      <c r="A149" s="375"/>
      <c r="B149" s="426"/>
      <c r="C149" s="442" t="s">
        <v>1683</v>
      </c>
      <c r="D149" s="440" t="s">
        <v>79</v>
      </c>
      <c r="E149" s="410"/>
      <c r="F149" s="415"/>
      <c r="G149" s="415"/>
      <c r="H149" s="412" t="s">
        <v>79</v>
      </c>
      <c r="I149" s="382"/>
    </row>
    <row r="150" spans="1:13">
      <c r="A150" s="375"/>
      <c r="B150" s="426" t="s">
        <v>79</v>
      </c>
      <c r="C150" s="442" t="s">
        <v>1684</v>
      </c>
      <c r="D150" s="440" t="s">
        <v>79</v>
      </c>
      <c r="E150" s="410"/>
      <c r="F150" s="415"/>
      <c r="G150" s="415"/>
      <c r="H150" s="412" t="s">
        <v>79</v>
      </c>
      <c r="I150" s="382"/>
    </row>
    <row r="151" spans="1:13">
      <c r="A151" s="375"/>
      <c r="B151" s="426"/>
      <c r="C151" s="442" t="s">
        <v>1685</v>
      </c>
      <c r="D151" s="440"/>
      <c r="E151" s="410"/>
      <c r="F151" s="415"/>
      <c r="G151" s="415"/>
      <c r="H151" s="412"/>
      <c r="I151" s="382"/>
    </row>
    <row r="152" spans="1:13">
      <c r="A152" s="375"/>
      <c r="B152" s="426" t="s">
        <v>79</v>
      </c>
      <c r="C152" s="442" t="s">
        <v>1686</v>
      </c>
      <c r="D152" s="440" t="s">
        <v>805</v>
      </c>
      <c r="E152" s="410">
        <v>3</v>
      </c>
      <c r="F152" s="415"/>
      <c r="G152" s="415"/>
      <c r="H152" s="412">
        <f>PRODUCT(K152:L152)</f>
        <v>0</v>
      </c>
      <c r="I152" s="413">
        <v>0</v>
      </c>
      <c r="J152" s="414">
        <f>PRODUCT(L152:M152)</f>
        <v>0</v>
      </c>
      <c r="K152" s="371">
        <f>SUM(F152:G152)</f>
        <v>0</v>
      </c>
      <c r="L152" s="371">
        <f>SUM(E152)</f>
        <v>3</v>
      </c>
      <c r="M152" s="371">
        <f>SUM(I152)</f>
        <v>0</v>
      </c>
    </row>
    <row r="153" spans="1:13">
      <c r="A153" s="375">
        <v>48</v>
      </c>
      <c r="B153" s="426" t="s">
        <v>1687</v>
      </c>
      <c r="C153" s="442" t="s">
        <v>1688</v>
      </c>
      <c r="D153" s="440"/>
      <c r="E153" s="410"/>
      <c r="F153" s="415"/>
      <c r="G153" s="415"/>
      <c r="H153" s="412"/>
      <c r="I153" s="413"/>
      <c r="J153" s="414"/>
    </row>
    <row r="154" spans="1:13">
      <c r="A154" s="375"/>
      <c r="B154" s="426"/>
      <c r="C154" s="442" t="s">
        <v>1689</v>
      </c>
      <c r="D154" s="440"/>
      <c r="E154" s="410"/>
      <c r="F154" s="415"/>
      <c r="G154" s="415"/>
      <c r="H154" s="412"/>
      <c r="I154" s="413"/>
      <c r="J154" s="414"/>
    </row>
    <row r="155" spans="1:13">
      <c r="A155" s="375"/>
      <c r="B155" s="426"/>
      <c r="C155" s="442" t="s">
        <v>1690</v>
      </c>
      <c r="D155" s="440"/>
      <c r="E155" s="410"/>
      <c r="F155" s="415"/>
      <c r="G155" s="415"/>
      <c r="H155" s="412"/>
      <c r="I155" s="413"/>
      <c r="J155" s="414"/>
    </row>
    <row r="156" spans="1:13">
      <c r="A156" s="375"/>
      <c r="B156" s="426"/>
      <c r="C156" s="442" t="s">
        <v>1691</v>
      </c>
      <c r="D156" s="440"/>
      <c r="E156" s="410"/>
      <c r="F156" s="415"/>
      <c r="G156" s="415"/>
      <c r="H156" s="412"/>
      <c r="I156" s="413"/>
      <c r="J156" s="414"/>
    </row>
    <row r="157" spans="1:13">
      <c r="A157" s="375"/>
      <c r="B157" s="426" t="s">
        <v>79</v>
      </c>
      <c r="C157" s="442" t="s">
        <v>1692</v>
      </c>
      <c r="D157" s="440" t="s">
        <v>805</v>
      </c>
      <c r="E157" s="410">
        <v>1</v>
      </c>
      <c r="F157" s="415"/>
      <c r="G157" s="415"/>
      <c r="H157" s="412">
        <f>PRODUCT(K157:L157)</f>
        <v>0</v>
      </c>
      <c r="I157" s="413">
        <v>0</v>
      </c>
      <c r="J157" s="414">
        <f>PRODUCT(L157:M157)</f>
        <v>0</v>
      </c>
      <c r="K157" s="371">
        <f>SUM(F157:G157)</f>
        <v>0</v>
      </c>
      <c r="L157" s="371">
        <f>SUM(E157)</f>
        <v>1</v>
      </c>
      <c r="M157" s="371">
        <f>SUM(I157)</f>
        <v>0</v>
      </c>
    </row>
    <row r="158" spans="1:13">
      <c r="A158" s="375"/>
      <c r="B158" s="426"/>
      <c r="C158" s="439" t="s">
        <v>1693</v>
      </c>
      <c r="D158" s="440"/>
      <c r="E158" s="410"/>
      <c r="F158" s="415"/>
      <c r="G158" s="415"/>
      <c r="H158" s="412"/>
      <c r="I158" s="382"/>
    </row>
    <row r="159" spans="1:13">
      <c r="A159" s="375">
        <v>49</v>
      </c>
      <c r="B159" s="426" t="s">
        <v>1694</v>
      </c>
      <c r="C159" s="442" t="s">
        <v>1695</v>
      </c>
      <c r="D159" s="440" t="s">
        <v>219</v>
      </c>
      <c r="E159" s="410">
        <v>262</v>
      </c>
      <c r="F159" s="415"/>
      <c r="G159" s="415"/>
      <c r="H159" s="412">
        <f>PRODUCT(K159:L159)</f>
        <v>0</v>
      </c>
      <c r="I159" s="413">
        <v>0</v>
      </c>
      <c r="J159" s="414">
        <f>PRODUCT(L159:M159)</f>
        <v>0</v>
      </c>
      <c r="K159" s="371">
        <f>SUM(F159:G159)</f>
        <v>0</v>
      </c>
      <c r="L159" s="371">
        <f>SUM(E159)</f>
        <v>262</v>
      </c>
      <c r="M159" s="371">
        <f>SUM(I159)</f>
        <v>0</v>
      </c>
    </row>
    <row r="160" spans="1:13">
      <c r="A160" s="375">
        <v>50</v>
      </c>
      <c r="B160" s="426" t="s">
        <v>1696</v>
      </c>
      <c r="C160" s="442" t="s">
        <v>1697</v>
      </c>
      <c r="D160" s="440" t="s">
        <v>219</v>
      </c>
      <c r="E160" s="410">
        <v>78</v>
      </c>
      <c r="F160" s="415"/>
      <c r="G160" s="415"/>
      <c r="H160" s="412">
        <f>PRODUCT(K160:L160)</f>
        <v>0</v>
      </c>
      <c r="I160" s="413">
        <v>0</v>
      </c>
      <c r="J160" s="414">
        <f>PRODUCT(L160:M160)</f>
        <v>0</v>
      </c>
      <c r="K160" s="371">
        <f>SUM(F160:G160)</f>
        <v>0</v>
      </c>
      <c r="L160" s="371">
        <f>SUM(E160)</f>
        <v>78</v>
      </c>
      <c r="M160" s="371">
        <f>SUM(I160)</f>
        <v>0</v>
      </c>
    </row>
    <row r="161" spans="1:13" ht="13.5" thickBot="1">
      <c r="A161" s="375"/>
      <c r="B161" s="417"/>
      <c r="C161" s="452"/>
      <c r="D161" s="453"/>
      <c r="E161" s="420"/>
      <c r="F161" s="422"/>
      <c r="G161" s="422"/>
      <c r="H161" s="423"/>
      <c r="I161" s="424"/>
      <c r="J161" s="425"/>
    </row>
    <row r="162" spans="1:13" ht="13.5" thickBot="1">
      <c r="A162" s="375"/>
      <c r="B162" s="426"/>
      <c r="C162" s="408" t="s">
        <v>1531</v>
      </c>
      <c r="D162" s="427"/>
      <c r="F162" s="428"/>
      <c r="G162" s="428"/>
      <c r="H162" s="429">
        <f>SUM(H77:H161)</f>
        <v>0</v>
      </c>
      <c r="J162" s="430">
        <f>SUM(J77:J161)</f>
        <v>3.0847199999999995</v>
      </c>
      <c r="K162" s="374" t="s">
        <v>79</v>
      </c>
    </row>
    <row r="163" spans="1:13" ht="13.5" thickBot="1">
      <c r="A163" s="375"/>
      <c r="B163" s="417"/>
      <c r="C163" s="418"/>
      <c r="D163" s="431"/>
      <c r="E163" s="376"/>
      <c r="F163" s="432"/>
      <c r="G163" s="432"/>
      <c r="H163" s="433"/>
      <c r="I163" s="376"/>
      <c r="J163" s="376"/>
    </row>
    <row r="164" spans="1:13">
      <c r="A164" s="375"/>
      <c r="B164" s="426"/>
      <c r="C164" s="408"/>
      <c r="D164" s="435"/>
      <c r="E164" s="436"/>
      <c r="F164" s="428"/>
      <c r="G164" s="428"/>
      <c r="H164" s="454"/>
    </row>
    <row r="165" spans="1:13">
      <c r="A165" s="375"/>
      <c r="B165" s="426"/>
      <c r="C165" s="403" t="s">
        <v>1698</v>
      </c>
      <c r="D165" s="440"/>
      <c r="E165" s="410"/>
      <c r="F165" s="415"/>
      <c r="G165" s="415"/>
      <c r="H165" s="412"/>
    </row>
    <row r="166" spans="1:13">
      <c r="A166" s="375">
        <v>51</v>
      </c>
      <c r="B166" s="426">
        <v>972054241</v>
      </c>
      <c r="C166" s="408" t="s">
        <v>1699</v>
      </c>
      <c r="D166" s="440" t="s">
        <v>145</v>
      </c>
      <c r="E166" s="410">
        <v>20</v>
      </c>
      <c r="F166" s="415"/>
      <c r="G166" s="415"/>
      <c r="H166" s="412">
        <f>PRODUCT(K166:L166)</f>
        <v>0</v>
      </c>
      <c r="I166" s="443" t="s">
        <v>79</v>
      </c>
      <c r="J166" s="414" t="s">
        <v>79</v>
      </c>
      <c r="K166" s="371">
        <f>SUM(F166:G166)</f>
        <v>0</v>
      </c>
      <c r="L166" s="371">
        <f>SUM(E166)</f>
        <v>20</v>
      </c>
      <c r="M166" s="371">
        <f>SUM(I166)</f>
        <v>0</v>
      </c>
    </row>
    <row r="167" spans="1:13">
      <c r="A167" s="375">
        <v>51</v>
      </c>
      <c r="B167" s="426">
        <v>974031155</v>
      </c>
      <c r="C167" s="408" t="s">
        <v>1700</v>
      </c>
      <c r="D167" s="440" t="s">
        <v>219</v>
      </c>
      <c r="E167" s="410">
        <v>147</v>
      </c>
      <c r="F167" s="415"/>
      <c r="G167" s="415"/>
      <c r="H167" s="412">
        <f t="shared" ref="H167:H176" si="15">PRODUCT(K167:L167)</f>
        <v>0</v>
      </c>
      <c r="I167" s="443" t="s">
        <v>79</v>
      </c>
      <c r="J167" s="414" t="s">
        <v>79</v>
      </c>
      <c r="K167" s="371">
        <f t="shared" ref="K167:K176" si="16">SUM(F167:G167)</f>
        <v>0</v>
      </c>
      <c r="L167" s="371">
        <f t="shared" ref="L167:L176" si="17">SUM(E167)</f>
        <v>147</v>
      </c>
      <c r="M167" s="371">
        <f t="shared" ref="M167:M176" si="18">SUM(I167)</f>
        <v>0</v>
      </c>
    </row>
    <row r="168" spans="1:13">
      <c r="A168" s="375">
        <v>51</v>
      </c>
      <c r="B168" s="426">
        <v>612403388</v>
      </c>
      <c r="C168" s="408" t="s">
        <v>1701</v>
      </c>
      <c r="D168" s="440" t="s">
        <v>219</v>
      </c>
      <c r="E168" s="410">
        <v>147</v>
      </c>
      <c r="F168" s="415"/>
      <c r="G168" s="415"/>
      <c r="H168" s="412">
        <f t="shared" si="15"/>
        <v>0</v>
      </c>
      <c r="I168" s="443" t="s">
        <v>79</v>
      </c>
      <c r="J168" s="414" t="s">
        <v>79</v>
      </c>
      <c r="K168" s="371">
        <f t="shared" si="16"/>
        <v>0</v>
      </c>
      <c r="L168" s="371">
        <f t="shared" si="17"/>
        <v>147</v>
      </c>
      <c r="M168" s="371">
        <f t="shared" si="18"/>
        <v>0</v>
      </c>
    </row>
    <row r="169" spans="1:13">
      <c r="A169" s="375">
        <v>51</v>
      </c>
      <c r="B169" s="426">
        <v>979011111</v>
      </c>
      <c r="C169" s="408" t="s">
        <v>1702</v>
      </c>
      <c r="D169" s="440" t="s">
        <v>132</v>
      </c>
      <c r="E169" s="410">
        <v>273</v>
      </c>
      <c r="F169" s="415"/>
      <c r="G169" s="415"/>
      <c r="H169" s="412">
        <f t="shared" si="15"/>
        <v>0</v>
      </c>
      <c r="I169" s="443" t="s">
        <v>79</v>
      </c>
      <c r="J169" s="414" t="s">
        <v>79</v>
      </c>
      <c r="K169" s="371">
        <f t="shared" si="16"/>
        <v>0</v>
      </c>
      <c r="L169" s="371">
        <f t="shared" si="17"/>
        <v>273</v>
      </c>
      <c r="M169" s="371">
        <f t="shared" si="18"/>
        <v>0</v>
      </c>
    </row>
    <row r="170" spans="1:13">
      <c r="A170" s="375">
        <v>51</v>
      </c>
      <c r="B170" s="426">
        <v>979011121</v>
      </c>
      <c r="C170" s="408" t="s">
        <v>1703</v>
      </c>
      <c r="D170" s="440" t="s">
        <v>132</v>
      </c>
      <c r="E170" s="410">
        <v>273</v>
      </c>
      <c r="F170" s="415"/>
      <c r="G170" s="415"/>
      <c r="H170" s="412">
        <f t="shared" si="15"/>
        <v>0</v>
      </c>
      <c r="I170" s="443" t="s">
        <v>79</v>
      </c>
      <c r="J170" s="414" t="s">
        <v>79</v>
      </c>
      <c r="K170" s="371">
        <f t="shared" si="16"/>
        <v>0</v>
      </c>
      <c r="L170" s="371">
        <f t="shared" si="17"/>
        <v>273</v>
      </c>
      <c r="M170" s="371">
        <f t="shared" si="18"/>
        <v>0</v>
      </c>
    </row>
    <row r="171" spans="1:13">
      <c r="A171" s="375">
        <v>51</v>
      </c>
      <c r="B171" s="426">
        <v>979081111</v>
      </c>
      <c r="C171" s="408" t="s">
        <v>1704</v>
      </c>
      <c r="D171" s="440" t="s">
        <v>132</v>
      </c>
      <c r="E171" s="410">
        <v>273</v>
      </c>
      <c r="F171" s="415"/>
      <c r="G171" s="415"/>
      <c r="H171" s="412">
        <f t="shared" si="15"/>
        <v>0</v>
      </c>
      <c r="I171" s="443" t="s">
        <v>79</v>
      </c>
      <c r="J171" s="414" t="s">
        <v>79</v>
      </c>
      <c r="K171" s="371">
        <f t="shared" si="16"/>
        <v>0</v>
      </c>
      <c r="L171" s="371">
        <f t="shared" si="17"/>
        <v>273</v>
      </c>
      <c r="M171" s="371">
        <f t="shared" si="18"/>
        <v>0</v>
      </c>
    </row>
    <row r="172" spans="1:13">
      <c r="A172" s="375">
        <v>51</v>
      </c>
      <c r="B172" s="426">
        <v>979081121</v>
      </c>
      <c r="C172" s="408" t="s">
        <v>1705</v>
      </c>
      <c r="D172" s="440" t="s">
        <v>132</v>
      </c>
      <c r="E172" s="410">
        <v>3822</v>
      </c>
      <c r="F172" s="415"/>
      <c r="G172" s="415"/>
      <c r="H172" s="412">
        <f t="shared" si="15"/>
        <v>0</v>
      </c>
      <c r="I172" s="443" t="s">
        <v>79</v>
      </c>
      <c r="J172" s="414" t="s">
        <v>79</v>
      </c>
      <c r="K172" s="371">
        <f t="shared" si="16"/>
        <v>0</v>
      </c>
      <c r="L172" s="371">
        <f t="shared" si="17"/>
        <v>3822</v>
      </c>
      <c r="M172" s="371">
        <f t="shared" si="18"/>
        <v>0</v>
      </c>
    </row>
    <row r="173" spans="1:13">
      <c r="A173" s="375">
        <v>51</v>
      </c>
      <c r="B173" s="426">
        <v>979082111</v>
      </c>
      <c r="C173" s="408" t="s">
        <v>1706</v>
      </c>
      <c r="D173" s="440" t="s">
        <v>132</v>
      </c>
      <c r="E173" s="410">
        <v>273</v>
      </c>
      <c r="F173" s="415"/>
      <c r="G173" s="415"/>
      <c r="H173" s="412">
        <f t="shared" si="15"/>
        <v>0</v>
      </c>
      <c r="I173" s="443" t="s">
        <v>79</v>
      </c>
      <c r="J173" s="414" t="s">
        <v>79</v>
      </c>
      <c r="K173" s="371">
        <f t="shared" si="16"/>
        <v>0</v>
      </c>
      <c r="L173" s="371">
        <f t="shared" si="17"/>
        <v>273</v>
      </c>
      <c r="M173" s="371">
        <f t="shared" si="18"/>
        <v>0</v>
      </c>
    </row>
    <row r="174" spans="1:13">
      <c r="A174" s="375">
        <v>51</v>
      </c>
      <c r="B174" s="426">
        <v>979.08212100000003</v>
      </c>
      <c r="C174" s="408" t="s">
        <v>1707</v>
      </c>
      <c r="D174" s="440" t="s">
        <v>132</v>
      </c>
      <c r="E174" s="410">
        <v>1092</v>
      </c>
      <c r="F174" s="415"/>
      <c r="G174" s="415"/>
      <c r="H174" s="412">
        <f t="shared" si="15"/>
        <v>0</v>
      </c>
      <c r="I174" s="443" t="s">
        <v>79</v>
      </c>
      <c r="J174" s="414" t="s">
        <v>79</v>
      </c>
      <c r="K174" s="371">
        <f t="shared" si="16"/>
        <v>0</v>
      </c>
      <c r="L174" s="371">
        <f t="shared" si="17"/>
        <v>1092</v>
      </c>
      <c r="M174" s="371">
        <f t="shared" si="18"/>
        <v>0</v>
      </c>
    </row>
    <row r="175" spans="1:13">
      <c r="A175" s="375">
        <v>51</v>
      </c>
      <c r="B175" s="426">
        <v>979088212</v>
      </c>
      <c r="C175" s="408" t="s">
        <v>1708</v>
      </c>
      <c r="D175" s="440" t="s">
        <v>132</v>
      </c>
      <c r="E175" s="410">
        <v>273</v>
      </c>
      <c r="F175" s="415"/>
      <c r="G175" s="415"/>
      <c r="H175" s="412">
        <f t="shared" si="15"/>
        <v>0</v>
      </c>
      <c r="I175" s="443" t="s">
        <v>79</v>
      </c>
      <c r="J175" s="414" t="s">
        <v>79</v>
      </c>
      <c r="K175" s="371">
        <f t="shared" si="16"/>
        <v>0</v>
      </c>
      <c r="L175" s="371">
        <f t="shared" si="17"/>
        <v>273</v>
      </c>
      <c r="M175" s="371">
        <f t="shared" si="18"/>
        <v>0</v>
      </c>
    </row>
    <row r="176" spans="1:13">
      <c r="A176" s="375">
        <v>51</v>
      </c>
      <c r="B176" s="426">
        <v>979093111</v>
      </c>
      <c r="C176" s="408" t="s">
        <v>1709</v>
      </c>
      <c r="D176" s="440" t="s">
        <v>132</v>
      </c>
      <c r="E176" s="410">
        <v>273</v>
      </c>
      <c r="F176" s="415"/>
      <c r="G176" s="415"/>
      <c r="H176" s="412">
        <f t="shared" si="15"/>
        <v>0</v>
      </c>
      <c r="I176" s="443" t="s">
        <v>79</v>
      </c>
      <c r="J176" s="414" t="s">
        <v>79</v>
      </c>
      <c r="K176" s="371">
        <f t="shared" si="16"/>
        <v>0</v>
      </c>
      <c r="L176" s="371">
        <f t="shared" si="17"/>
        <v>273</v>
      </c>
      <c r="M176" s="371">
        <f t="shared" si="18"/>
        <v>0</v>
      </c>
    </row>
    <row r="177" spans="1:13">
      <c r="A177" s="375">
        <v>51</v>
      </c>
      <c r="B177" s="426">
        <v>979999000</v>
      </c>
      <c r="C177" s="408" t="s">
        <v>1710</v>
      </c>
      <c r="D177" s="440" t="s">
        <v>132</v>
      </c>
      <c r="E177" s="410">
        <v>273</v>
      </c>
      <c r="F177" s="415"/>
      <c r="G177" s="415"/>
      <c r="H177" s="412">
        <f>PRODUCT(K177:L177)</f>
        <v>0</v>
      </c>
      <c r="I177" s="443" t="s">
        <v>79</v>
      </c>
      <c r="J177" s="414" t="s">
        <v>79</v>
      </c>
      <c r="K177" s="371">
        <f>SUM(F177:G177)</f>
        <v>0</v>
      </c>
      <c r="L177" s="371">
        <f>SUM(E177)</f>
        <v>273</v>
      </c>
      <c r="M177" s="371">
        <f>SUM(I177)</f>
        <v>0</v>
      </c>
    </row>
    <row r="178" spans="1:13">
      <c r="A178" s="375">
        <v>51</v>
      </c>
      <c r="B178" s="426" t="s">
        <v>1711</v>
      </c>
      <c r="C178" s="408" t="s">
        <v>1712</v>
      </c>
      <c r="D178" s="440" t="s">
        <v>219</v>
      </c>
      <c r="E178" s="410">
        <v>10</v>
      </c>
      <c r="F178" s="415"/>
      <c r="G178" s="415"/>
      <c r="H178" s="412">
        <f>PRODUCT(K178:L178)</f>
        <v>0</v>
      </c>
      <c r="I178" s="443" t="s">
        <v>79</v>
      </c>
      <c r="J178" s="414" t="s">
        <v>79</v>
      </c>
      <c r="K178" s="371">
        <f>SUM(F178:G178)</f>
        <v>0</v>
      </c>
      <c r="L178" s="371">
        <f>SUM(E178)</f>
        <v>10</v>
      </c>
      <c r="M178" s="371">
        <f>SUM(I178)</f>
        <v>0</v>
      </c>
    </row>
    <row r="179" spans="1:13">
      <c r="A179" s="375">
        <v>51</v>
      </c>
      <c r="B179" s="426"/>
      <c r="C179" s="403" t="s">
        <v>1713</v>
      </c>
      <c r="D179" s="440"/>
      <c r="E179" s="410"/>
      <c r="F179" s="415"/>
      <c r="G179" s="415"/>
      <c r="H179" s="412"/>
    </row>
    <row r="180" spans="1:13">
      <c r="A180" s="375">
        <v>51</v>
      </c>
      <c r="B180" s="426" t="s">
        <v>1714</v>
      </c>
      <c r="C180" s="408" t="s">
        <v>1715</v>
      </c>
      <c r="D180" s="440" t="s">
        <v>132</v>
      </c>
      <c r="E180" s="410">
        <f>SUM(J162)</f>
        <v>3.0847199999999995</v>
      </c>
      <c r="F180" s="415"/>
      <c r="G180" s="415"/>
      <c r="H180" s="412">
        <f>PRODUCT(K180:L180)</f>
        <v>0</v>
      </c>
      <c r="I180" s="443" t="s">
        <v>79</v>
      </c>
      <c r="J180" s="414" t="s">
        <v>79</v>
      </c>
      <c r="K180" s="371">
        <f>SUM(F180:G180)</f>
        <v>0</v>
      </c>
      <c r="L180" s="371">
        <f>SUM(E180)</f>
        <v>3.0847199999999995</v>
      </c>
      <c r="M180" s="371">
        <f>SUM(I180)</f>
        <v>0</v>
      </c>
    </row>
    <row r="181" spans="1:13" ht="13.5" thickBot="1">
      <c r="A181" s="375"/>
      <c r="B181" s="426"/>
      <c r="C181" s="408"/>
    </row>
    <row r="182" spans="1:13" ht="19.5" thickBot="1">
      <c r="A182" s="375"/>
      <c r="B182" s="445"/>
      <c r="C182" s="446" t="s">
        <v>1716</v>
      </c>
      <c r="D182" s="372"/>
      <c r="E182" s="372"/>
      <c r="F182" s="372"/>
      <c r="G182" s="372"/>
      <c r="H182" s="447">
        <f>SUM(H162:H181)</f>
        <v>0</v>
      </c>
    </row>
    <row r="183" spans="1:13">
      <c r="A183" s="375"/>
      <c r="B183" s="426"/>
      <c r="C183" s="408"/>
    </row>
    <row r="184" spans="1:13">
      <c r="A184" s="375"/>
      <c r="B184" s="426"/>
      <c r="C184" s="408"/>
    </row>
    <row r="185" spans="1:13" ht="15">
      <c r="A185" s="375"/>
      <c r="B185" s="392" t="s">
        <v>1717</v>
      </c>
      <c r="C185" s="408"/>
    </row>
    <row r="186" spans="1:13" ht="15">
      <c r="A186" s="375"/>
      <c r="B186" s="392" t="s">
        <v>1718</v>
      </c>
      <c r="C186" s="373"/>
      <c r="D186" s="373"/>
      <c r="E186" s="373"/>
      <c r="F186" s="373"/>
      <c r="G186" s="373"/>
      <c r="H186" s="393"/>
      <c r="I186" s="373"/>
      <c r="J186" s="373"/>
    </row>
    <row r="187" spans="1:13">
      <c r="A187" s="375"/>
      <c r="B187" s="394" t="s">
        <v>1474</v>
      </c>
      <c r="C187" s="395" t="s">
        <v>1136</v>
      </c>
      <c r="D187" s="395" t="s">
        <v>1475</v>
      </c>
      <c r="E187" s="395" t="s">
        <v>1476</v>
      </c>
      <c r="F187" s="691" t="s">
        <v>1477</v>
      </c>
      <c r="G187" s="692"/>
      <c r="H187" s="396" t="s">
        <v>1478</v>
      </c>
      <c r="I187" s="455" t="s">
        <v>1479</v>
      </c>
      <c r="J187" s="397" t="s">
        <v>1480</v>
      </c>
      <c r="K187" s="382"/>
    </row>
    <row r="188" spans="1:13">
      <c r="A188" s="375"/>
      <c r="B188" s="398" t="s">
        <v>1481</v>
      </c>
      <c r="C188" s="399"/>
      <c r="D188" s="399"/>
      <c r="E188" s="399"/>
      <c r="F188" s="400" t="s">
        <v>1141</v>
      </c>
      <c r="G188" s="402" t="s">
        <v>1142</v>
      </c>
      <c r="H188" s="401" t="s">
        <v>1482</v>
      </c>
      <c r="I188" s="456" t="s">
        <v>1483</v>
      </c>
      <c r="J188" s="402" t="s">
        <v>1483</v>
      </c>
      <c r="K188" s="382"/>
    </row>
    <row r="189" spans="1:13">
      <c r="A189" s="375"/>
      <c r="B189" s="426" t="s">
        <v>79</v>
      </c>
      <c r="C189" s="439" t="s">
        <v>1719</v>
      </c>
      <c r="D189" s="404"/>
      <c r="E189" s="404"/>
      <c r="F189" s="457"/>
      <c r="G189" s="457"/>
      <c r="H189" s="458"/>
    </row>
    <row r="190" spans="1:13">
      <c r="A190" s="375"/>
      <c r="B190" s="426"/>
      <c r="C190" s="439" t="s">
        <v>1720</v>
      </c>
      <c r="D190" s="410"/>
      <c r="E190" s="410"/>
      <c r="F190" s="459"/>
      <c r="G190" s="459"/>
      <c r="H190" s="407"/>
    </row>
    <row r="191" spans="1:13">
      <c r="A191" s="375">
        <v>1</v>
      </c>
      <c r="B191" s="426" t="s">
        <v>1721</v>
      </c>
      <c r="C191" s="442" t="s">
        <v>1722</v>
      </c>
      <c r="D191" s="440" t="s">
        <v>1487</v>
      </c>
      <c r="E191" s="410">
        <v>160</v>
      </c>
      <c r="F191" s="415"/>
      <c r="G191" s="415"/>
      <c r="H191" s="412">
        <f>PRODUCT(K191:L191)</f>
        <v>0</v>
      </c>
      <c r="I191" s="443">
        <v>4.0000000000000002E-4</v>
      </c>
      <c r="J191" s="414">
        <f>PRODUCT(L191:M191)</f>
        <v>6.4000000000000001E-2</v>
      </c>
      <c r="K191" s="371">
        <f>SUM(F191:G191)</f>
        <v>0</v>
      </c>
      <c r="L191" s="371">
        <f>SUM(E191)</f>
        <v>160</v>
      </c>
      <c r="M191" s="371">
        <f>SUM(I191)</f>
        <v>4.0000000000000002E-4</v>
      </c>
    </row>
    <row r="192" spans="1:13">
      <c r="A192" s="375">
        <v>2</v>
      </c>
      <c r="B192" s="426" t="s">
        <v>1723</v>
      </c>
      <c r="C192" s="442" t="s">
        <v>1724</v>
      </c>
      <c r="D192" s="440" t="s">
        <v>1487</v>
      </c>
      <c r="E192" s="410">
        <v>110</v>
      </c>
      <c r="F192" s="415"/>
      <c r="G192" s="415"/>
      <c r="H192" s="412">
        <f>PRODUCT(K192:L192)</f>
        <v>0</v>
      </c>
      <c r="I192" s="443">
        <v>5.1000000000000004E-4</v>
      </c>
      <c r="J192" s="414">
        <f>PRODUCT(L192:M192)</f>
        <v>5.6100000000000004E-2</v>
      </c>
      <c r="K192" s="371">
        <f>SUM(F192:G192)</f>
        <v>0</v>
      </c>
      <c r="L192" s="371">
        <f>SUM(E192)</f>
        <v>110</v>
      </c>
      <c r="M192" s="371">
        <f>SUM(I192)</f>
        <v>5.1000000000000004E-4</v>
      </c>
    </row>
    <row r="193" spans="1:13">
      <c r="A193" s="375">
        <v>3</v>
      </c>
      <c r="B193" s="426" t="s">
        <v>1725</v>
      </c>
      <c r="C193" s="442" t="s">
        <v>1726</v>
      </c>
      <c r="D193" s="440" t="s">
        <v>1487</v>
      </c>
      <c r="E193" s="410">
        <v>70</v>
      </c>
      <c r="F193" s="415"/>
      <c r="G193" s="415"/>
      <c r="H193" s="412">
        <f>PRODUCT(K193:L193)</f>
        <v>0</v>
      </c>
      <c r="I193" s="443">
        <v>6.2E-4</v>
      </c>
      <c r="J193" s="414">
        <f>PRODUCT(L193:M193)</f>
        <v>4.3400000000000001E-2</v>
      </c>
      <c r="K193" s="371">
        <f>SUM(F193:G193)</f>
        <v>0</v>
      </c>
      <c r="L193" s="371">
        <f>SUM(E193)</f>
        <v>70</v>
      </c>
      <c r="M193" s="371">
        <f>SUM(I193)</f>
        <v>6.2E-4</v>
      </c>
    </row>
    <row r="194" spans="1:13">
      <c r="A194" s="375"/>
      <c r="B194" s="426"/>
      <c r="C194" s="439" t="s">
        <v>1727</v>
      </c>
      <c r="D194" s="440"/>
      <c r="E194" s="410"/>
      <c r="F194" s="415"/>
      <c r="G194" s="415"/>
      <c r="H194" s="412"/>
      <c r="I194" s="443"/>
      <c r="J194" s="414"/>
    </row>
    <row r="195" spans="1:13">
      <c r="A195" s="375">
        <v>4</v>
      </c>
      <c r="B195" s="426" t="s">
        <v>1728</v>
      </c>
      <c r="C195" s="442" t="s">
        <v>1729</v>
      </c>
      <c r="D195" s="440" t="s">
        <v>1487</v>
      </c>
      <c r="E195" s="410">
        <v>8</v>
      </c>
      <c r="F195" s="415"/>
      <c r="G195" s="415"/>
      <c r="H195" s="412">
        <f>PRODUCT(K195:L195)</f>
        <v>0</v>
      </c>
      <c r="I195" s="443">
        <v>1.5800000000000002E-2</v>
      </c>
      <c r="J195" s="414">
        <f>PRODUCT(L195:M195)</f>
        <v>0.12640000000000001</v>
      </c>
      <c r="K195" s="371">
        <f>SUM(F195:G195)</f>
        <v>0</v>
      </c>
      <c r="L195" s="371">
        <f>SUM(E195)</f>
        <v>8</v>
      </c>
      <c r="M195" s="371">
        <f>SUM(I195)</f>
        <v>1.5800000000000002E-2</v>
      </c>
    </row>
    <row r="196" spans="1:13">
      <c r="A196" s="375"/>
      <c r="B196" s="426"/>
      <c r="C196" s="439" t="s">
        <v>1730</v>
      </c>
      <c r="D196" s="440"/>
      <c r="E196" s="410"/>
      <c r="F196" s="415"/>
      <c r="G196" s="415"/>
      <c r="H196" s="412"/>
      <c r="I196" s="443"/>
      <c r="J196" s="414"/>
    </row>
    <row r="197" spans="1:13">
      <c r="A197" s="375">
        <v>5</v>
      </c>
      <c r="B197" s="426" t="s">
        <v>1731</v>
      </c>
      <c r="C197" s="442" t="s">
        <v>1732</v>
      </c>
      <c r="D197" s="440" t="s">
        <v>219</v>
      </c>
      <c r="E197" s="410">
        <v>160</v>
      </c>
      <c r="F197" s="415"/>
      <c r="G197" s="415"/>
      <c r="H197" s="412">
        <f>PRODUCT(K197:L197)</f>
        <v>0</v>
      </c>
      <c r="I197" s="443">
        <v>2.9E-4</v>
      </c>
      <c r="J197" s="414">
        <f>PRODUCT(L197:M197)</f>
        <v>4.6399999999999997E-2</v>
      </c>
      <c r="K197" s="371">
        <f>SUM(F197:G197)</f>
        <v>0</v>
      </c>
      <c r="L197" s="371">
        <f>SUM(E197)</f>
        <v>160</v>
      </c>
      <c r="M197" s="371">
        <f>SUM(I197)</f>
        <v>2.9E-4</v>
      </c>
    </row>
    <row r="198" spans="1:13">
      <c r="A198" s="375">
        <v>6</v>
      </c>
      <c r="B198" s="426" t="s">
        <v>1733</v>
      </c>
      <c r="C198" s="442" t="s">
        <v>1734</v>
      </c>
      <c r="D198" s="440" t="s">
        <v>219</v>
      </c>
      <c r="E198" s="410">
        <v>110</v>
      </c>
      <c r="F198" s="415"/>
      <c r="G198" s="415"/>
      <c r="H198" s="412">
        <f>PRODUCT(K198:L198)</f>
        <v>0</v>
      </c>
      <c r="I198" s="443">
        <v>2.7999999999999998E-4</v>
      </c>
      <c r="J198" s="414">
        <f>PRODUCT(L198:M198)</f>
        <v>3.0799999999999998E-2</v>
      </c>
      <c r="K198" s="371">
        <f>SUM(F198:G198)</f>
        <v>0</v>
      </c>
      <c r="L198" s="371">
        <f>SUM(E198)</f>
        <v>110</v>
      </c>
      <c r="M198" s="371">
        <f>SUM(I198)</f>
        <v>2.7999999999999998E-4</v>
      </c>
    </row>
    <row r="199" spans="1:13">
      <c r="A199" s="375">
        <v>7</v>
      </c>
      <c r="B199" s="426" t="s">
        <v>1735</v>
      </c>
      <c r="C199" s="442" t="s">
        <v>1736</v>
      </c>
      <c r="D199" s="440" t="s">
        <v>219</v>
      </c>
      <c r="E199" s="410">
        <v>70</v>
      </c>
      <c r="F199" s="415"/>
      <c r="G199" s="415"/>
      <c r="H199" s="412">
        <f>PRODUCT(K199:L199)</f>
        <v>0</v>
      </c>
      <c r="I199" s="443">
        <v>2.7999999999999998E-4</v>
      </c>
      <c r="J199" s="414">
        <f>PRODUCT(L199:M199)</f>
        <v>1.9599999999999999E-2</v>
      </c>
      <c r="K199" s="371">
        <f>SUM(F199:G199)</f>
        <v>0</v>
      </c>
      <c r="L199" s="371">
        <f>SUM(E199)</f>
        <v>70</v>
      </c>
      <c r="M199" s="371">
        <f>SUM(I199)</f>
        <v>2.7999999999999998E-4</v>
      </c>
    </row>
    <row r="200" spans="1:13">
      <c r="A200" s="375">
        <v>8</v>
      </c>
      <c r="B200" s="426" t="s">
        <v>1579</v>
      </c>
      <c r="C200" s="442" t="s">
        <v>1737</v>
      </c>
      <c r="D200" s="440" t="s">
        <v>219</v>
      </c>
      <c r="E200" s="410">
        <v>8</v>
      </c>
      <c r="F200" s="415"/>
      <c r="G200" s="415"/>
      <c r="H200" s="412">
        <f>PRODUCT(K200:L200)</f>
        <v>0</v>
      </c>
      <c r="I200" s="443">
        <v>2.7999999999999998E-4</v>
      </c>
      <c r="J200" s="414">
        <f>PRODUCT(L200:M200)</f>
        <v>2.2399999999999998E-3</v>
      </c>
      <c r="K200" s="371">
        <f>SUM(F200:G200)</f>
        <v>0</v>
      </c>
      <c r="L200" s="371">
        <f>SUM(E200)</f>
        <v>8</v>
      </c>
      <c r="M200" s="371">
        <f>SUM(I200)</f>
        <v>2.7999999999999998E-4</v>
      </c>
    </row>
    <row r="201" spans="1:13">
      <c r="A201" s="375"/>
      <c r="B201" s="426"/>
      <c r="C201" s="439" t="s">
        <v>1738</v>
      </c>
      <c r="D201" s="440"/>
      <c r="E201" s="410"/>
      <c r="F201" s="415"/>
      <c r="G201" s="415"/>
      <c r="H201" s="412"/>
    </row>
    <row r="202" spans="1:13">
      <c r="A202" s="375"/>
      <c r="B202" s="426"/>
      <c r="C202" s="442" t="s">
        <v>1739</v>
      </c>
      <c r="D202" s="410"/>
      <c r="E202" s="410"/>
      <c r="F202" s="415"/>
      <c r="G202" s="415"/>
      <c r="H202" s="412"/>
    </row>
    <row r="203" spans="1:13">
      <c r="A203" s="375">
        <v>9</v>
      </c>
      <c r="B203" s="426" t="s">
        <v>1649</v>
      </c>
      <c r="C203" s="442" t="s">
        <v>1740</v>
      </c>
      <c r="D203" s="440" t="s">
        <v>219</v>
      </c>
      <c r="E203" s="410">
        <v>348</v>
      </c>
      <c r="F203" s="415"/>
      <c r="G203" s="415"/>
      <c r="H203" s="412">
        <f>PRODUCT(K203:L203)</f>
        <v>0</v>
      </c>
      <c r="I203" s="443">
        <v>4.0000000000000003E-5</v>
      </c>
      <c r="J203" s="414">
        <f>PRODUCT(L203:M203)</f>
        <v>1.3920000000000002E-2</v>
      </c>
      <c r="K203" s="371">
        <f>SUM(F203:G203)</f>
        <v>0</v>
      </c>
      <c r="L203" s="371">
        <f>SUM(E203)</f>
        <v>348</v>
      </c>
      <c r="M203" s="371">
        <f>SUM(I203)</f>
        <v>4.0000000000000003E-5</v>
      </c>
    </row>
    <row r="204" spans="1:13">
      <c r="A204" s="375"/>
      <c r="B204" s="426"/>
      <c r="C204" s="450" t="s">
        <v>1741</v>
      </c>
      <c r="D204" s="410"/>
      <c r="E204" s="410"/>
      <c r="F204" s="415"/>
      <c r="G204" s="415"/>
      <c r="H204" s="412"/>
    </row>
    <row r="205" spans="1:13">
      <c r="A205" s="375"/>
      <c r="B205" s="426"/>
      <c r="C205" s="442" t="s">
        <v>1742</v>
      </c>
      <c r="D205" s="410"/>
      <c r="E205" s="410"/>
      <c r="F205" s="415"/>
      <c r="G205" s="415"/>
      <c r="H205" s="412"/>
    </row>
    <row r="206" spans="1:13">
      <c r="A206" s="375">
        <v>10</v>
      </c>
      <c r="B206" s="426" t="s">
        <v>1743</v>
      </c>
      <c r="C206" s="460" t="s">
        <v>1744</v>
      </c>
      <c r="D206" s="440" t="s">
        <v>1487</v>
      </c>
      <c r="E206" s="410">
        <v>85</v>
      </c>
      <c r="F206" s="415"/>
      <c r="G206" s="415"/>
      <c r="H206" s="412">
        <f>PRODUCT(K206:L206)</f>
        <v>0</v>
      </c>
      <c r="I206" s="443">
        <v>1.0000000000000001E-5</v>
      </c>
      <c r="J206" s="414">
        <f>PRODUCT(L206:M206)</f>
        <v>8.5000000000000006E-4</v>
      </c>
      <c r="K206" s="371">
        <f>SUM(F206:G206)</f>
        <v>0</v>
      </c>
      <c r="L206" s="371">
        <f>SUM(E206)</f>
        <v>85</v>
      </c>
      <c r="M206" s="371">
        <f>SUM(I206)</f>
        <v>1.0000000000000001E-5</v>
      </c>
    </row>
    <row r="207" spans="1:13">
      <c r="A207" s="375">
        <v>11</v>
      </c>
      <c r="B207" s="426" t="s">
        <v>1745</v>
      </c>
      <c r="C207" s="442" t="s">
        <v>1746</v>
      </c>
      <c r="D207" s="440" t="s">
        <v>1487</v>
      </c>
      <c r="E207" s="410">
        <v>58</v>
      </c>
      <c r="F207" s="415"/>
      <c r="G207" s="415"/>
      <c r="H207" s="412">
        <f>PRODUCT(K207:L207)</f>
        <v>0</v>
      </c>
      <c r="I207" s="443">
        <v>1.0000000000000001E-5</v>
      </c>
      <c r="J207" s="414">
        <f>PRODUCT(L207:M207)</f>
        <v>5.8E-4</v>
      </c>
      <c r="K207" s="371">
        <f>SUM(F207:G207)</f>
        <v>0</v>
      </c>
      <c r="L207" s="371">
        <f>SUM(E207)</f>
        <v>58</v>
      </c>
      <c r="M207" s="371">
        <f>SUM(I207)</f>
        <v>1.0000000000000001E-5</v>
      </c>
    </row>
    <row r="208" spans="1:13">
      <c r="A208" s="375">
        <v>12</v>
      </c>
      <c r="B208" s="426" t="s">
        <v>1747</v>
      </c>
      <c r="C208" s="442" t="s">
        <v>1748</v>
      </c>
      <c r="D208" s="440" t="s">
        <v>1487</v>
      </c>
      <c r="E208" s="410">
        <v>43</v>
      </c>
      <c r="F208" s="415"/>
      <c r="G208" s="415"/>
      <c r="H208" s="412">
        <f>PRODUCT(K208:L208)</f>
        <v>0</v>
      </c>
      <c r="I208" s="443">
        <v>1.0000000000000001E-5</v>
      </c>
      <c r="J208" s="414">
        <f>PRODUCT(L208:M208)</f>
        <v>4.3000000000000004E-4</v>
      </c>
      <c r="K208" s="371">
        <f>SUM(F208:G208)</f>
        <v>0</v>
      </c>
      <c r="L208" s="371">
        <f>SUM(E208)</f>
        <v>43</v>
      </c>
      <c r="M208" s="371">
        <f>SUM(I208)</f>
        <v>1.0000000000000001E-5</v>
      </c>
    </row>
    <row r="209" spans="1:13">
      <c r="A209" s="375"/>
      <c r="B209" s="426" t="s">
        <v>79</v>
      </c>
      <c r="C209" s="442" t="s">
        <v>1749</v>
      </c>
      <c r="D209" s="410"/>
      <c r="E209" s="410"/>
      <c r="F209" s="415"/>
      <c r="G209" s="415"/>
      <c r="H209" s="412" t="s">
        <v>79</v>
      </c>
    </row>
    <row r="210" spans="1:13">
      <c r="A210" s="375">
        <v>13</v>
      </c>
      <c r="B210" s="426" t="s">
        <v>1750</v>
      </c>
      <c r="C210" s="442" t="s">
        <v>1751</v>
      </c>
      <c r="D210" s="440" t="s">
        <v>1487</v>
      </c>
      <c r="E210" s="410">
        <v>75</v>
      </c>
      <c r="F210" s="415"/>
      <c r="G210" s="415"/>
      <c r="H210" s="412">
        <f>PRODUCT(K210:L210)</f>
        <v>0</v>
      </c>
      <c r="I210" s="443">
        <v>1.0000000000000001E-5</v>
      </c>
      <c r="J210" s="414">
        <f>PRODUCT(L210:M210)</f>
        <v>7.5000000000000002E-4</v>
      </c>
      <c r="K210" s="371">
        <f>SUM(F210:G210)</f>
        <v>0</v>
      </c>
      <c r="L210" s="371">
        <f>SUM(E210)</f>
        <v>75</v>
      </c>
      <c r="M210" s="371">
        <f>SUM(I210)</f>
        <v>1.0000000000000001E-5</v>
      </c>
    </row>
    <row r="211" spans="1:13">
      <c r="A211" s="375">
        <v>14</v>
      </c>
      <c r="B211" s="426" t="s">
        <v>1752</v>
      </c>
      <c r="C211" s="442" t="s">
        <v>1753</v>
      </c>
      <c r="D211" s="440" t="s">
        <v>1487</v>
      </c>
      <c r="E211" s="410">
        <v>52</v>
      </c>
      <c r="F211" s="415"/>
      <c r="G211" s="415"/>
      <c r="H211" s="412">
        <f>PRODUCT(K211:L211)</f>
        <v>0</v>
      </c>
      <c r="I211" s="443">
        <v>1.0000000000000001E-5</v>
      </c>
      <c r="J211" s="414">
        <f>PRODUCT(L211:M211)</f>
        <v>5.2000000000000006E-4</v>
      </c>
      <c r="K211" s="371">
        <f>SUM(F211:G211)</f>
        <v>0</v>
      </c>
      <c r="L211" s="371">
        <f>SUM(E211)</f>
        <v>52</v>
      </c>
      <c r="M211" s="371">
        <f>SUM(I211)</f>
        <v>1.0000000000000001E-5</v>
      </c>
    </row>
    <row r="212" spans="1:13">
      <c r="A212" s="375">
        <v>15</v>
      </c>
      <c r="B212" s="426" t="s">
        <v>1754</v>
      </c>
      <c r="C212" s="442" t="s">
        <v>1755</v>
      </c>
      <c r="D212" s="440" t="s">
        <v>1487</v>
      </c>
      <c r="E212" s="410">
        <v>35</v>
      </c>
      <c r="F212" s="415"/>
      <c r="G212" s="415"/>
      <c r="H212" s="412">
        <f>PRODUCT(K212:L212)</f>
        <v>0</v>
      </c>
      <c r="I212" s="443">
        <v>1.0000000000000001E-5</v>
      </c>
      <c r="J212" s="414">
        <f>PRODUCT(L212:M212)</f>
        <v>3.5000000000000005E-4</v>
      </c>
      <c r="K212" s="371">
        <f>SUM(F212:G212)</f>
        <v>0</v>
      </c>
      <c r="L212" s="371">
        <f>SUM(E212)</f>
        <v>35</v>
      </c>
      <c r="M212" s="371">
        <f>SUM(I212)</f>
        <v>1.0000000000000001E-5</v>
      </c>
    </row>
    <row r="213" spans="1:13">
      <c r="A213" s="375"/>
      <c r="B213" s="426"/>
      <c r="C213" s="439" t="s">
        <v>1756</v>
      </c>
      <c r="D213" s="440"/>
      <c r="E213" s="410"/>
      <c r="F213" s="415"/>
      <c r="G213" s="415"/>
      <c r="H213" s="412"/>
    </row>
    <row r="214" spans="1:13">
      <c r="A214" s="375">
        <v>16</v>
      </c>
      <c r="B214" s="426" t="s">
        <v>1757</v>
      </c>
      <c r="C214" s="461" t="s">
        <v>1758</v>
      </c>
      <c r="D214" s="440" t="s">
        <v>805</v>
      </c>
      <c r="E214" s="410">
        <v>86</v>
      </c>
      <c r="F214" s="415"/>
      <c r="G214" s="415"/>
      <c r="H214" s="412">
        <f>PRODUCT(K214:L214)</f>
        <v>0</v>
      </c>
      <c r="I214" s="443">
        <v>0</v>
      </c>
      <c r="J214" s="414">
        <f>PRODUCT(L214:M214)</f>
        <v>0</v>
      </c>
      <c r="K214" s="371">
        <f>SUM(F214:G214)</f>
        <v>0</v>
      </c>
      <c r="L214" s="371">
        <f>SUM(E214)</f>
        <v>86</v>
      </c>
      <c r="M214" s="371">
        <f>SUM(I214)</f>
        <v>0</v>
      </c>
    </row>
    <row r="215" spans="1:13">
      <c r="A215" s="375"/>
      <c r="B215" s="426"/>
      <c r="C215" s="439" t="s">
        <v>1759</v>
      </c>
      <c r="D215" s="440"/>
      <c r="E215" s="410"/>
      <c r="F215" s="415"/>
      <c r="G215" s="415"/>
      <c r="H215" s="412"/>
    </row>
    <row r="216" spans="1:13">
      <c r="A216" s="375">
        <v>17</v>
      </c>
      <c r="B216" s="426" t="s">
        <v>1760</v>
      </c>
      <c r="C216" s="461" t="s">
        <v>1761</v>
      </c>
      <c r="D216" s="440" t="s">
        <v>805</v>
      </c>
      <c r="E216" s="410">
        <v>86</v>
      </c>
      <c r="F216" s="415"/>
      <c r="G216" s="415"/>
      <c r="H216" s="412">
        <f>PRODUCT(K216:L216)</f>
        <v>0</v>
      </c>
      <c r="I216" s="443">
        <v>6.7000000000000002E-4</v>
      </c>
      <c r="J216" s="414">
        <f>PRODUCT(L216:M216)</f>
        <v>5.7620000000000005E-2</v>
      </c>
      <c r="K216" s="371">
        <f>SUM(F216:G216)</f>
        <v>0</v>
      </c>
      <c r="L216" s="371">
        <f>SUM(E216)</f>
        <v>86</v>
      </c>
      <c r="M216" s="371">
        <f>SUM(I216)</f>
        <v>6.7000000000000002E-4</v>
      </c>
    </row>
    <row r="217" spans="1:13">
      <c r="A217" s="375"/>
      <c r="B217" s="426"/>
      <c r="C217" s="439" t="s">
        <v>1762</v>
      </c>
      <c r="D217" s="440"/>
      <c r="E217" s="410"/>
      <c r="F217" s="415"/>
      <c r="G217" s="415"/>
      <c r="H217" s="412"/>
    </row>
    <row r="218" spans="1:13">
      <c r="A218" s="375"/>
      <c r="B218" s="426" t="s">
        <v>79</v>
      </c>
      <c r="C218" s="442" t="s">
        <v>1763</v>
      </c>
      <c r="D218" s="410"/>
      <c r="E218" s="410"/>
      <c r="F218" s="415"/>
      <c r="G218" s="415"/>
      <c r="H218" s="412" t="s">
        <v>79</v>
      </c>
    </row>
    <row r="219" spans="1:13">
      <c r="A219" s="375">
        <v>18</v>
      </c>
      <c r="B219" s="426" t="s">
        <v>1764</v>
      </c>
      <c r="C219" s="442" t="s">
        <v>1765</v>
      </c>
      <c r="D219" s="440" t="s">
        <v>805</v>
      </c>
      <c r="E219" s="410">
        <v>6</v>
      </c>
      <c r="F219" s="415"/>
      <c r="G219" s="415"/>
      <c r="H219" s="412">
        <f>PRODUCT(K219:L219)</f>
        <v>0</v>
      </c>
      <c r="I219" s="443">
        <v>3.5E-4</v>
      </c>
      <c r="J219" s="414">
        <f>PRODUCT(L219:M219)</f>
        <v>2.0999999999999999E-3</v>
      </c>
      <c r="K219" s="371">
        <f>SUM(F219:G219)</f>
        <v>0</v>
      </c>
      <c r="L219" s="371">
        <f>SUM(E219)</f>
        <v>6</v>
      </c>
      <c r="M219" s="371">
        <f>SUM(I219)</f>
        <v>3.5E-4</v>
      </c>
    </row>
    <row r="220" spans="1:13">
      <c r="A220" s="375">
        <v>19</v>
      </c>
      <c r="B220" s="426" t="s">
        <v>1766</v>
      </c>
      <c r="C220" s="442" t="s">
        <v>1767</v>
      </c>
      <c r="D220" s="440" t="s">
        <v>805</v>
      </c>
      <c r="E220" s="410">
        <v>10</v>
      </c>
      <c r="F220" s="415"/>
      <c r="G220" s="415"/>
      <c r="H220" s="412">
        <f>PRODUCT(K220:L220)</f>
        <v>0</v>
      </c>
      <c r="I220" s="443">
        <v>4.8999999999999998E-4</v>
      </c>
      <c r="J220" s="414">
        <f>PRODUCT(L220:M220)</f>
        <v>4.8999999999999998E-3</v>
      </c>
      <c r="K220" s="371">
        <f>SUM(F220:G220)</f>
        <v>0</v>
      </c>
      <c r="L220" s="371">
        <f>SUM(E220)</f>
        <v>10</v>
      </c>
      <c r="M220" s="371">
        <f>SUM(I220)</f>
        <v>4.8999999999999998E-4</v>
      </c>
    </row>
    <row r="221" spans="1:13">
      <c r="A221" s="375">
        <v>20</v>
      </c>
      <c r="B221" s="426" t="s">
        <v>1768</v>
      </c>
      <c r="C221" s="442" t="s">
        <v>1769</v>
      </c>
      <c r="D221" s="440" t="s">
        <v>805</v>
      </c>
      <c r="E221" s="410">
        <v>12</v>
      </c>
      <c r="F221" s="415"/>
      <c r="G221" s="415"/>
      <c r="H221" s="412">
        <f>PRODUCT(K221:L221)</f>
        <v>0</v>
      </c>
      <c r="I221" s="443">
        <v>6.9999999999999999E-4</v>
      </c>
      <c r="J221" s="414">
        <f>PRODUCT(L221:M221)</f>
        <v>8.3999999999999995E-3</v>
      </c>
      <c r="K221" s="371">
        <f>SUM(F221:G221)</f>
        <v>0</v>
      </c>
      <c r="L221" s="371">
        <f>SUM(E221)</f>
        <v>12</v>
      </c>
      <c r="M221" s="371">
        <f>SUM(I221)</f>
        <v>6.9999999999999999E-4</v>
      </c>
    </row>
    <row r="222" spans="1:13">
      <c r="A222" s="375"/>
      <c r="B222" s="426"/>
      <c r="C222" s="439" t="s">
        <v>1770</v>
      </c>
      <c r="D222" s="440"/>
      <c r="E222" s="410"/>
      <c r="F222" s="415"/>
      <c r="G222" s="415"/>
      <c r="H222" s="412"/>
    </row>
    <row r="223" spans="1:13">
      <c r="A223" s="375"/>
      <c r="B223" s="426"/>
      <c r="C223" s="439" t="s">
        <v>1771</v>
      </c>
      <c r="D223" s="440"/>
      <c r="E223" s="410"/>
      <c r="F223" s="415"/>
      <c r="G223" s="415"/>
      <c r="H223" s="412"/>
    </row>
    <row r="224" spans="1:13">
      <c r="A224" s="375">
        <v>21</v>
      </c>
      <c r="B224" s="426" t="s">
        <v>1772</v>
      </c>
      <c r="C224" s="461" t="s">
        <v>1773</v>
      </c>
      <c r="D224" s="440" t="s">
        <v>1508</v>
      </c>
      <c r="E224" s="410">
        <v>1</v>
      </c>
      <c r="F224" s="415"/>
      <c r="G224" s="415"/>
      <c r="H224" s="412">
        <f>PRODUCT(K224:L224)</f>
        <v>0</v>
      </c>
      <c r="I224" s="443">
        <v>1.5869999999999999E-2</v>
      </c>
      <c r="J224" s="414">
        <f>PRODUCT(L224:M224)</f>
        <v>1.5869999999999999E-2</v>
      </c>
      <c r="K224" s="371">
        <f>SUM(F224:G224)</f>
        <v>0</v>
      </c>
      <c r="L224" s="371">
        <f>SUM(E224)</f>
        <v>1</v>
      </c>
      <c r="M224" s="371">
        <f>SUM(I224)</f>
        <v>1.5869999999999999E-2</v>
      </c>
    </row>
    <row r="225" spans="1:13">
      <c r="A225" s="375"/>
      <c r="B225" s="426"/>
      <c r="C225" s="450" t="s">
        <v>1774</v>
      </c>
      <c r="D225" s="440"/>
      <c r="E225" s="410"/>
      <c r="F225" s="415"/>
      <c r="G225" s="415"/>
      <c r="H225" s="412"/>
    </row>
    <row r="226" spans="1:13">
      <c r="A226" s="375">
        <v>22</v>
      </c>
      <c r="B226" s="426" t="s">
        <v>1775</v>
      </c>
      <c r="C226" s="442" t="s">
        <v>1776</v>
      </c>
      <c r="D226" s="440"/>
      <c r="E226" s="410"/>
      <c r="F226" s="415"/>
      <c r="G226" s="415"/>
      <c r="H226" s="412"/>
    </row>
    <row r="227" spans="1:13">
      <c r="A227" s="375"/>
      <c r="B227" s="426"/>
      <c r="C227" s="442" t="s">
        <v>1777</v>
      </c>
      <c r="D227" s="440"/>
      <c r="E227" s="410"/>
      <c r="F227" s="415"/>
      <c r="G227" s="415"/>
      <c r="H227" s="412"/>
    </row>
    <row r="228" spans="1:13">
      <c r="A228" s="375"/>
      <c r="B228" s="426"/>
      <c r="C228" s="442" t="s">
        <v>1778</v>
      </c>
      <c r="D228" s="440" t="s">
        <v>1508</v>
      </c>
      <c r="E228" s="410">
        <v>1</v>
      </c>
      <c r="F228" s="415"/>
      <c r="G228" s="415"/>
      <c r="H228" s="412">
        <f>PRODUCT(K228:L228)</f>
        <v>0</v>
      </c>
      <c r="I228" s="443">
        <v>0</v>
      </c>
      <c r="J228" s="414">
        <f>PRODUCT(L228:M228)</f>
        <v>0</v>
      </c>
      <c r="K228" s="371">
        <f>SUM(F228:G228)</f>
        <v>0</v>
      </c>
      <c r="L228" s="371">
        <f>SUM(E228)</f>
        <v>1</v>
      </c>
      <c r="M228" s="371">
        <f>SUM(I228)</f>
        <v>0</v>
      </c>
    </row>
    <row r="229" spans="1:13">
      <c r="A229" s="375"/>
      <c r="B229" s="426"/>
      <c r="C229" s="439" t="s">
        <v>1779</v>
      </c>
      <c r="D229" s="440"/>
      <c r="E229" s="410"/>
      <c r="F229" s="415"/>
      <c r="G229" s="415"/>
      <c r="H229" s="412"/>
    </row>
    <row r="230" spans="1:13">
      <c r="A230" s="375">
        <v>23</v>
      </c>
      <c r="B230" s="426" t="s">
        <v>1780</v>
      </c>
      <c r="C230" s="442" t="s">
        <v>1781</v>
      </c>
      <c r="D230" s="440" t="s">
        <v>219</v>
      </c>
      <c r="E230" s="410">
        <v>348</v>
      </c>
      <c r="F230" s="415"/>
      <c r="G230" s="415"/>
      <c r="H230" s="412">
        <f>PRODUCT(K230:L230)</f>
        <v>0</v>
      </c>
      <c r="I230" s="443">
        <v>1.9000000000000001E-4</v>
      </c>
      <c r="J230" s="414">
        <f>PRODUCT(L230:M230)</f>
        <v>6.6119999999999998E-2</v>
      </c>
      <c r="K230" s="371">
        <f>SUM(F230:G230)</f>
        <v>0</v>
      </c>
      <c r="L230" s="371">
        <f>SUM(E230)</f>
        <v>348</v>
      </c>
      <c r="M230" s="371">
        <f>SUM(I230)</f>
        <v>1.9000000000000001E-4</v>
      </c>
    </row>
    <row r="231" spans="1:13">
      <c r="A231" s="375">
        <v>24</v>
      </c>
      <c r="B231" s="426" t="s">
        <v>1782</v>
      </c>
      <c r="C231" s="442" t="s">
        <v>1783</v>
      </c>
      <c r="D231" s="440" t="s">
        <v>219</v>
      </c>
      <c r="E231" s="410">
        <v>348</v>
      </c>
      <c r="F231" s="415"/>
      <c r="G231" s="415"/>
      <c r="H231" s="412">
        <f>PRODUCT(K231:L231)</f>
        <v>0</v>
      </c>
      <c r="I231" s="443">
        <v>1.0000000000000001E-5</v>
      </c>
      <c r="J231" s="414">
        <f>PRODUCT(L231:M231)</f>
        <v>3.4800000000000005E-3</v>
      </c>
      <c r="K231" s="371">
        <f>SUM(F231:G231)</f>
        <v>0</v>
      </c>
      <c r="L231" s="371">
        <f>SUM(E231)</f>
        <v>348</v>
      </c>
      <c r="M231" s="371">
        <f>SUM(I231)</f>
        <v>1.0000000000000001E-5</v>
      </c>
    </row>
    <row r="232" spans="1:13" ht="13.5" thickBot="1">
      <c r="A232" s="375"/>
      <c r="B232" s="417"/>
      <c r="C232" s="452"/>
      <c r="D232" s="453"/>
      <c r="E232" s="420"/>
      <c r="F232" s="422"/>
      <c r="G232" s="422"/>
      <c r="H232" s="423"/>
      <c r="I232" s="462"/>
      <c r="J232" s="425"/>
    </row>
    <row r="233" spans="1:13" ht="13.5" thickBot="1">
      <c r="A233" s="375"/>
      <c r="B233" s="426"/>
      <c r="C233" s="408" t="s">
        <v>1784</v>
      </c>
      <c r="D233" s="427"/>
      <c r="F233" s="428"/>
      <c r="G233" s="428"/>
      <c r="H233" s="429">
        <f>SUM(H189:H232)</f>
        <v>0</v>
      </c>
      <c r="J233" s="430">
        <f>SUM(J189:J232)</f>
        <v>0.56483000000000017</v>
      </c>
    </row>
    <row r="234" spans="1:13" ht="13.5" thickBot="1">
      <c r="A234" s="375"/>
      <c r="B234" s="417"/>
      <c r="C234" s="418"/>
      <c r="D234" s="431"/>
      <c r="E234" s="376"/>
      <c r="F234" s="432"/>
      <c r="G234" s="432"/>
      <c r="H234" s="433"/>
      <c r="I234" s="376"/>
      <c r="J234" s="376"/>
    </row>
    <row r="235" spans="1:13">
      <c r="A235" s="375"/>
      <c r="B235" s="426"/>
      <c r="C235" s="434"/>
      <c r="D235" s="435"/>
      <c r="E235" s="436"/>
      <c r="F235" s="428"/>
      <c r="G235" s="428"/>
      <c r="H235" s="454"/>
    </row>
    <row r="236" spans="1:13">
      <c r="A236" s="375"/>
      <c r="B236" s="426" t="s">
        <v>79</v>
      </c>
      <c r="C236" s="450" t="s">
        <v>1785</v>
      </c>
      <c r="D236" s="410"/>
      <c r="E236" s="410"/>
      <c r="F236" s="415"/>
      <c r="G236" s="415"/>
      <c r="H236" s="412"/>
    </row>
    <row r="237" spans="1:13">
      <c r="A237" s="375">
        <v>25</v>
      </c>
      <c r="B237" s="426">
        <v>972054241</v>
      </c>
      <c r="C237" s="442" t="s">
        <v>1786</v>
      </c>
      <c r="D237" s="440" t="s">
        <v>145</v>
      </c>
      <c r="E237" s="410">
        <v>20</v>
      </c>
      <c r="F237" s="415"/>
      <c r="G237" s="415"/>
      <c r="H237" s="412">
        <f t="shared" ref="H237:H248" si="19">PRODUCT(K237:L237)</f>
        <v>0</v>
      </c>
      <c r="I237" s="443" t="s">
        <v>79</v>
      </c>
      <c r="J237" s="414" t="s">
        <v>79</v>
      </c>
      <c r="K237" s="371">
        <f t="shared" ref="K237:K248" si="20">SUM(F237:G237)</f>
        <v>0</v>
      </c>
      <c r="L237" s="371">
        <f t="shared" ref="L237:L248" si="21">SUM(E237)</f>
        <v>20</v>
      </c>
      <c r="M237" s="371">
        <f t="shared" ref="M237:M248" si="22">SUM(I237)</f>
        <v>0</v>
      </c>
    </row>
    <row r="238" spans="1:13">
      <c r="A238" s="375">
        <v>26</v>
      </c>
      <c r="B238" s="426">
        <v>974031145</v>
      </c>
      <c r="C238" s="442" t="s">
        <v>1787</v>
      </c>
      <c r="D238" s="440" t="s">
        <v>219</v>
      </c>
      <c r="E238" s="410">
        <v>190</v>
      </c>
      <c r="F238" s="415"/>
      <c r="G238" s="415"/>
      <c r="H238" s="412">
        <f t="shared" si="19"/>
        <v>0</v>
      </c>
      <c r="I238" s="443" t="s">
        <v>79</v>
      </c>
      <c r="J238" s="414" t="s">
        <v>79</v>
      </c>
      <c r="K238" s="371">
        <f t="shared" si="20"/>
        <v>0</v>
      </c>
      <c r="L238" s="371">
        <f t="shared" si="21"/>
        <v>190</v>
      </c>
      <c r="M238" s="371">
        <f t="shared" si="22"/>
        <v>0</v>
      </c>
    </row>
    <row r="239" spans="1:13">
      <c r="A239" s="375">
        <v>27</v>
      </c>
      <c r="B239" s="426">
        <v>612403388</v>
      </c>
      <c r="C239" s="442" t="s">
        <v>1701</v>
      </c>
      <c r="D239" s="440" t="s">
        <v>219</v>
      </c>
      <c r="E239" s="410">
        <v>190</v>
      </c>
      <c r="F239" s="415"/>
      <c r="G239" s="415"/>
      <c r="H239" s="412">
        <f t="shared" si="19"/>
        <v>0</v>
      </c>
      <c r="I239" s="443" t="s">
        <v>79</v>
      </c>
      <c r="J239" s="414" t="s">
        <v>79</v>
      </c>
      <c r="K239" s="371">
        <f t="shared" si="20"/>
        <v>0</v>
      </c>
      <c r="L239" s="371">
        <f t="shared" si="21"/>
        <v>190</v>
      </c>
      <c r="M239" s="371">
        <f t="shared" si="22"/>
        <v>0</v>
      </c>
    </row>
    <row r="240" spans="1:13">
      <c r="A240" s="375">
        <v>28</v>
      </c>
      <c r="B240" s="426">
        <v>979011111</v>
      </c>
      <c r="C240" s="442" t="s">
        <v>1702</v>
      </c>
      <c r="D240" s="440" t="s">
        <v>132</v>
      </c>
      <c r="E240" s="410">
        <v>6.4</v>
      </c>
      <c r="F240" s="415"/>
      <c r="G240" s="415"/>
      <c r="H240" s="412">
        <f t="shared" si="19"/>
        <v>0</v>
      </c>
      <c r="I240" s="443" t="s">
        <v>79</v>
      </c>
      <c r="J240" s="414" t="s">
        <v>79</v>
      </c>
      <c r="K240" s="371">
        <f t="shared" si="20"/>
        <v>0</v>
      </c>
      <c r="L240" s="371">
        <f t="shared" si="21"/>
        <v>6.4</v>
      </c>
      <c r="M240" s="371">
        <f t="shared" si="22"/>
        <v>0</v>
      </c>
    </row>
    <row r="241" spans="1:13">
      <c r="A241" s="375">
        <v>29</v>
      </c>
      <c r="B241" s="426">
        <v>979011121</v>
      </c>
      <c r="C241" s="442" t="s">
        <v>1703</v>
      </c>
      <c r="D241" s="440" t="s">
        <v>132</v>
      </c>
      <c r="E241" s="410">
        <v>6.4</v>
      </c>
      <c r="F241" s="415"/>
      <c r="G241" s="415"/>
      <c r="H241" s="412">
        <f t="shared" si="19"/>
        <v>0</v>
      </c>
      <c r="I241" s="443" t="s">
        <v>79</v>
      </c>
      <c r="J241" s="414" t="s">
        <v>79</v>
      </c>
      <c r="K241" s="371">
        <f t="shared" si="20"/>
        <v>0</v>
      </c>
      <c r="L241" s="371">
        <f t="shared" si="21"/>
        <v>6.4</v>
      </c>
      <c r="M241" s="371">
        <f t="shared" si="22"/>
        <v>0</v>
      </c>
    </row>
    <row r="242" spans="1:13">
      <c r="A242" s="375">
        <v>30</v>
      </c>
      <c r="B242" s="426">
        <v>979081111</v>
      </c>
      <c r="C242" s="442" t="s">
        <v>1704</v>
      </c>
      <c r="D242" s="440" t="s">
        <v>132</v>
      </c>
      <c r="E242" s="410">
        <v>6.4</v>
      </c>
      <c r="F242" s="415"/>
      <c r="G242" s="415"/>
      <c r="H242" s="412">
        <f t="shared" si="19"/>
        <v>0</v>
      </c>
      <c r="I242" s="443" t="s">
        <v>79</v>
      </c>
      <c r="J242" s="414" t="s">
        <v>79</v>
      </c>
      <c r="K242" s="371">
        <f t="shared" si="20"/>
        <v>0</v>
      </c>
      <c r="L242" s="371">
        <f t="shared" si="21"/>
        <v>6.4</v>
      </c>
      <c r="M242" s="371">
        <f t="shared" si="22"/>
        <v>0</v>
      </c>
    </row>
    <row r="243" spans="1:13">
      <c r="A243" s="375">
        <v>31</v>
      </c>
      <c r="B243" s="426">
        <v>979081121</v>
      </c>
      <c r="C243" s="442" t="s">
        <v>1705</v>
      </c>
      <c r="D243" s="440" t="s">
        <v>132</v>
      </c>
      <c r="E243" s="410">
        <v>89.6</v>
      </c>
      <c r="F243" s="415"/>
      <c r="G243" s="415"/>
      <c r="H243" s="412">
        <f t="shared" si="19"/>
        <v>0</v>
      </c>
      <c r="I243" s="443" t="s">
        <v>79</v>
      </c>
      <c r="J243" s="414" t="s">
        <v>79</v>
      </c>
      <c r="K243" s="371">
        <f t="shared" si="20"/>
        <v>0</v>
      </c>
      <c r="L243" s="371">
        <f t="shared" si="21"/>
        <v>89.6</v>
      </c>
      <c r="M243" s="371">
        <f t="shared" si="22"/>
        <v>0</v>
      </c>
    </row>
    <row r="244" spans="1:13">
      <c r="A244" s="375">
        <v>32</v>
      </c>
      <c r="B244" s="426">
        <v>979082111</v>
      </c>
      <c r="C244" s="442" t="s">
        <v>1706</v>
      </c>
      <c r="D244" s="440" t="s">
        <v>132</v>
      </c>
      <c r="E244" s="410">
        <v>6.4</v>
      </c>
      <c r="F244" s="415"/>
      <c r="G244" s="415"/>
      <c r="H244" s="412">
        <f t="shared" si="19"/>
        <v>0</v>
      </c>
      <c r="I244" s="443" t="s">
        <v>79</v>
      </c>
      <c r="J244" s="414" t="s">
        <v>79</v>
      </c>
      <c r="K244" s="371">
        <f t="shared" si="20"/>
        <v>0</v>
      </c>
      <c r="L244" s="371">
        <f t="shared" si="21"/>
        <v>6.4</v>
      </c>
      <c r="M244" s="371">
        <f t="shared" si="22"/>
        <v>0</v>
      </c>
    </row>
    <row r="245" spans="1:13">
      <c r="A245" s="375">
        <v>33</v>
      </c>
      <c r="B245" s="426">
        <v>979.08212100000003</v>
      </c>
      <c r="C245" s="442" t="s">
        <v>1707</v>
      </c>
      <c r="D245" s="440" t="s">
        <v>132</v>
      </c>
      <c r="E245" s="410">
        <v>25.6</v>
      </c>
      <c r="F245" s="415"/>
      <c r="G245" s="415"/>
      <c r="H245" s="412">
        <f t="shared" si="19"/>
        <v>0</v>
      </c>
      <c r="I245" s="443" t="s">
        <v>79</v>
      </c>
      <c r="J245" s="414" t="s">
        <v>79</v>
      </c>
      <c r="K245" s="371">
        <f t="shared" si="20"/>
        <v>0</v>
      </c>
      <c r="L245" s="371">
        <f t="shared" si="21"/>
        <v>25.6</v>
      </c>
      <c r="M245" s="371">
        <f t="shared" si="22"/>
        <v>0</v>
      </c>
    </row>
    <row r="246" spans="1:13">
      <c r="A246" s="375">
        <v>34</v>
      </c>
      <c r="B246" s="426">
        <v>979088212</v>
      </c>
      <c r="C246" s="442" t="s">
        <v>1708</v>
      </c>
      <c r="D246" s="440" t="s">
        <v>132</v>
      </c>
      <c r="E246" s="410">
        <v>6.4</v>
      </c>
      <c r="F246" s="415"/>
      <c r="G246" s="415"/>
      <c r="H246" s="412">
        <f t="shared" si="19"/>
        <v>0</v>
      </c>
      <c r="I246" s="443" t="s">
        <v>79</v>
      </c>
      <c r="J246" s="414" t="s">
        <v>79</v>
      </c>
      <c r="K246" s="371">
        <f t="shared" si="20"/>
        <v>0</v>
      </c>
      <c r="L246" s="371">
        <f t="shared" si="21"/>
        <v>6.4</v>
      </c>
      <c r="M246" s="371">
        <f t="shared" si="22"/>
        <v>0</v>
      </c>
    </row>
    <row r="247" spans="1:13">
      <c r="A247" s="375">
        <v>35</v>
      </c>
      <c r="B247" s="426">
        <v>979093111</v>
      </c>
      <c r="C247" s="442" t="s">
        <v>1709</v>
      </c>
      <c r="D247" s="440" t="s">
        <v>132</v>
      </c>
      <c r="E247" s="410">
        <v>6.4</v>
      </c>
      <c r="F247" s="415"/>
      <c r="G247" s="415"/>
      <c r="H247" s="412">
        <f t="shared" si="19"/>
        <v>0</v>
      </c>
      <c r="I247" s="443" t="s">
        <v>79</v>
      </c>
      <c r="J247" s="414" t="s">
        <v>79</v>
      </c>
      <c r="K247" s="371">
        <f t="shared" si="20"/>
        <v>0</v>
      </c>
      <c r="L247" s="371">
        <f t="shared" si="21"/>
        <v>6.4</v>
      </c>
      <c r="M247" s="371">
        <f t="shared" si="22"/>
        <v>0</v>
      </c>
    </row>
    <row r="248" spans="1:13">
      <c r="A248" s="375">
        <v>36</v>
      </c>
      <c r="B248" s="426">
        <v>979999000</v>
      </c>
      <c r="C248" s="442" t="s">
        <v>1710</v>
      </c>
      <c r="D248" s="440" t="s">
        <v>132</v>
      </c>
      <c r="E248" s="410">
        <v>6.4</v>
      </c>
      <c r="F248" s="415"/>
      <c r="G248" s="415"/>
      <c r="H248" s="412">
        <f t="shared" si="19"/>
        <v>0</v>
      </c>
      <c r="I248" s="443" t="s">
        <v>79</v>
      </c>
      <c r="J248" s="414" t="s">
        <v>79</v>
      </c>
      <c r="K248" s="371">
        <f t="shared" si="20"/>
        <v>0</v>
      </c>
      <c r="L248" s="371">
        <f t="shared" si="21"/>
        <v>6.4</v>
      </c>
      <c r="M248" s="371">
        <f t="shared" si="22"/>
        <v>0</v>
      </c>
    </row>
    <row r="249" spans="1:13">
      <c r="A249" s="375"/>
      <c r="B249" s="426"/>
      <c r="C249" s="439" t="s">
        <v>1713</v>
      </c>
      <c r="D249" s="440"/>
      <c r="E249" s="410"/>
      <c r="F249" s="415"/>
      <c r="G249" s="415"/>
      <c r="H249" s="412"/>
    </row>
    <row r="250" spans="1:13">
      <c r="A250" s="375">
        <v>37</v>
      </c>
      <c r="B250" s="426" t="s">
        <v>1788</v>
      </c>
      <c r="C250" s="442" t="s">
        <v>1789</v>
      </c>
      <c r="D250" s="440" t="s">
        <v>132</v>
      </c>
      <c r="E250" s="410">
        <f>SUM(J233)</f>
        <v>0.56483000000000017</v>
      </c>
      <c r="F250" s="415"/>
      <c r="G250" s="415"/>
      <c r="H250" s="412">
        <f>PRODUCT(K250:L250)</f>
        <v>0</v>
      </c>
      <c r="I250" s="443" t="s">
        <v>79</v>
      </c>
      <c r="J250" s="414" t="s">
        <v>79</v>
      </c>
      <c r="K250" s="371">
        <f>SUM(F250:G250)</f>
        <v>0</v>
      </c>
      <c r="L250" s="371">
        <f>SUM(E250)</f>
        <v>0.56483000000000017</v>
      </c>
      <c r="M250" s="371">
        <f>SUM(I250)</f>
        <v>0</v>
      </c>
    </row>
    <row r="251" spans="1:13" ht="13.5" thickBot="1">
      <c r="A251" s="375"/>
      <c r="B251" s="426"/>
      <c r="C251" s="408"/>
    </row>
    <row r="252" spans="1:13" ht="19.5" thickBot="1">
      <c r="A252" s="375"/>
      <c r="B252" s="445"/>
      <c r="C252" s="446" t="s">
        <v>1790</v>
      </c>
      <c r="D252" s="372"/>
      <c r="E252" s="372"/>
      <c r="F252" s="372"/>
      <c r="G252" s="372"/>
      <c r="H252" s="447">
        <f>SUM(H233:H251)</f>
        <v>0</v>
      </c>
    </row>
    <row r="253" spans="1:13">
      <c r="A253" s="375"/>
      <c r="B253" s="426"/>
      <c r="C253" s="408"/>
    </row>
    <row r="254" spans="1:13">
      <c r="A254" s="375"/>
      <c r="B254" s="426"/>
      <c r="C254" s="408"/>
    </row>
    <row r="255" spans="1:13">
      <c r="A255" s="375"/>
      <c r="B255" s="426"/>
      <c r="C255" s="408"/>
    </row>
    <row r="256" spans="1:13" ht="15">
      <c r="A256" s="375"/>
      <c r="B256" s="392" t="s">
        <v>1791</v>
      </c>
      <c r="C256" s="408"/>
    </row>
    <row r="257" spans="1:13" ht="15">
      <c r="A257" s="375"/>
      <c r="B257" s="392" t="s">
        <v>1792</v>
      </c>
      <c r="C257" s="373"/>
      <c r="D257" s="373"/>
      <c r="E257" s="373"/>
      <c r="F257" s="373"/>
      <c r="G257" s="373"/>
      <c r="H257" s="393"/>
      <c r="I257" s="373"/>
      <c r="J257" s="373"/>
    </row>
    <row r="258" spans="1:13">
      <c r="A258" s="375"/>
      <c r="B258" s="394" t="s">
        <v>1474</v>
      </c>
      <c r="C258" s="394" t="s">
        <v>1136</v>
      </c>
      <c r="D258" s="394" t="s">
        <v>1475</v>
      </c>
      <c r="E258" s="394" t="s">
        <v>1476</v>
      </c>
      <c r="F258" s="693" t="s">
        <v>1477</v>
      </c>
      <c r="G258" s="694"/>
      <c r="H258" s="463" t="s">
        <v>1478</v>
      </c>
      <c r="I258" s="464" t="s">
        <v>1479</v>
      </c>
      <c r="J258" s="465" t="s">
        <v>1480</v>
      </c>
    </row>
    <row r="259" spans="1:13">
      <c r="A259" s="375"/>
      <c r="B259" s="398" t="s">
        <v>1481</v>
      </c>
      <c r="C259" s="399"/>
      <c r="D259" s="399"/>
      <c r="E259" s="399"/>
      <c r="F259" s="398" t="s">
        <v>1141</v>
      </c>
      <c r="G259" s="402" t="s">
        <v>1142</v>
      </c>
      <c r="H259" s="466" t="s">
        <v>1482</v>
      </c>
      <c r="I259" s="456" t="s">
        <v>1483</v>
      </c>
      <c r="J259" s="402" t="s">
        <v>1483</v>
      </c>
    </row>
    <row r="260" spans="1:13">
      <c r="A260" s="375"/>
      <c r="B260" s="426" t="s">
        <v>79</v>
      </c>
      <c r="C260" s="450" t="s">
        <v>1793</v>
      </c>
      <c r="D260" s="410"/>
      <c r="E260" s="410" t="s">
        <v>79</v>
      </c>
      <c r="F260" s="371" t="s">
        <v>79</v>
      </c>
      <c r="H260" s="412" t="s">
        <v>79</v>
      </c>
    </row>
    <row r="261" spans="1:13">
      <c r="A261" s="375"/>
      <c r="B261" s="426"/>
      <c r="C261" s="442" t="s">
        <v>1794</v>
      </c>
      <c r="D261" s="410"/>
      <c r="E261" s="410"/>
      <c r="H261" s="412"/>
    </row>
    <row r="262" spans="1:13">
      <c r="A262" s="375"/>
      <c r="B262" s="426"/>
      <c r="C262" s="442" t="s">
        <v>1795</v>
      </c>
      <c r="D262" s="410"/>
      <c r="E262" s="410"/>
      <c r="H262" s="412"/>
    </row>
    <row r="263" spans="1:13">
      <c r="A263" s="375"/>
      <c r="B263" s="426" t="s">
        <v>79</v>
      </c>
      <c r="C263" s="442" t="s">
        <v>1796</v>
      </c>
      <c r="D263" s="410"/>
      <c r="E263" s="410" t="s">
        <v>79</v>
      </c>
      <c r="F263" s="371" t="s">
        <v>79</v>
      </c>
      <c r="H263" s="412" t="s">
        <v>79</v>
      </c>
    </row>
    <row r="264" spans="1:13">
      <c r="A264" s="375">
        <v>1</v>
      </c>
      <c r="B264" s="426" t="s">
        <v>1797</v>
      </c>
      <c r="C264" s="442" t="s">
        <v>1798</v>
      </c>
      <c r="D264" s="440" t="s">
        <v>1508</v>
      </c>
      <c r="E264" s="410">
        <v>6</v>
      </c>
      <c r="F264" s="415">
        <f>'ZTI standardy'!I47</f>
        <v>0</v>
      </c>
      <c r="G264" s="415"/>
      <c r="H264" s="412">
        <f t="shared" ref="H264:H274" si="23">PRODUCT(K264:L264)</f>
        <v>0</v>
      </c>
      <c r="I264" s="371">
        <v>0.03</v>
      </c>
      <c r="J264" s="414">
        <f t="shared" ref="J264:J274" si="24">PRODUCT(L264:M264)</f>
        <v>0.18</v>
      </c>
      <c r="K264" s="371">
        <f t="shared" ref="K264:K274" si="25">SUM(F264:G264)</f>
        <v>0</v>
      </c>
      <c r="L264" s="371">
        <f t="shared" ref="L264:L274" si="26">SUM(E264)</f>
        <v>6</v>
      </c>
      <c r="M264" s="371">
        <f t="shared" ref="M264:M274" si="27">SUM(I264)</f>
        <v>0.03</v>
      </c>
    </row>
    <row r="265" spans="1:13">
      <c r="A265" s="375">
        <v>2</v>
      </c>
      <c r="B265" s="426" t="s">
        <v>1799</v>
      </c>
      <c r="C265" s="442" t="s">
        <v>1800</v>
      </c>
      <c r="D265" s="440" t="s">
        <v>1508</v>
      </c>
      <c r="E265" s="410">
        <v>10</v>
      </c>
      <c r="F265" s="415">
        <f>'ZTI standardy'!I88</f>
        <v>0</v>
      </c>
      <c r="G265" s="415"/>
      <c r="H265" s="412">
        <f t="shared" si="23"/>
        <v>0</v>
      </c>
      <c r="I265" s="371">
        <v>0.03</v>
      </c>
      <c r="J265" s="414">
        <f t="shared" si="24"/>
        <v>0.3</v>
      </c>
      <c r="K265" s="371">
        <f t="shared" si="25"/>
        <v>0</v>
      </c>
      <c r="L265" s="371">
        <f t="shared" si="26"/>
        <v>10</v>
      </c>
      <c r="M265" s="371">
        <f t="shared" si="27"/>
        <v>0.03</v>
      </c>
    </row>
    <row r="266" spans="1:13">
      <c r="A266" s="375">
        <v>3</v>
      </c>
      <c r="B266" s="426" t="s">
        <v>1801</v>
      </c>
      <c r="C266" s="442" t="s">
        <v>1802</v>
      </c>
      <c r="D266" s="440" t="s">
        <v>1508</v>
      </c>
      <c r="E266" s="410">
        <v>4</v>
      </c>
      <c r="F266" s="415">
        <f>'ZTI standardy'!I122</f>
        <v>0</v>
      </c>
      <c r="G266" s="415"/>
      <c r="H266" s="412">
        <f t="shared" si="23"/>
        <v>0</v>
      </c>
      <c r="I266" s="371">
        <v>0.06</v>
      </c>
      <c r="J266" s="414">
        <f t="shared" si="24"/>
        <v>0.24</v>
      </c>
      <c r="K266" s="371">
        <f t="shared" si="25"/>
        <v>0</v>
      </c>
      <c r="L266" s="371">
        <f t="shared" si="26"/>
        <v>4</v>
      </c>
      <c r="M266" s="371">
        <f t="shared" si="27"/>
        <v>0.06</v>
      </c>
    </row>
    <row r="267" spans="1:13">
      <c r="A267" s="375">
        <v>4</v>
      </c>
      <c r="B267" s="426" t="s">
        <v>1803</v>
      </c>
      <c r="C267" s="442" t="s">
        <v>1804</v>
      </c>
      <c r="D267" s="440" t="s">
        <v>1508</v>
      </c>
      <c r="E267" s="410">
        <v>10</v>
      </c>
      <c r="F267" s="415">
        <f>'ZTI standardy'!I159</f>
        <v>0</v>
      </c>
      <c r="G267" s="415"/>
      <c r="H267" s="412">
        <f t="shared" si="23"/>
        <v>0</v>
      </c>
      <c r="I267" s="371">
        <v>7.0000000000000007E-2</v>
      </c>
      <c r="J267" s="414">
        <f t="shared" si="24"/>
        <v>0.70000000000000007</v>
      </c>
      <c r="K267" s="371">
        <f t="shared" si="25"/>
        <v>0</v>
      </c>
      <c r="L267" s="371">
        <f t="shared" si="26"/>
        <v>10</v>
      </c>
      <c r="M267" s="371">
        <f t="shared" si="27"/>
        <v>7.0000000000000007E-2</v>
      </c>
    </row>
    <row r="268" spans="1:13">
      <c r="A268" s="375">
        <v>5</v>
      </c>
      <c r="B268" s="426" t="s">
        <v>1805</v>
      </c>
      <c r="C268" s="442" t="s">
        <v>1806</v>
      </c>
      <c r="D268" s="440" t="s">
        <v>1508</v>
      </c>
      <c r="E268" s="410">
        <v>1</v>
      </c>
      <c r="F268" s="415">
        <f>'ZTI standardy'!I198</f>
        <v>0</v>
      </c>
      <c r="G268" s="415"/>
      <c r="H268" s="412">
        <f t="shared" si="23"/>
        <v>0</v>
      </c>
      <c r="I268" s="371">
        <v>0.1</v>
      </c>
      <c r="J268" s="414">
        <f t="shared" si="24"/>
        <v>0.1</v>
      </c>
      <c r="K268" s="371">
        <f t="shared" si="25"/>
        <v>0</v>
      </c>
      <c r="L268" s="371">
        <f t="shared" si="26"/>
        <v>1</v>
      </c>
      <c r="M268" s="371">
        <f t="shared" si="27"/>
        <v>0.1</v>
      </c>
    </row>
    <row r="269" spans="1:13">
      <c r="A269" s="375">
        <v>6</v>
      </c>
      <c r="B269" s="426" t="s">
        <v>1807</v>
      </c>
      <c r="C269" s="442" t="s">
        <v>1808</v>
      </c>
      <c r="D269" s="440" t="s">
        <v>1508</v>
      </c>
      <c r="E269" s="410">
        <v>9</v>
      </c>
      <c r="F269" s="415">
        <f>'ZTI standardy'!I246</f>
        <v>0</v>
      </c>
      <c r="G269" s="415"/>
      <c r="H269" s="412">
        <f t="shared" si="23"/>
        <v>0</v>
      </c>
      <c r="I269" s="371">
        <v>7.0000000000000007E-2</v>
      </c>
      <c r="J269" s="414">
        <f t="shared" si="24"/>
        <v>0.63000000000000012</v>
      </c>
      <c r="K269" s="371">
        <f t="shared" si="25"/>
        <v>0</v>
      </c>
      <c r="L269" s="371">
        <f t="shared" si="26"/>
        <v>9</v>
      </c>
      <c r="M269" s="371">
        <f t="shared" si="27"/>
        <v>7.0000000000000007E-2</v>
      </c>
    </row>
    <row r="270" spans="1:13">
      <c r="A270" s="375">
        <v>7</v>
      </c>
      <c r="B270" s="426" t="s">
        <v>1809</v>
      </c>
      <c r="C270" s="442" t="s">
        <v>1810</v>
      </c>
      <c r="D270" s="440" t="s">
        <v>1508</v>
      </c>
      <c r="E270" s="410">
        <v>4</v>
      </c>
      <c r="F270" s="415">
        <f>'ZTI standardy'!I272</f>
        <v>0</v>
      </c>
      <c r="G270" s="415"/>
      <c r="H270" s="412">
        <f t="shared" si="23"/>
        <v>0</v>
      </c>
      <c r="I270" s="371">
        <v>3.5000000000000003E-2</v>
      </c>
      <c r="J270" s="414">
        <f t="shared" si="24"/>
        <v>0.14000000000000001</v>
      </c>
      <c r="K270" s="371">
        <f t="shared" si="25"/>
        <v>0</v>
      </c>
      <c r="L270" s="371">
        <f t="shared" si="26"/>
        <v>4</v>
      </c>
      <c r="M270" s="371">
        <f t="shared" si="27"/>
        <v>3.5000000000000003E-2</v>
      </c>
    </row>
    <row r="271" spans="1:13">
      <c r="A271" s="375">
        <v>8</v>
      </c>
      <c r="B271" s="426" t="s">
        <v>1811</v>
      </c>
      <c r="C271" s="442" t="s">
        <v>1812</v>
      </c>
      <c r="D271" s="440" t="s">
        <v>1508</v>
      </c>
      <c r="E271" s="410">
        <v>1</v>
      </c>
      <c r="F271" s="415">
        <f>'ZTI standardy'!I297</f>
        <v>0</v>
      </c>
      <c r="G271" s="415"/>
      <c r="H271" s="412">
        <f t="shared" si="23"/>
        <v>0</v>
      </c>
      <c r="I271" s="371">
        <v>3.5000000000000003E-2</v>
      </c>
      <c r="J271" s="414">
        <f t="shared" si="24"/>
        <v>3.5000000000000003E-2</v>
      </c>
      <c r="K271" s="371">
        <f t="shared" si="25"/>
        <v>0</v>
      </c>
      <c r="L271" s="371">
        <f t="shared" si="26"/>
        <v>1</v>
      </c>
      <c r="M271" s="371">
        <f t="shared" si="27"/>
        <v>3.5000000000000003E-2</v>
      </c>
    </row>
    <row r="272" spans="1:13">
      <c r="A272" s="375">
        <v>9</v>
      </c>
      <c r="B272" s="426" t="s">
        <v>1813</v>
      </c>
      <c r="C272" s="442" t="s">
        <v>1814</v>
      </c>
      <c r="D272" s="440" t="s">
        <v>1508</v>
      </c>
      <c r="E272" s="410">
        <v>1</v>
      </c>
      <c r="F272" s="415">
        <f>'ZTI standardy'!I325</f>
        <v>0</v>
      </c>
      <c r="G272" s="415"/>
      <c r="H272" s="412">
        <f t="shared" si="23"/>
        <v>0</v>
      </c>
      <c r="I272" s="371">
        <v>0.04</v>
      </c>
      <c r="J272" s="414">
        <f t="shared" si="24"/>
        <v>0.04</v>
      </c>
      <c r="K272" s="371">
        <f t="shared" si="25"/>
        <v>0</v>
      </c>
      <c r="L272" s="371">
        <f t="shared" si="26"/>
        <v>1</v>
      </c>
      <c r="M272" s="371">
        <f t="shared" si="27"/>
        <v>0.04</v>
      </c>
    </row>
    <row r="273" spans="1:13">
      <c r="A273" s="375">
        <v>10</v>
      </c>
      <c r="B273" s="426" t="s">
        <v>1815</v>
      </c>
      <c r="C273" s="442" t="s">
        <v>1816</v>
      </c>
      <c r="D273" s="440" t="s">
        <v>1508</v>
      </c>
      <c r="E273" s="410">
        <v>2</v>
      </c>
      <c r="F273" s="415">
        <f>'ZTI standardy'!I342</f>
        <v>0</v>
      </c>
      <c r="G273" s="415"/>
      <c r="H273" s="412">
        <f>PRODUCT(K273:L273)</f>
        <v>0</v>
      </c>
      <c r="I273" s="371">
        <v>1.4999999999999999E-2</v>
      </c>
      <c r="J273" s="414">
        <f t="shared" si="24"/>
        <v>0.03</v>
      </c>
      <c r="K273" s="371">
        <f>SUM(F273:G273)</f>
        <v>0</v>
      </c>
      <c r="L273" s="371">
        <f>SUM(E273)</f>
        <v>2</v>
      </c>
      <c r="M273" s="371">
        <f>SUM(I273)</f>
        <v>1.4999999999999999E-2</v>
      </c>
    </row>
    <row r="274" spans="1:13">
      <c r="A274" s="375">
        <v>11</v>
      </c>
      <c r="B274" s="426" t="s">
        <v>1817</v>
      </c>
      <c r="C274" s="442" t="s">
        <v>1818</v>
      </c>
      <c r="D274" s="440" t="s">
        <v>1508</v>
      </c>
      <c r="E274" s="410">
        <v>2</v>
      </c>
      <c r="F274" s="415">
        <f>'ZTI standardy'!I369</f>
        <v>0</v>
      </c>
      <c r="G274" s="415"/>
      <c r="H274" s="412">
        <f t="shared" si="23"/>
        <v>0</v>
      </c>
      <c r="I274" s="371">
        <v>0.06</v>
      </c>
      <c r="J274" s="414">
        <f t="shared" si="24"/>
        <v>0.12</v>
      </c>
      <c r="K274" s="371">
        <f t="shared" si="25"/>
        <v>0</v>
      </c>
      <c r="L274" s="371">
        <f t="shared" si="26"/>
        <v>2</v>
      </c>
      <c r="M274" s="371">
        <f t="shared" si="27"/>
        <v>0.06</v>
      </c>
    </row>
    <row r="275" spans="1:13">
      <c r="A275" s="375" t="s">
        <v>1819</v>
      </c>
      <c r="B275" s="426" t="s">
        <v>1820</v>
      </c>
      <c r="C275" s="408" t="s">
        <v>1821</v>
      </c>
      <c r="D275" s="440" t="s">
        <v>1508</v>
      </c>
      <c r="E275" s="410">
        <v>1</v>
      </c>
      <c r="F275" s="415">
        <f>'ZTI standardy'!I398</f>
        <v>0</v>
      </c>
      <c r="G275" s="415"/>
      <c r="H275" s="412">
        <f>PRODUCT(K275:L275)</f>
        <v>0</v>
      </c>
      <c r="I275" s="371">
        <v>0.06</v>
      </c>
      <c r="J275" s="414">
        <f>PRODUCT(L275:M275)</f>
        <v>0.06</v>
      </c>
      <c r="K275" s="371">
        <f>SUM(F275:G275)</f>
        <v>0</v>
      </c>
      <c r="L275" s="371">
        <f>SUM(E275)</f>
        <v>1</v>
      </c>
      <c r="M275" s="371">
        <f>SUM(I275)</f>
        <v>0.06</v>
      </c>
    </row>
    <row r="276" spans="1:13">
      <c r="A276" s="375" t="s">
        <v>1822</v>
      </c>
      <c r="B276" s="426" t="s">
        <v>1823</v>
      </c>
      <c r="C276" s="408" t="s">
        <v>1824</v>
      </c>
      <c r="D276" s="440" t="s">
        <v>1508</v>
      </c>
      <c r="E276" s="410">
        <v>1</v>
      </c>
      <c r="F276" s="415">
        <f>'ZTI standardy'!I420</f>
        <v>0</v>
      </c>
      <c r="G276" s="415"/>
      <c r="H276" s="412">
        <f>PRODUCT(K276:L276)</f>
        <v>0</v>
      </c>
      <c r="I276" s="371">
        <v>0.06</v>
      </c>
      <c r="J276" s="414">
        <f>PRODUCT(L276:M276)</f>
        <v>0.06</v>
      </c>
      <c r="K276" s="371">
        <f>SUM(F276:G276)</f>
        <v>0</v>
      </c>
      <c r="L276" s="371">
        <f>SUM(E276)</f>
        <v>1</v>
      </c>
      <c r="M276" s="371">
        <f>SUM(I276)</f>
        <v>0.06</v>
      </c>
    </row>
    <row r="277" spans="1:13">
      <c r="A277" s="375"/>
      <c r="B277" s="426"/>
      <c r="C277" s="408"/>
    </row>
    <row r="278" spans="1:13">
      <c r="A278" s="375"/>
      <c r="B278" s="426"/>
      <c r="C278" s="408" t="s">
        <v>1825</v>
      </c>
      <c r="H278" s="467">
        <f>SUM(H264:H277)</f>
        <v>0</v>
      </c>
    </row>
    <row r="279" spans="1:13">
      <c r="A279" s="375"/>
      <c r="B279" s="426"/>
      <c r="C279" s="408"/>
      <c r="H279" s="371"/>
    </row>
    <row r="280" spans="1:13">
      <c r="A280" s="375"/>
      <c r="B280" s="426"/>
      <c r="C280" s="439" t="s">
        <v>1826</v>
      </c>
      <c r="D280" s="440"/>
      <c r="E280" s="410"/>
      <c r="F280" s="415"/>
      <c r="G280" s="415"/>
      <c r="H280" s="410"/>
    </row>
    <row r="281" spans="1:13">
      <c r="A281" s="375">
        <v>12</v>
      </c>
      <c r="B281" s="468" t="s">
        <v>1827</v>
      </c>
      <c r="C281" s="442" t="s">
        <v>1828</v>
      </c>
      <c r="D281" s="440" t="s">
        <v>1508</v>
      </c>
      <c r="E281" s="410">
        <v>14</v>
      </c>
      <c r="F281" s="415"/>
      <c r="G281" s="415"/>
      <c r="H281" s="412">
        <f>PRODUCT(K281:L281)</f>
        <v>0</v>
      </c>
      <c r="I281" s="443">
        <v>2.0400000000000001E-3</v>
      </c>
      <c r="J281" s="414">
        <f>PRODUCT(L281:M281)</f>
        <v>2.8560000000000002E-2</v>
      </c>
      <c r="K281" s="371">
        <f>SUM(F281:G281)</f>
        <v>0</v>
      </c>
      <c r="L281" s="371">
        <f>SUM(E281)</f>
        <v>14</v>
      </c>
      <c r="M281" s="371">
        <f>SUM(I281)</f>
        <v>2.0400000000000001E-3</v>
      </c>
    </row>
    <row r="282" spans="1:13">
      <c r="A282" s="375"/>
      <c r="B282" s="426"/>
      <c r="C282" s="439" t="s">
        <v>1829</v>
      </c>
      <c r="D282" s="440"/>
      <c r="E282" s="410"/>
      <c r="F282" s="415"/>
      <c r="G282" s="415"/>
      <c r="H282" s="412"/>
    </row>
    <row r="283" spans="1:13">
      <c r="A283" s="375">
        <v>13</v>
      </c>
      <c r="B283" s="426" t="s">
        <v>1830</v>
      </c>
      <c r="C283" s="442" t="s">
        <v>1831</v>
      </c>
      <c r="D283" s="440" t="s">
        <v>1508</v>
      </c>
      <c r="E283" s="410">
        <v>16</v>
      </c>
      <c r="F283" s="415"/>
      <c r="G283" s="415"/>
      <c r="H283" s="412">
        <f>PRODUCT(K283:L283)</f>
        <v>0</v>
      </c>
      <c r="I283" s="443">
        <v>2.2599999999999999E-3</v>
      </c>
      <c r="J283" s="414">
        <f>PRODUCT(L283:M283)</f>
        <v>3.6159999999999998E-2</v>
      </c>
      <c r="K283" s="371">
        <f>SUM(F283:G283)</f>
        <v>0</v>
      </c>
      <c r="L283" s="371">
        <f>SUM(E283)</f>
        <v>16</v>
      </c>
      <c r="M283" s="371">
        <f>SUM(I283)</f>
        <v>2.2599999999999999E-3</v>
      </c>
    </row>
    <row r="284" spans="1:13">
      <c r="A284" s="375"/>
      <c r="B284" s="426"/>
      <c r="C284" s="439" t="s">
        <v>1832</v>
      </c>
      <c r="D284" s="440"/>
      <c r="E284" s="410"/>
      <c r="F284" s="415"/>
      <c r="G284" s="415"/>
      <c r="H284" s="412"/>
    </row>
    <row r="285" spans="1:13">
      <c r="A285" s="375">
        <v>14</v>
      </c>
      <c r="B285" s="426" t="s">
        <v>1833</v>
      </c>
      <c r="C285" s="442" t="s">
        <v>1834</v>
      </c>
      <c r="D285" s="440" t="s">
        <v>1508</v>
      </c>
      <c r="E285" s="410">
        <v>10</v>
      </c>
      <c r="F285" s="415"/>
      <c r="G285" s="415"/>
      <c r="H285" s="412">
        <f>PRODUCT(K285:L285)</f>
        <v>0</v>
      </c>
      <c r="I285" s="443">
        <v>3.2000000000000003E-4</v>
      </c>
      <c r="J285" s="414">
        <f>PRODUCT(L285:M285)</f>
        <v>3.2000000000000002E-3</v>
      </c>
      <c r="K285" s="371">
        <f>SUM(F285:G285)</f>
        <v>0</v>
      </c>
      <c r="L285" s="371">
        <f>SUM(E285)</f>
        <v>10</v>
      </c>
      <c r="M285" s="371">
        <f>SUM(I285)</f>
        <v>3.2000000000000003E-4</v>
      </c>
    </row>
    <row r="286" spans="1:13">
      <c r="A286" s="375"/>
      <c r="B286" s="426"/>
      <c r="C286" s="439" t="s">
        <v>1835</v>
      </c>
      <c r="D286" s="440"/>
      <c r="E286" s="410"/>
      <c r="F286" s="415"/>
      <c r="G286" s="415"/>
      <c r="H286" s="412"/>
    </row>
    <row r="287" spans="1:13">
      <c r="A287" s="375">
        <v>15</v>
      </c>
      <c r="B287" s="426" t="s">
        <v>1836</v>
      </c>
      <c r="C287" s="442" t="s">
        <v>1837</v>
      </c>
      <c r="D287" s="440" t="s">
        <v>1508</v>
      </c>
      <c r="E287" s="410">
        <v>5</v>
      </c>
      <c r="F287" s="415"/>
      <c r="G287" s="415"/>
      <c r="H287" s="412">
        <f>PRODUCT(K287:L287)</f>
        <v>0</v>
      </c>
      <c r="I287" s="443">
        <v>2.2799999999999999E-3</v>
      </c>
      <c r="J287" s="414">
        <f>PRODUCT(L287:M287)</f>
        <v>1.14E-2</v>
      </c>
      <c r="K287" s="371">
        <f>SUM(F287:G287)</f>
        <v>0</v>
      </c>
      <c r="L287" s="371">
        <f>SUM(E287)</f>
        <v>5</v>
      </c>
      <c r="M287" s="371">
        <f>SUM(I287)</f>
        <v>2.2799999999999999E-3</v>
      </c>
    </row>
    <row r="288" spans="1:13">
      <c r="A288" s="375">
        <v>16</v>
      </c>
      <c r="B288" s="426" t="s">
        <v>1838</v>
      </c>
      <c r="C288" s="442" t="s">
        <v>1839</v>
      </c>
      <c r="D288" s="440" t="s">
        <v>1508</v>
      </c>
      <c r="E288" s="410">
        <v>1</v>
      </c>
      <c r="F288" s="415"/>
      <c r="G288" s="415"/>
      <c r="H288" s="412">
        <f>PRODUCT(K288:L288)</f>
        <v>0</v>
      </c>
      <c r="I288" s="443">
        <v>8.9999999999999998E-4</v>
      </c>
      <c r="J288" s="414">
        <f>PRODUCT(L288:M288)</f>
        <v>8.9999999999999998E-4</v>
      </c>
      <c r="K288" s="371">
        <f>SUM(F288:G288)</f>
        <v>0</v>
      </c>
      <c r="L288" s="371">
        <f>SUM(E288)</f>
        <v>1</v>
      </c>
      <c r="M288" s="371">
        <f>SUM(I288)</f>
        <v>8.9999999999999998E-4</v>
      </c>
    </row>
    <row r="289" spans="1:13">
      <c r="A289" s="375"/>
      <c r="B289" s="426"/>
      <c r="C289" s="439" t="s">
        <v>1840</v>
      </c>
      <c r="D289" s="440"/>
      <c r="E289" s="410"/>
      <c r="F289" s="415"/>
      <c r="G289" s="415"/>
      <c r="H289" s="412"/>
    </row>
    <row r="290" spans="1:13">
      <c r="A290" s="375">
        <v>17</v>
      </c>
      <c r="B290" s="426" t="s">
        <v>1841</v>
      </c>
      <c r="C290" s="442" t="s">
        <v>1842</v>
      </c>
      <c r="D290" s="440" t="s">
        <v>1508</v>
      </c>
      <c r="E290" s="410">
        <v>2</v>
      </c>
      <c r="F290" s="415"/>
      <c r="G290" s="415"/>
      <c r="H290" s="412">
        <f>PRODUCT(K290:L290)</f>
        <v>0</v>
      </c>
      <c r="I290" s="443">
        <v>2.179E-2</v>
      </c>
      <c r="J290" s="414">
        <f>PRODUCT(L290:M290)</f>
        <v>4.3580000000000001E-2</v>
      </c>
      <c r="K290" s="371">
        <f>SUM(F290:G290)</f>
        <v>0</v>
      </c>
      <c r="L290" s="371">
        <f>SUM(E290)</f>
        <v>2</v>
      </c>
      <c r="M290" s="371">
        <f>SUM(I290)</f>
        <v>2.179E-2</v>
      </c>
    </row>
    <row r="291" spans="1:13">
      <c r="A291" s="375"/>
      <c r="B291" s="426"/>
      <c r="C291" s="439" t="s">
        <v>1843</v>
      </c>
      <c r="D291" s="440"/>
      <c r="E291" s="410"/>
      <c r="F291" s="415"/>
      <c r="G291" s="415"/>
      <c r="H291" s="412"/>
    </row>
    <row r="292" spans="1:13">
      <c r="A292" s="375">
        <v>18</v>
      </c>
      <c r="B292" s="426" t="s">
        <v>1844</v>
      </c>
      <c r="C292" s="442" t="s">
        <v>1845</v>
      </c>
      <c r="D292" s="440" t="s">
        <v>1508</v>
      </c>
      <c r="E292" s="410">
        <v>2</v>
      </c>
      <c r="F292" s="415"/>
      <c r="G292" s="415"/>
      <c r="H292" s="412">
        <f>PRODUCT(K292:L292)</f>
        <v>0</v>
      </c>
      <c r="I292" s="443">
        <v>8.0000000000000007E-5</v>
      </c>
      <c r="J292" s="414">
        <f>PRODUCT(L292:M292)</f>
        <v>1.6000000000000001E-4</v>
      </c>
      <c r="K292" s="371">
        <f>SUM(F292:G292)</f>
        <v>0</v>
      </c>
      <c r="L292" s="371">
        <f>SUM(E292)</f>
        <v>2</v>
      </c>
      <c r="M292" s="371">
        <f>SUM(I292)</f>
        <v>8.0000000000000007E-5</v>
      </c>
    </row>
    <row r="293" spans="1:13">
      <c r="A293" s="375">
        <v>19</v>
      </c>
      <c r="B293" s="426" t="s">
        <v>1846</v>
      </c>
      <c r="C293" s="442" t="s">
        <v>1847</v>
      </c>
      <c r="D293" s="440" t="s">
        <v>1508</v>
      </c>
      <c r="E293" s="410">
        <v>44</v>
      </c>
      <c r="F293" s="415"/>
      <c r="G293" s="415"/>
      <c r="H293" s="412">
        <f>PRODUCT(K293:L293)</f>
        <v>0</v>
      </c>
      <c r="I293" s="443">
        <v>8.0000000000000007E-5</v>
      </c>
      <c r="J293" s="414">
        <f>PRODUCT(L293:M293)</f>
        <v>3.5200000000000001E-3</v>
      </c>
      <c r="K293" s="371">
        <f>SUM(F293:G293)</f>
        <v>0</v>
      </c>
      <c r="L293" s="371">
        <f>SUM(E293)</f>
        <v>44</v>
      </c>
      <c r="M293" s="371">
        <f>SUM(I293)</f>
        <v>8.0000000000000007E-5</v>
      </c>
    </row>
    <row r="294" spans="1:13">
      <c r="A294" s="375">
        <v>20</v>
      </c>
      <c r="B294" s="426" t="s">
        <v>1848</v>
      </c>
      <c r="C294" s="442" t="s">
        <v>1849</v>
      </c>
      <c r="D294" s="440" t="s">
        <v>1508</v>
      </c>
      <c r="E294" s="410">
        <v>15</v>
      </c>
      <c r="F294" s="415"/>
      <c r="G294" s="415"/>
      <c r="H294" s="412">
        <f>PRODUCT(K294:L294)</f>
        <v>0</v>
      </c>
      <c r="I294" s="443">
        <v>8.0000000000000007E-5</v>
      </c>
      <c r="J294" s="414">
        <f>PRODUCT(L294:M294)</f>
        <v>1.2000000000000001E-3</v>
      </c>
      <c r="K294" s="371">
        <f>SUM(F294:G294)</f>
        <v>0</v>
      </c>
      <c r="L294" s="371">
        <f>SUM(E294)</f>
        <v>15</v>
      </c>
      <c r="M294" s="371">
        <f>SUM(I294)</f>
        <v>8.0000000000000007E-5</v>
      </c>
    </row>
    <row r="295" spans="1:13">
      <c r="A295" s="375"/>
      <c r="B295" s="426"/>
      <c r="C295" s="439" t="s">
        <v>1850</v>
      </c>
      <c r="D295" s="440"/>
      <c r="E295" s="410"/>
      <c r="F295" s="415"/>
      <c r="G295" s="415"/>
      <c r="H295" s="412"/>
    </row>
    <row r="296" spans="1:13">
      <c r="A296" s="375">
        <v>21</v>
      </c>
      <c r="B296" s="426" t="s">
        <v>1851</v>
      </c>
      <c r="C296" s="442" t="s">
        <v>1852</v>
      </c>
      <c r="D296" s="440" t="s">
        <v>1508</v>
      </c>
      <c r="E296" s="410">
        <v>22</v>
      </c>
      <c r="F296" s="415"/>
      <c r="G296" s="415"/>
      <c r="H296" s="412">
        <f>PRODUCT(K296:L296)</f>
        <v>0</v>
      </c>
      <c r="I296" s="443">
        <v>4.0000000000000003E-5</v>
      </c>
      <c r="J296" s="414">
        <f>PRODUCT(L296:M296)</f>
        <v>8.8000000000000003E-4</v>
      </c>
      <c r="K296" s="371">
        <f>SUM(F296:G296)</f>
        <v>0</v>
      </c>
      <c r="L296" s="371">
        <f>SUM(E296)</f>
        <v>22</v>
      </c>
      <c r="M296" s="371">
        <f>SUM(I296)</f>
        <v>4.0000000000000003E-5</v>
      </c>
    </row>
    <row r="297" spans="1:13">
      <c r="A297" s="375">
        <v>22</v>
      </c>
      <c r="B297" s="426" t="s">
        <v>1853</v>
      </c>
      <c r="C297" s="442" t="s">
        <v>1854</v>
      </c>
      <c r="D297" s="440" t="s">
        <v>1508</v>
      </c>
      <c r="E297" s="410">
        <v>2</v>
      </c>
      <c r="F297" s="415"/>
      <c r="G297" s="415"/>
      <c r="H297" s="412">
        <f>PRODUCT(K297:L297)</f>
        <v>0</v>
      </c>
      <c r="I297" s="443">
        <v>4.0000000000000003E-5</v>
      </c>
      <c r="J297" s="414">
        <f>PRODUCT(L297:M297)</f>
        <v>8.0000000000000007E-5</v>
      </c>
      <c r="K297" s="371">
        <f>SUM(F297:G297)</f>
        <v>0</v>
      </c>
      <c r="L297" s="371">
        <f>SUM(E297)</f>
        <v>2</v>
      </c>
      <c r="M297" s="371">
        <f>SUM(I297)</f>
        <v>4.0000000000000003E-5</v>
      </c>
    </row>
    <row r="298" spans="1:13">
      <c r="A298" s="375"/>
      <c r="B298" s="426"/>
      <c r="C298" s="439" t="s">
        <v>1855</v>
      </c>
      <c r="D298" s="440"/>
      <c r="E298" s="410"/>
      <c r="F298" s="415"/>
      <c r="G298" s="415"/>
      <c r="H298" s="412"/>
    </row>
    <row r="299" spans="1:13">
      <c r="A299" s="375">
        <v>23</v>
      </c>
      <c r="B299" s="426" t="s">
        <v>1856</v>
      </c>
      <c r="C299" s="442" t="s">
        <v>1857</v>
      </c>
      <c r="D299" s="410"/>
      <c r="E299" s="410"/>
      <c r="F299" s="459"/>
      <c r="G299" s="459"/>
      <c r="H299" s="407"/>
    </row>
    <row r="300" spans="1:13">
      <c r="A300" s="375"/>
      <c r="B300" s="426"/>
      <c r="C300" s="442" t="s">
        <v>1858</v>
      </c>
      <c r="D300" s="440" t="s">
        <v>1508</v>
      </c>
      <c r="E300" s="410">
        <v>10</v>
      </c>
      <c r="F300" s="415"/>
      <c r="G300" s="415"/>
      <c r="H300" s="412">
        <f>PRODUCT(K300:L300)</f>
        <v>0</v>
      </c>
      <c r="I300" s="443">
        <v>1.2999999999999999E-4</v>
      </c>
      <c r="J300" s="414">
        <f>PRODUCT(L300:M300)</f>
        <v>1.2999999999999999E-3</v>
      </c>
      <c r="K300" s="371">
        <f>SUM(F300:G300)</f>
        <v>0</v>
      </c>
      <c r="L300" s="371">
        <f>SUM(E300)</f>
        <v>10</v>
      </c>
      <c r="M300" s="371">
        <f>SUM(I300)</f>
        <v>1.2999999999999999E-4</v>
      </c>
    </row>
    <row r="301" spans="1:13">
      <c r="A301" s="375"/>
      <c r="B301" s="426"/>
      <c r="C301" s="439" t="s">
        <v>1859</v>
      </c>
      <c r="D301" s="440"/>
      <c r="E301" s="410"/>
      <c r="F301" s="415"/>
      <c r="G301" s="415"/>
      <c r="H301" s="412"/>
    </row>
    <row r="302" spans="1:13">
      <c r="A302" s="375">
        <v>24</v>
      </c>
      <c r="B302" s="426" t="s">
        <v>1860</v>
      </c>
      <c r="C302" s="442" t="s">
        <v>1861</v>
      </c>
      <c r="D302" s="440" t="s">
        <v>805</v>
      </c>
      <c r="E302" s="410">
        <v>16</v>
      </c>
      <c r="F302" s="415"/>
      <c r="G302" s="415"/>
      <c r="H302" s="412">
        <f>PRODUCT(K302:L302)</f>
        <v>0</v>
      </c>
      <c r="I302" s="443">
        <v>1.7000000000000001E-4</v>
      </c>
      <c r="J302" s="414">
        <f>PRODUCT(L302:M302)</f>
        <v>2.7200000000000002E-3</v>
      </c>
      <c r="K302" s="371">
        <f>SUM(F302:G302)</f>
        <v>0</v>
      </c>
      <c r="L302" s="371">
        <f>SUM(E302)</f>
        <v>16</v>
      </c>
      <c r="M302" s="371">
        <f>SUM(I302)</f>
        <v>1.7000000000000001E-4</v>
      </c>
    </row>
    <row r="303" spans="1:13">
      <c r="A303" s="375">
        <v>25</v>
      </c>
      <c r="B303" s="426" t="s">
        <v>1862</v>
      </c>
      <c r="C303" s="442" t="s">
        <v>1863</v>
      </c>
      <c r="D303" s="440" t="s">
        <v>805</v>
      </c>
      <c r="E303" s="410">
        <v>10</v>
      </c>
      <c r="F303" s="415"/>
      <c r="G303" s="415"/>
      <c r="H303" s="412">
        <f>PRODUCT(K303:L303)</f>
        <v>0</v>
      </c>
      <c r="I303" s="443">
        <v>2.0000000000000001E-4</v>
      </c>
      <c r="J303" s="414">
        <f>PRODUCT(L303:M303)</f>
        <v>2E-3</v>
      </c>
      <c r="K303" s="371">
        <f>SUM(F303:G303)</f>
        <v>0</v>
      </c>
      <c r="L303" s="371">
        <f>SUM(E303)</f>
        <v>10</v>
      </c>
      <c r="M303" s="371">
        <f>SUM(I303)</f>
        <v>2.0000000000000001E-4</v>
      </c>
    </row>
    <row r="304" spans="1:13">
      <c r="A304" s="375">
        <v>26</v>
      </c>
      <c r="B304" s="426" t="s">
        <v>1862</v>
      </c>
      <c r="C304" s="442" t="s">
        <v>1864</v>
      </c>
      <c r="D304" s="440" t="s">
        <v>805</v>
      </c>
      <c r="E304" s="410">
        <v>5</v>
      </c>
      <c r="F304" s="415"/>
      <c r="G304" s="415"/>
      <c r="H304" s="412">
        <f>PRODUCT(K304:L304)</f>
        <v>0</v>
      </c>
      <c r="I304" s="443">
        <v>2.0000000000000001E-4</v>
      </c>
      <c r="J304" s="414">
        <f>PRODUCT(L304:M304)</f>
        <v>1E-3</v>
      </c>
      <c r="K304" s="371">
        <f>SUM(F304:G304)</f>
        <v>0</v>
      </c>
      <c r="L304" s="371">
        <f>SUM(E304)</f>
        <v>5</v>
      </c>
      <c r="M304" s="371">
        <f>SUM(I304)</f>
        <v>2.0000000000000001E-4</v>
      </c>
    </row>
    <row r="305" spans="1:13">
      <c r="A305" s="375">
        <v>27</v>
      </c>
      <c r="B305" s="426" t="s">
        <v>1865</v>
      </c>
      <c r="C305" s="442" t="s">
        <v>1866</v>
      </c>
      <c r="D305" s="440" t="s">
        <v>805</v>
      </c>
      <c r="E305" s="410">
        <v>1</v>
      </c>
      <c r="F305" s="415"/>
      <c r="G305" s="415"/>
      <c r="H305" s="412">
        <f>PRODUCT(K305:L305)</f>
        <v>0</v>
      </c>
      <c r="I305" s="443">
        <v>3.2000000000000003E-4</v>
      </c>
      <c r="J305" s="414">
        <f>PRODUCT(L305:M305)</f>
        <v>3.2000000000000003E-4</v>
      </c>
      <c r="K305" s="371">
        <f>SUM(F305:G305)</f>
        <v>0</v>
      </c>
      <c r="L305" s="371">
        <f>SUM(E305)</f>
        <v>1</v>
      </c>
      <c r="M305" s="371">
        <f>SUM(I305)</f>
        <v>3.2000000000000003E-4</v>
      </c>
    </row>
    <row r="306" spans="1:13">
      <c r="A306" s="375">
        <v>28</v>
      </c>
      <c r="B306" s="426" t="s">
        <v>1867</v>
      </c>
      <c r="C306" s="442" t="s">
        <v>1868</v>
      </c>
      <c r="D306" s="440" t="s">
        <v>805</v>
      </c>
      <c r="E306" s="410">
        <v>1</v>
      </c>
      <c r="F306" s="415"/>
      <c r="G306" s="415"/>
      <c r="H306" s="412">
        <f>PRODUCT(K306:L306)</f>
        <v>0</v>
      </c>
      <c r="I306" s="443">
        <v>2.1000000000000001E-4</v>
      </c>
      <c r="J306" s="414">
        <f>PRODUCT(L306:M306)</f>
        <v>2.1000000000000001E-4</v>
      </c>
      <c r="K306" s="371">
        <f>SUM(F306:G306)</f>
        <v>0</v>
      </c>
      <c r="L306" s="371">
        <f>SUM(E306)</f>
        <v>1</v>
      </c>
      <c r="M306" s="371">
        <f>SUM(I306)</f>
        <v>2.1000000000000001E-4</v>
      </c>
    </row>
    <row r="307" spans="1:13">
      <c r="A307" s="375"/>
      <c r="B307" s="426"/>
      <c r="C307" s="439" t="s">
        <v>1869</v>
      </c>
      <c r="D307" s="440"/>
      <c r="E307" s="410"/>
      <c r="F307" s="415"/>
      <c r="G307" s="415"/>
      <c r="H307" s="412"/>
      <c r="I307" s="443"/>
      <c r="J307" s="414"/>
    </row>
    <row r="308" spans="1:13">
      <c r="A308" s="375">
        <v>29</v>
      </c>
      <c r="B308" s="426" t="s">
        <v>1870</v>
      </c>
      <c r="C308" s="442" t="s">
        <v>1871</v>
      </c>
      <c r="D308" s="440" t="s">
        <v>805</v>
      </c>
      <c r="E308" s="410">
        <v>9</v>
      </c>
      <c r="F308" s="415"/>
      <c r="G308" s="415"/>
      <c r="H308" s="412">
        <f>PRODUCT(K308:L308)</f>
        <v>0</v>
      </c>
      <c r="I308" s="443">
        <v>1.6000000000000001E-3</v>
      </c>
      <c r="J308" s="414">
        <f>PRODUCT(L308:M308)</f>
        <v>1.4400000000000001E-2</v>
      </c>
      <c r="K308" s="371">
        <f>SUM(F308:G308)</f>
        <v>0</v>
      </c>
      <c r="L308" s="371">
        <f>SUM(E308)</f>
        <v>9</v>
      </c>
      <c r="M308" s="371">
        <f>SUM(I308)</f>
        <v>1.6000000000000001E-3</v>
      </c>
    </row>
    <row r="309" spans="1:13">
      <c r="A309" s="375">
        <v>30</v>
      </c>
      <c r="B309" s="426" t="s">
        <v>1872</v>
      </c>
      <c r="C309" s="442" t="s">
        <v>1873</v>
      </c>
      <c r="D309" s="440"/>
      <c r="E309" s="410"/>
      <c r="F309" s="415"/>
      <c r="G309" s="415"/>
      <c r="H309" s="412"/>
      <c r="I309" s="443"/>
      <c r="J309" s="414"/>
    </row>
    <row r="310" spans="1:13">
      <c r="A310" s="375"/>
      <c r="B310" s="426"/>
      <c r="C310" s="442" t="s">
        <v>1874</v>
      </c>
      <c r="D310" s="440" t="s">
        <v>1508</v>
      </c>
      <c r="E310" s="410">
        <v>19</v>
      </c>
      <c r="F310" s="415"/>
      <c r="G310" s="415"/>
      <c r="H310" s="412">
        <f>PRODUCT(K310:L310)</f>
        <v>0</v>
      </c>
      <c r="I310" s="443">
        <v>3.2799999999999999E-3</v>
      </c>
      <c r="J310" s="414">
        <f>PRODUCT(L310:M310)</f>
        <v>6.232E-2</v>
      </c>
      <c r="K310" s="371">
        <f>SUM(F310:G310)</f>
        <v>0</v>
      </c>
      <c r="L310" s="371">
        <f>SUM(E310)</f>
        <v>19</v>
      </c>
      <c r="M310" s="371">
        <f>SUM(I310)</f>
        <v>3.2799999999999999E-3</v>
      </c>
    </row>
    <row r="311" spans="1:13" ht="13.5" thickBot="1">
      <c r="A311" s="375"/>
      <c r="B311" s="417"/>
      <c r="C311" s="452"/>
      <c r="D311" s="453"/>
      <c r="E311" s="420"/>
      <c r="F311" s="422"/>
      <c r="G311" s="422"/>
      <c r="H311" s="423"/>
      <c r="I311" s="462"/>
      <c r="J311" s="425"/>
    </row>
    <row r="312" spans="1:13" ht="13.5" thickBot="1">
      <c r="A312" s="375"/>
      <c r="B312" s="426"/>
      <c r="C312" s="408" t="s">
        <v>1875</v>
      </c>
      <c r="D312" s="427"/>
      <c r="F312" s="428"/>
      <c r="G312" s="428"/>
      <c r="H312" s="429">
        <f>SUM(H278:H311)</f>
        <v>0</v>
      </c>
      <c r="J312" s="430">
        <f>SUM(J263:J311)</f>
        <v>2.8489100000000014</v>
      </c>
    </row>
    <row r="313" spans="1:13" ht="13.5" thickBot="1">
      <c r="A313" s="375"/>
      <c r="B313" s="417"/>
      <c r="C313" s="418"/>
      <c r="D313" s="431"/>
      <c r="E313" s="376"/>
      <c r="F313" s="432"/>
      <c r="G313" s="432"/>
      <c r="H313" s="433"/>
      <c r="I313" s="376"/>
      <c r="J313" s="376"/>
    </row>
    <row r="314" spans="1:13">
      <c r="A314" s="375"/>
      <c r="B314" s="426"/>
      <c r="C314" s="434"/>
      <c r="D314" s="436"/>
      <c r="E314" s="436"/>
      <c r="H314" s="438"/>
    </row>
    <row r="315" spans="1:13">
      <c r="A315" s="375"/>
      <c r="B315" s="426"/>
      <c r="C315" s="439" t="s">
        <v>1713</v>
      </c>
      <c r="D315" s="410"/>
      <c r="E315" s="410"/>
      <c r="H315" s="382"/>
    </row>
    <row r="316" spans="1:13">
      <c r="A316" s="375">
        <v>31</v>
      </c>
      <c r="B316" s="426" t="s">
        <v>1876</v>
      </c>
      <c r="C316" s="442" t="s">
        <v>1877</v>
      </c>
      <c r="D316" s="440" t="s">
        <v>132</v>
      </c>
      <c r="E316" s="410">
        <f>SUM(J312)</f>
        <v>2.8489100000000014</v>
      </c>
      <c r="F316" s="415"/>
      <c r="G316" s="415"/>
      <c r="H316" s="412">
        <f>PRODUCT(K316:L316)</f>
        <v>0</v>
      </c>
      <c r="I316" s="443" t="s">
        <v>79</v>
      </c>
      <c r="J316" s="414" t="s">
        <v>79</v>
      </c>
      <c r="K316" s="371">
        <f>SUM(F316:G316)</f>
        <v>0</v>
      </c>
      <c r="L316" s="371">
        <f>SUM(E316)</f>
        <v>2.8489100000000014</v>
      </c>
      <c r="M316" s="371">
        <f>SUM(I316)</f>
        <v>0</v>
      </c>
    </row>
    <row r="317" spans="1:13" ht="13.5" thickBot="1">
      <c r="A317" s="375"/>
      <c r="B317" s="426"/>
      <c r="F317" s="371" t="s">
        <v>79</v>
      </c>
    </row>
    <row r="318" spans="1:13" ht="19.5" thickBot="1">
      <c r="A318" s="375"/>
      <c r="B318" s="426"/>
      <c r="C318" s="446" t="s">
        <v>1878</v>
      </c>
      <c r="D318" s="372"/>
      <c r="E318" s="372"/>
      <c r="F318" s="372"/>
      <c r="G318" s="372"/>
      <c r="H318" s="447">
        <f>SUM(H312:H317)</f>
        <v>0</v>
      </c>
    </row>
    <row r="319" spans="1:13">
      <c r="A319" s="375"/>
      <c r="B319" s="426"/>
    </row>
    <row r="320" spans="1:13">
      <c r="A320" s="375"/>
      <c r="B320" s="426"/>
    </row>
    <row r="321" spans="1:2">
      <c r="A321" s="375"/>
      <c r="B321" s="426"/>
    </row>
    <row r="322" spans="1:2">
      <c r="A322" s="375"/>
      <c r="B322" s="426"/>
    </row>
    <row r="323" spans="1:2">
      <c r="A323" s="375"/>
    </row>
    <row r="324" spans="1:2">
      <c r="A324" s="375"/>
    </row>
    <row r="325" spans="1:2" ht="15">
      <c r="A325" s="375"/>
      <c r="B325" s="469" t="s">
        <v>1879</v>
      </c>
    </row>
    <row r="326" spans="1:2">
      <c r="A326" s="375"/>
      <c r="B326" s="371" t="s">
        <v>1880</v>
      </c>
    </row>
    <row r="327" spans="1:2">
      <c r="A327" s="375"/>
      <c r="B327" s="371" t="s">
        <v>1881</v>
      </c>
    </row>
    <row r="328" spans="1:2">
      <c r="A328" s="375"/>
      <c r="B328" s="371" t="s">
        <v>1882</v>
      </c>
    </row>
    <row r="329" spans="1:2">
      <c r="B329" s="371" t="s">
        <v>1883</v>
      </c>
    </row>
  </sheetData>
  <mergeCells count="4">
    <mergeCell ref="F10:G10"/>
    <mergeCell ref="F75:G75"/>
    <mergeCell ref="F187:G187"/>
    <mergeCell ref="F258:G258"/>
  </mergeCells>
  <pageMargins left="0.78740157499999996" right="0.78740157499999996" top="0.984251969" bottom="0.984251969" header="0.4921259845" footer="0.4921259845"/>
  <pageSetup paperSize="9" scale="8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3F50A-F952-4640-958E-28135E360626}">
  <sheetPr>
    <tabColor theme="2" tint="-0.249977111117893"/>
  </sheetPr>
  <dimension ref="A1:L421"/>
  <sheetViews>
    <sheetView topLeftCell="A217" zoomScale="70" zoomScaleNormal="70" workbookViewId="0">
      <selection activeCell="I253" sqref="I253:I255"/>
    </sheetView>
  </sheetViews>
  <sheetFormatPr defaultRowHeight="12.75"/>
  <cols>
    <col min="1" max="4" width="9.140625" style="471"/>
    <col min="5" max="5" width="19.85546875" style="471" customWidth="1"/>
    <col min="6" max="6" width="14.85546875" style="471" customWidth="1"/>
    <col min="7" max="7" width="15.7109375" style="471" customWidth="1"/>
    <col min="8" max="9" width="9.140625" style="471"/>
    <col min="10" max="10" width="9.28515625" style="471" bestFit="1" customWidth="1"/>
    <col min="11" max="260" width="9.140625" style="471"/>
    <col min="261" max="261" width="19.85546875" style="471" customWidth="1"/>
    <col min="262" max="262" width="14.85546875" style="471" customWidth="1"/>
    <col min="263" max="263" width="15.7109375" style="471" customWidth="1"/>
    <col min="264" max="265" width="9.140625" style="471"/>
    <col min="266" max="266" width="9.28515625" style="471" bestFit="1" customWidth="1"/>
    <col min="267" max="516" width="9.140625" style="471"/>
    <col min="517" max="517" width="19.85546875" style="471" customWidth="1"/>
    <col min="518" max="518" width="14.85546875" style="471" customWidth="1"/>
    <col min="519" max="519" width="15.7109375" style="471" customWidth="1"/>
    <col min="520" max="521" width="9.140625" style="471"/>
    <col min="522" max="522" width="9.28515625" style="471" bestFit="1" customWidth="1"/>
    <col min="523" max="772" width="9.140625" style="471"/>
    <col min="773" max="773" width="19.85546875" style="471" customWidth="1"/>
    <col min="774" max="774" width="14.85546875" style="471" customWidth="1"/>
    <col min="775" max="775" width="15.7109375" style="471" customWidth="1"/>
    <col min="776" max="777" width="9.140625" style="471"/>
    <col min="778" max="778" width="9.28515625" style="471" bestFit="1" customWidth="1"/>
    <col min="779" max="1028" width="9.140625" style="471"/>
    <col min="1029" max="1029" width="19.85546875" style="471" customWidth="1"/>
    <col min="1030" max="1030" width="14.85546875" style="471" customWidth="1"/>
    <col min="1031" max="1031" width="15.7109375" style="471" customWidth="1"/>
    <col min="1032" max="1033" width="9.140625" style="471"/>
    <col min="1034" max="1034" width="9.28515625" style="471" bestFit="1" customWidth="1"/>
    <col min="1035" max="1284" width="9.140625" style="471"/>
    <col min="1285" max="1285" width="19.85546875" style="471" customWidth="1"/>
    <col min="1286" max="1286" width="14.85546875" style="471" customWidth="1"/>
    <col min="1287" max="1287" width="15.7109375" style="471" customWidth="1"/>
    <col min="1288" max="1289" width="9.140625" style="471"/>
    <col min="1290" max="1290" width="9.28515625" style="471" bestFit="1" customWidth="1"/>
    <col min="1291" max="1540" width="9.140625" style="471"/>
    <col min="1541" max="1541" width="19.85546875" style="471" customWidth="1"/>
    <col min="1542" max="1542" width="14.85546875" style="471" customWidth="1"/>
    <col min="1543" max="1543" width="15.7109375" style="471" customWidth="1"/>
    <col min="1544" max="1545" width="9.140625" style="471"/>
    <col min="1546" max="1546" width="9.28515625" style="471" bestFit="1" customWidth="1"/>
    <col min="1547" max="1796" width="9.140625" style="471"/>
    <col min="1797" max="1797" width="19.85546875" style="471" customWidth="1"/>
    <col min="1798" max="1798" width="14.85546875" style="471" customWidth="1"/>
    <col min="1799" max="1799" width="15.7109375" style="471" customWidth="1"/>
    <col min="1800" max="1801" width="9.140625" style="471"/>
    <col min="1802" max="1802" width="9.28515625" style="471" bestFit="1" customWidth="1"/>
    <col min="1803" max="2052" width="9.140625" style="471"/>
    <col min="2053" max="2053" width="19.85546875" style="471" customWidth="1"/>
    <col min="2054" max="2054" width="14.85546875" style="471" customWidth="1"/>
    <col min="2055" max="2055" width="15.7109375" style="471" customWidth="1"/>
    <col min="2056" max="2057" width="9.140625" style="471"/>
    <col min="2058" max="2058" width="9.28515625" style="471" bestFit="1" customWidth="1"/>
    <col min="2059" max="2308" width="9.140625" style="471"/>
    <col min="2309" max="2309" width="19.85546875" style="471" customWidth="1"/>
    <col min="2310" max="2310" width="14.85546875" style="471" customWidth="1"/>
    <col min="2311" max="2311" width="15.7109375" style="471" customWidth="1"/>
    <col min="2312" max="2313" width="9.140625" style="471"/>
    <col min="2314" max="2314" width="9.28515625" style="471" bestFit="1" customWidth="1"/>
    <col min="2315" max="2564" width="9.140625" style="471"/>
    <col min="2565" max="2565" width="19.85546875" style="471" customWidth="1"/>
    <col min="2566" max="2566" width="14.85546875" style="471" customWidth="1"/>
    <col min="2567" max="2567" width="15.7109375" style="471" customWidth="1"/>
    <col min="2568" max="2569" width="9.140625" style="471"/>
    <col min="2570" max="2570" width="9.28515625" style="471" bestFit="1" customWidth="1"/>
    <col min="2571" max="2820" width="9.140625" style="471"/>
    <col min="2821" max="2821" width="19.85546875" style="471" customWidth="1"/>
    <col min="2822" max="2822" width="14.85546875" style="471" customWidth="1"/>
    <col min="2823" max="2823" width="15.7109375" style="471" customWidth="1"/>
    <col min="2824" max="2825" width="9.140625" style="471"/>
    <col min="2826" max="2826" width="9.28515625" style="471" bestFit="1" customWidth="1"/>
    <col min="2827" max="3076" width="9.140625" style="471"/>
    <col min="3077" max="3077" width="19.85546875" style="471" customWidth="1"/>
    <col min="3078" max="3078" width="14.85546875" style="471" customWidth="1"/>
    <col min="3079" max="3079" width="15.7109375" style="471" customWidth="1"/>
    <col min="3080" max="3081" width="9.140625" style="471"/>
    <col min="3082" max="3082" width="9.28515625" style="471" bestFit="1" customWidth="1"/>
    <col min="3083" max="3332" width="9.140625" style="471"/>
    <col min="3333" max="3333" width="19.85546875" style="471" customWidth="1"/>
    <col min="3334" max="3334" width="14.85546875" style="471" customWidth="1"/>
    <col min="3335" max="3335" width="15.7109375" style="471" customWidth="1"/>
    <col min="3336" max="3337" width="9.140625" style="471"/>
    <col min="3338" max="3338" width="9.28515625" style="471" bestFit="1" customWidth="1"/>
    <col min="3339" max="3588" width="9.140625" style="471"/>
    <col min="3589" max="3589" width="19.85546875" style="471" customWidth="1"/>
    <col min="3590" max="3590" width="14.85546875" style="471" customWidth="1"/>
    <col min="3591" max="3591" width="15.7109375" style="471" customWidth="1"/>
    <col min="3592" max="3593" width="9.140625" style="471"/>
    <col min="3594" max="3594" width="9.28515625" style="471" bestFit="1" customWidth="1"/>
    <col min="3595" max="3844" width="9.140625" style="471"/>
    <col min="3845" max="3845" width="19.85546875" style="471" customWidth="1"/>
    <col min="3846" max="3846" width="14.85546875" style="471" customWidth="1"/>
    <col min="3847" max="3847" width="15.7109375" style="471" customWidth="1"/>
    <col min="3848" max="3849" width="9.140625" style="471"/>
    <col min="3850" max="3850" width="9.28515625" style="471" bestFit="1" customWidth="1"/>
    <col min="3851" max="4100" width="9.140625" style="471"/>
    <col min="4101" max="4101" width="19.85546875" style="471" customWidth="1"/>
    <col min="4102" max="4102" width="14.85546875" style="471" customWidth="1"/>
    <col min="4103" max="4103" width="15.7109375" style="471" customWidth="1"/>
    <col min="4104" max="4105" width="9.140625" style="471"/>
    <col min="4106" max="4106" width="9.28515625" style="471" bestFit="1" customWidth="1"/>
    <col min="4107" max="4356" width="9.140625" style="471"/>
    <col min="4357" max="4357" width="19.85546875" style="471" customWidth="1"/>
    <col min="4358" max="4358" width="14.85546875" style="471" customWidth="1"/>
    <col min="4359" max="4359" width="15.7109375" style="471" customWidth="1"/>
    <col min="4360" max="4361" width="9.140625" style="471"/>
    <col min="4362" max="4362" width="9.28515625" style="471" bestFit="1" customWidth="1"/>
    <col min="4363" max="4612" width="9.140625" style="471"/>
    <col min="4613" max="4613" width="19.85546875" style="471" customWidth="1"/>
    <col min="4614" max="4614" width="14.85546875" style="471" customWidth="1"/>
    <col min="4615" max="4615" width="15.7109375" style="471" customWidth="1"/>
    <col min="4616" max="4617" width="9.140625" style="471"/>
    <col min="4618" max="4618" width="9.28515625" style="471" bestFit="1" customWidth="1"/>
    <col min="4619" max="4868" width="9.140625" style="471"/>
    <col min="4869" max="4869" width="19.85546875" style="471" customWidth="1"/>
    <col min="4870" max="4870" width="14.85546875" style="471" customWidth="1"/>
    <col min="4871" max="4871" width="15.7109375" style="471" customWidth="1"/>
    <col min="4872" max="4873" width="9.140625" style="471"/>
    <col min="4874" max="4874" width="9.28515625" style="471" bestFit="1" customWidth="1"/>
    <col min="4875" max="5124" width="9.140625" style="471"/>
    <col min="5125" max="5125" width="19.85546875" style="471" customWidth="1"/>
    <col min="5126" max="5126" width="14.85546875" style="471" customWidth="1"/>
    <col min="5127" max="5127" width="15.7109375" style="471" customWidth="1"/>
    <col min="5128" max="5129" width="9.140625" style="471"/>
    <col min="5130" max="5130" width="9.28515625" style="471" bestFit="1" customWidth="1"/>
    <col min="5131" max="5380" width="9.140625" style="471"/>
    <col min="5381" max="5381" width="19.85546875" style="471" customWidth="1"/>
    <col min="5382" max="5382" width="14.85546875" style="471" customWidth="1"/>
    <col min="5383" max="5383" width="15.7109375" style="471" customWidth="1"/>
    <col min="5384" max="5385" width="9.140625" style="471"/>
    <col min="5386" max="5386" width="9.28515625" style="471" bestFit="1" customWidth="1"/>
    <col min="5387" max="5636" width="9.140625" style="471"/>
    <col min="5637" max="5637" width="19.85546875" style="471" customWidth="1"/>
    <col min="5638" max="5638" width="14.85546875" style="471" customWidth="1"/>
    <col min="5639" max="5639" width="15.7109375" style="471" customWidth="1"/>
    <col min="5640" max="5641" width="9.140625" style="471"/>
    <col min="5642" max="5642" width="9.28515625" style="471" bestFit="1" customWidth="1"/>
    <col min="5643" max="5892" width="9.140625" style="471"/>
    <col min="5893" max="5893" width="19.85546875" style="471" customWidth="1"/>
    <col min="5894" max="5894" width="14.85546875" style="471" customWidth="1"/>
    <col min="5895" max="5895" width="15.7109375" style="471" customWidth="1"/>
    <col min="5896" max="5897" width="9.140625" style="471"/>
    <col min="5898" max="5898" width="9.28515625" style="471" bestFit="1" customWidth="1"/>
    <col min="5899" max="6148" width="9.140625" style="471"/>
    <col min="6149" max="6149" width="19.85546875" style="471" customWidth="1"/>
    <col min="6150" max="6150" width="14.85546875" style="471" customWidth="1"/>
    <col min="6151" max="6151" width="15.7109375" style="471" customWidth="1"/>
    <col min="6152" max="6153" width="9.140625" style="471"/>
    <col min="6154" max="6154" width="9.28515625" style="471" bestFit="1" customWidth="1"/>
    <col min="6155" max="6404" width="9.140625" style="471"/>
    <col min="6405" max="6405" width="19.85546875" style="471" customWidth="1"/>
    <col min="6406" max="6406" width="14.85546875" style="471" customWidth="1"/>
    <col min="6407" max="6407" width="15.7109375" style="471" customWidth="1"/>
    <col min="6408" max="6409" width="9.140625" style="471"/>
    <col min="6410" max="6410" width="9.28515625" style="471" bestFit="1" customWidth="1"/>
    <col min="6411" max="6660" width="9.140625" style="471"/>
    <col min="6661" max="6661" width="19.85546875" style="471" customWidth="1"/>
    <col min="6662" max="6662" width="14.85546875" style="471" customWidth="1"/>
    <col min="6663" max="6663" width="15.7109375" style="471" customWidth="1"/>
    <col min="6664" max="6665" width="9.140625" style="471"/>
    <col min="6666" max="6666" width="9.28515625" style="471" bestFit="1" customWidth="1"/>
    <col min="6667" max="6916" width="9.140625" style="471"/>
    <col min="6917" max="6917" width="19.85546875" style="471" customWidth="1"/>
    <col min="6918" max="6918" width="14.85546875" style="471" customWidth="1"/>
    <col min="6919" max="6919" width="15.7109375" style="471" customWidth="1"/>
    <col min="6920" max="6921" width="9.140625" style="471"/>
    <col min="6922" max="6922" width="9.28515625" style="471" bestFit="1" customWidth="1"/>
    <col min="6923" max="7172" width="9.140625" style="471"/>
    <col min="7173" max="7173" width="19.85546875" style="471" customWidth="1"/>
    <col min="7174" max="7174" width="14.85546875" style="471" customWidth="1"/>
    <col min="7175" max="7175" width="15.7109375" style="471" customWidth="1"/>
    <col min="7176" max="7177" width="9.140625" style="471"/>
    <col min="7178" max="7178" width="9.28515625" style="471" bestFit="1" customWidth="1"/>
    <col min="7179" max="7428" width="9.140625" style="471"/>
    <col min="7429" max="7429" width="19.85546875" style="471" customWidth="1"/>
    <col min="7430" max="7430" width="14.85546875" style="471" customWidth="1"/>
    <col min="7431" max="7431" width="15.7109375" style="471" customWidth="1"/>
    <col min="7432" max="7433" width="9.140625" style="471"/>
    <col min="7434" max="7434" width="9.28515625" style="471" bestFit="1" customWidth="1"/>
    <col min="7435" max="7684" width="9.140625" style="471"/>
    <col min="7685" max="7685" width="19.85546875" style="471" customWidth="1"/>
    <col min="7686" max="7686" width="14.85546875" style="471" customWidth="1"/>
    <col min="7687" max="7687" width="15.7109375" style="471" customWidth="1"/>
    <col min="7688" max="7689" width="9.140625" style="471"/>
    <col min="7690" max="7690" width="9.28515625" style="471" bestFit="1" customWidth="1"/>
    <col min="7691" max="7940" width="9.140625" style="471"/>
    <col min="7941" max="7941" width="19.85546875" style="471" customWidth="1"/>
    <col min="7942" max="7942" width="14.85546875" style="471" customWidth="1"/>
    <col min="7943" max="7943" width="15.7109375" style="471" customWidth="1"/>
    <col min="7944" max="7945" width="9.140625" style="471"/>
    <col min="7946" max="7946" width="9.28515625" style="471" bestFit="1" customWidth="1"/>
    <col min="7947" max="8196" width="9.140625" style="471"/>
    <col min="8197" max="8197" width="19.85546875" style="471" customWidth="1"/>
    <col min="8198" max="8198" width="14.85546875" style="471" customWidth="1"/>
    <col min="8199" max="8199" width="15.7109375" style="471" customWidth="1"/>
    <col min="8200" max="8201" width="9.140625" style="471"/>
    <col min="8202" max="8202" width="9.28515625" style="471" bestFit="1" customWidth="1"/>
    <col min="8203" max="8452" width="9.140625" style="471"/>
    <col min="8453" max="8453" width="19.85546875" style="471" customWidth="1"/>
    <col min="8454" max="8454" width="14.85546875" style="471" customWidth="1"/>
    <col min="8455" max="8455" width="15.7109375" style="471" customWidth="1"/>
    <col min="8456" max="8457" width="9.140625" style="471"/>
    <col min="8458" max="8458" width="9.28515625" style="471" bestFit="1" customWidth="1"/>
    <col min="8459" max="8708" width="9.140625" style="471"/>
    <col min="8709" max="8709" width="19.85546875" style="471" customWidth="1"/>
    <col min="8710" max="8710" width="14.85546875" style="471" customWidth="1"/>
    <col min="8711" max="8711" width="15.7109375" style="471" customWidth="1"/>
    <col min="8712" max="8713" width="9.140625" style="471"/>
    <col min="8714" max="8714" width="9.28515625" style="471" bestFit="1" customWidth="1"/>
    <col min="8715" max="8964" width="9.140625" style="471"/>
    <col min="8965" max="8965" width="19.85546875" style="471" customWidth="1"/>
    <col min="8966" max="8966" width="14.85546875" style="471" customWidth="1"/>
    <col min="8967" max="8967" width="15.7109375" style="471" customWidth="1"/>
    <col min="8968" max="8969" width="9.140625" style="471"/>
    <col min="8970" max="8970" width="9.28515625" style="471" bestFit="1" customWidth="1"/>
    <col min="8971" max="9220" width="9.140625" style="471"/>
    <col min="9221" max="9221" width="19.85546875" style="471" customWidth="1"/>
    <col min="9222" max="9222" width="14.85546875" style="471" customWidth="1"/>
    <col min="9223" max="9223" width="15.7109375" style="471" customWidth="1"/>
    <col min="9224" max="9225" width="9.140625" style="471"/>
    <col min="9226" max="9226" width="9.28515625" style="471" bestFit="1" customWidth="1"/>
    <col min="9227" max="9476" width="9.140625" style="471"/>
    <col min="9477" max="9477" width="19.85546875" style="471" customWidth="1"/>
    <col min="9478" max="9478" width="14.85546875" style="471" customWidth="1"/>
    <col min="9479" max="9479" width="15.7109375" style="471" customWidth="1"/>
    <col min="9480" max="9481" width="9.140625" style="471"/>
    <col min="9482" max="9482" width="9.28515625" style="471" bestFit="1" customWidth="1"/>
    <col min="9483" max="9732" width="9.140625" style="471"/>
    <col min="9733" max="9733" width="19.85546875" style="471" customWidth="1"/>
    <col min="9734" max="9734" width="14.85546875" style="471" customWidth="1"/>
    <col min="9735" max="9735" width="15.7109375" style="471" customWidth="1"/>
    <col min="9736" max="9737" width="9.140625" style="471"/>
    <col min="9738" max="9738" width="9.28515625" style="471" bestFit="1" customWidth="1"/>
    <col min="9739" max="9988" width="9.140625" style="471"/>
    <col min="9989" max="9989" width="19.85546875" style="471" customWidth="1"/>
    <col min="9990" max="9990" width="14.85546875" style="471" customWidth="1"/>
    <col min="9991" max="9991" width="15.7109375" style="471" customWidth="1"/>
    <col min="9992" max="9993" width="9.140625" style="471"/>
    <col min="9994" max="9994" width="9.28515625" style="471" bestFit="1" customWidth="1"/>
    <col min="9995" max="10244" width="9.140625" style="471"/>
    <col min="10245" max="10245" width="19.85546875" style="471" customWidth="1"/>
    <col min="10246" max="10246" width="14.85546875" style="471" customWidth="1"/>
    <col min="10247" max="10247" width="15.7109375" style="471" customWidth="1"/>
    <col min="10248" max="10249" width="9.140625" style="471"/>
    <col min="10250" max="10250" width="9.28515625" style="471" bestFit="1" customWidth="1"/>
    <col min="10251" max="10500" width="9.140625" style="471"/>
    <col min="10501" max="10501" width="19.85546875" style="471" customWidth="1"/>
    <col min="10502" max="10502" width="14.85546875" style="471" customWidth="1"/>
    <col min="10503" max="10503" width="15.7109375" style="471" customWidth="1"/>
    <col min="10504" max="10505" width="9.140625" style="471"/>
    <col min="10506" max="10506" width="9.28515625" style="471" bestFit="1" customWidth="1"/>
    <col min="10507" max="10756" width="9.140625" style="471"/>
    <col min="10757" max="10757" width="19.85546875" style="471" customWidth="1"/>
    <col min="10758" max="10758" width="14.85546875" style="471" customWidth="1"/>
    <col min="10759" max="10759" width="15.7109375" style="471" customWidth="1"/>
    <col min="10760" max="10761" width="9.140625" style="471"/>
    <col min="10762" max="10762" width="9.28515625" style="471" bestFit="1" customWidth="1"/>
    <col min="10763" max="11012" width="9.140625" style="471"/>
    <col min="11013" max="11013" width="19.85546875" style="471" customWidth="1"/>
    <col min="11014" max="11014" width="14.85546875" style="471" customWidth="1"/>
    <col min="11015" max="11015" width="15.7109375" style="471" customWidth="1"/>
    <col min="11016" max="11017" width="9.140625" style="471"/>
    <col min="11018" max="11018" width="9.28515625" style="471" bestFit="1" customWidth="1"/>
    <col min="11019" max="11268" width="9.140625" style="471"/>
    <col min="11269" max="11269" width="19.85546875" style="471" customWidth="1"/>
    <col min="11270" max="11270" width="14.85546875" style="471" customWidth="1"/>
    <col min="11271" max="11271" width="15.7109375" style="471" customWidth="1"/>
    <col min="11272" max="11273" width="9.140625" style="471"/>
    <col min="11274" max="11274" width="9.28515625" style="471" bestFit="1" customWidth="1"/>
    <col min="11275" max="11524" width="9.140625" style="471"/>
    <col min="11525" max="11525" width="19.85546875" style="471" customWidth="1"/>
    <col min="11526" max="11526" width="14.85546875" style="471" customWidth="1"/>
    <col min="11527" max="11527" width="15.7109375" style="471" customWidth="1"/>
    <col min="11528" max="11529" width="9.140625" style="471"/>
    <col min="11530" max="11530" width="9.28515625" style="471" bestFit="1" customWidth="1"/>
    <col min="11531" max="11780" width="9.140625" style="471"/>
    <col min="11781" max="11781" width="19.85546875" style="471" customWidth="1"/>
    <col min="11782" max="11782" width="14.85546875" style="471" customWidth="1"/>
    <col min="11783" max="11783" width="15.7109375" style="471" customWidth="1"/>
    <col min="11784" max="11785" width="9.140625" style="471"/>
    <col min="11786" max="11786" width="9.28515625" style="471" bestFit="1" customWidth="1"/>
    <col min="11787" max="12036" width="9.140625" style="471"/>
    <col min="12037" max="12037" width="19.85546875" style="471" customWidth="1"/>
    <col min="12038" max="12038" width="14.85546875" style="471" customWidth="1"/>
    <col min="12039" max="12039" width="15.7109375" style="471" customWidth="1"/>
    <col min="12040" max="12041" width="9.140625" style="471"/>
    <col min="12042" max="12042" width="9.28515625" style="471" bestFit="1" customWidth="1"/>
    <col min="12043" max="12292" width="9.140625" style="471"/>
    <col min="12293" max="12293" width="19.85546875" style="471" customWidth="1"/>
    <col min="12294" max="12294" width="14.85546875" style="471" customWidth="1"/>
    <col min="12295" max="12295" width="15.7109375" style="471" customWidth="1"/>
    <col min="12296" max="12297" width="9.140625" style="471"/>
    <col min="12298" max="12298" width="9.28515625" style="471" bestFit="1" customWidth="1"/>
    <col min="12299" max="12548" width="9.140625" style="471"/>
    <col min="12549" max="12549" width="19.85546875" style="471" customWidth="1"/>
    <col min="12550" max="12550" width="14.85546875" style="471" customWidth="1"/>
    <col min="12551" max="12551" width="15.7109375" style="471" customWidth="1"/>
    <col min="12552" max="12553" width="9.140625" style="471"/>
    <col min="12554" max="12554" width="9.28515625" style="471" bestFit="1" customWidth="1"/>
    <col min="12555" max="12804" width="9.140625" style="471"/>
    <col min="12805" max="12805" width="19.85546875" style="471" customWidth="1"/>
    <col min="12806" max="12806" width="14.85546875" style="471" customWidth="1"/>
    <col min="12807" max="12807" width="15.7109375" style="471" customWidth="1"/>
    <col min="12808" max="12809" width="9.140625" style="471"/>
    <col min="12810" max="12810" width="9.28515625" style="471" bestFit="1" customWidth="1"/>
    <col min="12811" max="13060" width="9.140625" style="471"/>
    <col min="13061" max="13061" width="19.85546875" style="471" customWidth="1"/>
    <col min="13062" max="13062" width="14.85546875" style="471" customWidth="1"/>
    <col min="13063" max="13063" width="15.7109375" style="471" customWidth="1"/>
    <col min="13064" max="13065" width="9.140625" style="471"/>
    <col min="13066" max="13066" width="9.28515625" style="471" bestFit="1" customWidth="1"/>
    <col min="13067" max="13316" width="9.140625" style="471"/>
    <col min="13317" max="13317" width="19.85546875" style="471" customWidth="1"/>
    <col min="13318" max="13318" width="14.85546875" style="471" customWidth="1"/>
    <col min="13319" max="13319" width="15.7109375" style="471" customWidth="1"/>
    <col min="13320" max="13321" width="9.140625" style="471"/>
    <col min="13322" max="13322" width="9.28515625" style="471" bestFit="1" customWidth="1"/>
    <col min="13323" max="13572" width="9.140625" style="471"/>
    <col min="13573" max="13573" width="19.85546875" style="471" customWidth="1"/>
    <col min="13574" max="13574" width="14.85546875" style="471" customWidth="1"/>
    <col min="13575" max="13575" width="15.7109375" style="471" customWidth="1"/>
    <col min="13576" max="13577" width="9.140625" style="471"/>
    <col min="13578" max="13578" width="9.28515625" style="471" bestFit="1" customWidth="1"/>
    <col min="13579" max="13828" width="9.140625" style="471"/>
    <col min="13829" max="13829" width="19.85546875" style="471" customWidth="1"/>
    <col min="13830" max="13830" width="14.85546875" style="471" customWidth="1"/>
    <col min="13831" max="13831" width="15.7109375" style="471" customWidth="1"/>
    <col min="13832" max="13833" width="9.140625" style="471"/>
    <col min="13834" max="13834" width="9.28515625" style="471" bestFit="1" customWidth="1"/>
    <col min="13835" max="14084" width="9.140625" style="471"/>
    <col min="14085" max="14085" width="19.85546875" style="471" customWidth="1"/>
    <col min="14086" max="14086" width="14.85546875" style="471" customWidth="1"/>
    <col min="14087" max="14087" width="15.7109375" style="471" customWidth="1"/>
    <col min="14088" max="14089" width="9.140625" style="471"/>
    <col min="14090" max="14090" width="9.28515625" style="471" bestFit="1" customWidth="1"/>
    <col min="14091" max="14340" width="9.140625" style="471"/>
    <col min="14341" max="14341" width="19.85546875" style="471" customWidth="1"/>
    <col min="14342" max="14342" width="14.85546875" style="471" customWidth="1"/>
    <col min="14343" max="14343" width="15.7109375" style="471" customWidth="1"/>
    <col min="14344" max="14345" width="9.140625" style="471"/>
    <col min="14346" max="14346" width="9.28515625" style="471" bestFit="1" customWidth="1"/>
    <col min="14347" max="14596" width="9.140625" style="471"/>
    <col min="14597" max="14597" width="19.85546875" style="471" customWidth="1"/>
    <col min="14598" max="14598" width="14.85546875" style="471" customWidth="1"/>
    <col min="14599" max="14599" width="15.7109375" style="471" customWidth="1"/>
    <col min="14600" max="14601" width="9.140625" style="471"/>
    <col min="14602" max="14602" width="9.28515625" style="471" bestFit="1" customWidth="1"/>
    <col min="14603" max="14852" width="9.140625" style="471"/>
    <col min="14853" max="14853" width="19.85546875" style="471" customWidth="1"/>
    <col min="14854" max="14854" width="14.85546875" style="471" customWidth="1"/>
    <col min="14855" max="14855" width="15.7109375" style="471" customWidth="1"/>
    <col min="14856" max="14857" width="9.140625" style="471"/>
    <col min="14858" max="14858" width="9.28515625" style="471" bestFit="1" customWidth="1"/>
    <col min="14859" max="15108" width="9.140625" style="471"/>
    <col min="15109" max="15109" width="19.85546875" style="471" customWidth="1"/>
    <col min="15110" max="15110" width="14.85546875" style="471" customWidth="1"/>
    <col min="15111" max="15111" width="15.7109375" style="471" customWidth="1"/>
    <col min="15112" max="15113" width="9.140625" style="471"/>
    <col min="15114" max="15114" width="9.28515625" style="471" bestFit="1" customWidth="1"/>
    <col min="15115" max="15364" width="9.140625" style="471"/>
    <col min="15365" max="15365" width="19.85546875" style="471" customWidth="1"/>
    <col min="15366" max="15366" width="14.85546875" style="471" customWidth="1"/>
    <col min="15367" max="15367" width="15.7109375" style="471" customWidth="1"/>
    <col min="15368" max="15369" width="9.140625" style="471"/>
    <col min="15370" max="15370" width="9.28515625" style="471" bestFit="1" customWidth="1"/>
    <col min="15371" max="15620" width="9.140625" style="471"/>
    <col min="15621" max="15621" width="19.85546875" style="471" customWidth="1"/>
    <col min="15622" max="15622" width="14.85546875" style="471" customWidth="1"/>
    <col min="15623" max="15623" width="15.7109375" style="471" customWidth="1"/>
    <col min="15624" max="15625" width="9.140625" style="471"/>
    <col min="15626" max="15626" width="9.28515625" style="471" bestFit="1" customWidth="1"/>
    <col min="15627" max="15876" width="9.140625" style="471"/>
    <col min="15877" max="15877" width="19.85546875" style="471" customWidth="1"/>
    <col min="15878" max="15878" width="14.85546875" style="471" customWidth="1"/>
    <col min="15879" max="15879" width="15.7109375" style="471" customWidth="1"/>
    <col min="15880" max="15881" width="9.140625" style="471"/>
    <col min="15882" max="15882" width="9.28515625" style="471" bestFit="1" customWidth="1"/>
    <col min="15883" max="16132" width="9.140625" style="471"/>
    <col min="16133" max="16133" width="19.85546875" style="471" customWidth="1"/>
    <col min="16134" max="16134" width="14.85546875" style="471" customWidth="1"/>
    <col min="16135" max="16135" width="15.7109375" style="471" customWidth="1"/>
    <col min="16136" max="16137" width="9.140625" style="471"/>
    <col min="16138" max="16138" width="9.28515625" style="471" bestFit="1" customWidth="1"/>
    <col min="16139" max="16384" width="9.140625" style="471"/>
  </cols>
  <sheetData>
    <row r="1" spans="1:8" ht="20.25">
      <c r="A1" s="470" t="s">
        <v>1884</v>
      </c>
    </row>
    <row r="2" spans="1:8" ht="20.25">
      <c r="A2" s="470" t="s">
        <v>1885</v>
      </c>
    </row>
    <row r="4" spans="1:8">
      <c r="A4" s="472"/>
      <c r="B4" s="473"/>
      <c r="C4" s="473"/>
      <c r="D4" s="473"/>
      <c r="E4" s="473"/>
      <c r="F4" s="473"/>
      <c r="G4" s="473"/>
      <c r="H4" s="473"/>
    </row>
    <row r="5" spans="1:8" ht="15.75">
      <c r="A5" s="474" t="s">
        <v>1886</v>
      </c>
      <c r="B5" s="475" t="s">
        <v>1887</v>
      </c>
    </row>
    <row r="6" spans="1:8" ht="15.75">
      <c r="A6" s="474"/>
      <c r="B6" s="475" t="s">
        <v>1888</v>
      </c>
    </row>
    <row r="7" spans="1:8">
      <c r="A7" s="474" t="s">
        <v>1889</v>
      </c>
      <c r="B7" s="471" t="s">
        <v>1890</v>
      </c>
    </row>
    <row r="8" spans="1:8">
      <c r="A8" s="474" t="s">
        <v>1891</v>
      </c>
      <c r="B8" s="471" t="s">
        <v>1892</v>
      </c>
    </row>
    <row r="9" spans="1:8">
      <c r="A9" s="476" t="s">
        <v>6</v>
      </c>
      <c r="B9" s="471" t="s">
        <v>1893</v>
      </c>
    </row>
    <row r="10" spans="1:8">
      <c r="A10" s="476" t="s">
        <v>14</v>
      </c>
      <c r="B10" s="471" t="s">
        <v>1894</v>
      </c>
    </row>
    <row r="11" spans="1:8">
      <c r="A11" s="477"/>
      <c r="B11" s="478"/>
      <c r="C11" s="478"/>
      <c r="D11" s="478"/>
      <c r="E11" s="478"/>
      <c r="F11" s="478"/>
      <c r="G11" s="478"/>
      <c r="H11" s="478"/>
    </row>
    <row r="13" spans="1:8">
      <c r="A13" s="479" t="s">
        <v>1895</v>
      </c>
    </row>
    <row r="14" spans="1:8">
      <c r="A14" s="479" t="s">
        <v>1896</v>
      </c>
    </row>
    <row r="15" spans="1:8">
      <c r="A15" s="479" t="s">
        <v>1897</v>
      </c>
    </row>
    <row r="16" spans="1:8" ht="13.5" thickBot="1">
      <c r="A16" s="479"/>
    </row>
    <row r="17" spans="1:10" ht="21" thickBot="1">
      <c r="A17" s="480" t="s">
        <v>1798</v>
      </c>
      <c r="B17" s="481" t="s">
        <v>1898</v>
      </c>
      <c r="C17" s="482"/>
      <c r="D17" s="482"/>
      <c r="E17" s="482"/>
      <c r="F17" s="482"/>
      <c r="G17" s="482"/>
    </row>
    <row r="18" spans="1:10" ht="13.5" thickBot="1">
      <c r="A18" s="483" t="s">
        <v>1899</v>
      </c>
      <c r="B18" s="484"/>
      <c r="C18" s="484"/>
      <c r="D18" s="484"/>
      <c r="E18" s="484"/>
      <c r="F18" s="485" t="s">
        <v>1900</v>
      </c>
      <c r="G18" s="485" t="s">
        <v>1901</v>
      </c>
      <c r="I18" s="486" t="s">
        <v>1902</v>
      </c>
      <c r="J18" s="487"/>
    </row>
    <row r="19" spans="1:10" ht="13.5" thickTop="1">
      <c r="A19" s="471" t="s">
        <v>1903</v>
      </c>
      <c r="F19" s="488"/>
      <c r="G19" s="488"/>
      <c r="I19" s="489"/>
      <c r="J19" s="487"/>
    </row>
    <row r="20" spans="1:10">
      <c r="A20" s="471" t="s">
        <v>1904</v>
      </c>
      <c r="F20" s="488"/>
      <c r="G20" s="488"/>
      <c r="I20" s="489"/>
      <c r="J20" s="487"/>
    </row>
    <row r="21" spans="1:10">
      <c r="A21" s="471" t="s">
        <v>1905</v>
      </c>
      <c r="F21" s="488"/>
      <c r="G21" s="488"/>
      <c r="I21" s="489"/>
      <c r="J21" s="487"/>
    </row>
    <row r="22" spans="1:10">
      <c r="A22" s="471" t="s">
        <v>1906</v>
      </c>
      <c r="F22" s="488"/>
      <c r="G22" s="488"/>
      <c r="I22" s="489"/>
      <c r="J22" s="487"/>
    </row>
    <row r="23" spans="1:10">
      <c r="A23" s="471" t="s">
        <v>1907</v>
      </c>
      <c r="F23" s="488"/>
      <c r="G23" s="488"/>
      <c r="I23" s="489"/>
      <c r="J23" s="487"/>
    </row>
    <row r="24" spans="1:10">
      <c r="A24" s="471" t="s">
        <v>1908</v>
      </c>
      <c r="F24" s="488"/>
      <c r="G24" s="488"/>
      <c r="I24" s="489"/>
      <c r="J24" s="487"/>
    </row>
    <row r="25" spans="1:10">
      <c r="A25" s="471" t="s">
        <v>1909</v>
      </c>
      <c r="F25" s="488"/>
      <c r="G25" s="488"/>
      <c r="I25" s="489"/>
      <c r="J25" s="487"/>
    </row>
    <row r="26" spans="1:10">
      <c r="A26" s="471" t="s">
        <v>1910</v>
      </c>
      <c r="F26" s="488"/>
      <c r="G26" s="488"/>
      <c r="I26" s="489"/>
      <c r="J26" s="487"/>
    </row>
    <row r="27" spans="1:10">
      <c r="A27" s="471" t="s">
        <v>1911</v>
      </c>
      <c r="F27" s="488"/>
      <c r="G27" s="488"/>
      <c r="I27" s="489"/>
    </row>
    <row r="28" spans="1:10">
      <c r="A28" s="471" t="s">
        <v>1912</v>
      </c>
      <c r="F28" s="488"/>
      <c r="G28" s="488"/>
      <c r="I28" s="489"/>
    </row>
    <row r="29" spans="1:10">
      <c r="A29" s="471" t="s">
        <v>1913</v>
      </c>
      <c r="F29" s="488"/>
      <c r="G29" s="488"/>
      <c r="I29" s="489"/>
    </row>
    <row r="30" spans="1:10">
      <c r="A30" s="471" t="s">
        <v>1914</v>
      </c>
      <c r="F30" s="488"/>
      <c r="G30" s="488"/>
      <c r="I30" s="489"/>
    </row>
    <row r="31" spans="1:10">
      <c r="A31" s="471" t="s">
        <v>1915</v>
      </c>
      <c r="F31" s="488"/>
      <c r="G31" s="488"/>
      <c r="I31" s="489"/>
    </row>
    <row r="32" spans="1:10">
      <c r="A32" s="471" t="s">
        <v>1916</v>
      </c>
      <c r="F32" s="488"/>
      <c r="G32" s="488"/>
      <c r="I32" s="489"/>
    </row>
    <row r="33" spans="1:10">
      <c r="A33" s="471" t="s">
        <v>1917</v>
      </c>
      <c r="F33" s="488"/>
      <c r="G33" s="488"/>
      <c r="I33" s="489"/>
    </row>
    <row r="46" spans="1:10" ht="13.5" thickBot="1"/>
    <row r="47" spans="1:10" ht="13.5" thickBot="1">
      <c r="A47" s="490" t="s">
        <v>1918</v>
      </c>
      <c r="C47" s="471" t="s">
        <v>1919</v>
      </c>
      <c r="G47" s="471" t="s">
        <v>1920</v>
      </c>
      <c r="I47" s="491">
        <f>SUM(I19:I46)</f>
        <v>0</v>
      </c>
      <c r="J47" s="471" t="s">
        <v>1921</v>
      </c>
    </row>
    <row r="48" spans="1:10">
      <c r="A48" s="482"/>
      <c r="B48" s="482"/>
      <c r="C48" s="482"/>
      <c r="D48" s="482"/>
      <c r="E48" s="482"/>
      <c r="F48" s="482"/>
      <c r="G48" s="482"/>
    </row>
    <row r="49" spans="1:10" ht="13.5" thickBot="1"/>
    <row r="50" spans="1:10" ht="21" thickBot="1">
      <c r="A50" s="480" t="s">
        <v>1800</v>
      </c>
      <c r="B50" s="492" t="s">
        <v>1922</v>
      </c>
      <c r="C50" s="482"/>
      <c r="D50" s="482"/>
      <c r="E50" s="482"/>
      <c r="F50" s="482"/>
      <c r="G50" s="482"/>
    </row>
    <row r="51" spans="1:10" ht="13.5" thickBot="1">
      <c r="A51" s="483" t="s">
        <v>1899</v>
      </c>
      <c r="B51" s="484"/>
      <c r="C51" s="484"/>
      <c r="D51" s="484"/>
      <c r="E51" s="484"/>
      <c r="F51" s="485" t="s">
        <v>1900</v>
      </c>
      <c r="G51" s="485" t="s">
        <v>1901</v>
      </c>
      <c r="I51" s="486" t="s">
        <v>1902</v>
      </c>
    </row>
    <row r="52" spans="1:10" ht="13.5" thickTop="1">
      <c r="A52" s="471" t="s">
        <v>1923</v>
      </c>
      <c r="F52" s="488"/>
      <c r="G52" s="488"/>
      <c r="I52" s="489"/>
    </row>
    <row r="53" spans="1:10">
      <c r="A53" s="471" t="s">
        <v>1924</v>
      </c>
      <c r="F53" s="488"/>
      <c r="G53" s="488"/>
      <c r="I53" s="489"/>
    </row>
    <row r="54" spans="1:10">
      <c r="A54" s="471" t="s">
        <v>1906</v>
      </c>
      <c r="F54" s="488"/>
      <c r="G54" s="488"/>
      <c r="I54" s="489"/>
    </row>
    <row r="55" spans="1:10">
      <c r="A55" s="471" t="s">
        <v>1925</v>
      </c>
      <c r="F55" s="488"/>
      <c r="G55" s="488"/>
      <c r="I55" s="489"/>
    </row>
    <row r="56" spans="1:10">
      <c r="A56" s="471" t="s">
        <v>1926</v>
      </c>
      <c r="F56" s="488"/>
      <c r="G56" s="488"/>
      <c r="I56" s="489"/>
    </row>
    <row r="57" spans="1:10">
      <c r="A57" s="471" t="s">
        <v>1909</v>
      </c>
      <c r="F57" s="488"/>
      <c r="G57" s="488"/>
      <c r="I57" s="489"/>
      <c r="J57" s="487"/>
    </row>
    <row r="58" spans="1:10">
      <c r="A58" s="471" t="s">
        <v>1927</v>
      </c>
      <c r="F58" s="488"/>
      <c r="G58" s="488"/>
      <c r="I58" s="489"/>
      <c r="J58" s="487"/>
    </row>
    <row r="59" spans="1:10">
      <c r="A59" s="471" t="s">
        <v>1928</v>
      </c>
      <c r="F59" s="488"/>
      <c r="G59" s="488"/>
      <c r="I59" s="489"/>
      <c r="J59" s="487"/>
    </row>
    <row r="60" spans="1:10">
      <c r="A60" s="471" t="s">
        <v>1929</v>
      </c>
      <c r="F60" s="488"/>
      <c r="G60" s="488"/>
      <c r="I60" s="489"/>
    </row>
    <row r="61" spans="1:10">
      <c r="A61" s="471" t="s">
        <v>1913</v>
      </c>
      <c r="F61" s="488"/>
      <c r="G61" s="488"/>
      <c r="I61" s="489"/>
    </row>
    <row r="62" spans="1:10">
      <c r="A62" s="471" t="s">
        <v>1930</v>
      </c>
      <c r="F62" s="488"/>
      <c r="G62" s="488"/>
      <c r="I62" s="489"/>
    </row>
    <row r="63" spans="1:10">
      <c r="A63" s="471" t="s">
        <v>1931</v>
      </c>
      <c r="F63" s="488"/>
      <c r="G63" s="488"/>
      <c r="I63" s="489"/>
    </row>
    <row r="64" spans="1:10">
      <c r="A64" s="471" t="s">
        <v>1932</v>
      </c>
      <c r="F64" s="488"/>
      <c r="G64" s="488"/>
      <c r="I64" s="489"/>
    </row>
    <row r="65" spans="1:9">
      <c r="A65" s="471" t="s">
        <v>1933</v>
      </c>
      <c r="F65" s="488"/>
      <c r="G65" s="488"/>
      <c r="I65" s="489"/>
    </row>
    <row r="66" spans="1:9">
      <c r="A66" s="471" t="s">
        <v>1934</v>
      </c>
      <c r="F66" s="488"/>
      <c r="G66" s="488"/>
      <c r="I66" s="489"/>
    </row>
    <row r="67" spans="1:9">
      <c r="A67" s="471" t="s">
        <v>1935</v>
      </c>
      <c r="F67" s="488"/>
      <c r="G67" s="488"/>
      <c r="I67" s="489"/>
    </row>
    <row r="68" spans="1:9">
      <c r="A68" s="471" t="s">
        <v>1936</v>
      </c>
      <c r="F68" s="488"/>
      <c r="G68" s="488"/>
      <c r="I68" s="489"/>
    </row>
    <row r="69" spans="1:9">
      <c r="A69" s="471" t="s">
        <v>1937</v>
      </c>
      <c r="F69" s="488"/>
      <c r="G69" s="488"/>
      <c r="I69" s="489"/>
    </row>
    <row r="70" spans="1:9">
      <c r="A70" s="471" t="s">
        <v>1936</v>
      </c>
      <c r="F70" s="488"/>
      <c r="G70" s="488"/>
      <c r="I70" s="489"/>
    </row>
    <row r="87" spans="1:12" ht="13.5" thickBot="1"/>
    <row r="88" spans="1:12" ht="13.5" thickBot="1">
      <c r="A88" s="490" t="s">
        <v>1918</v>
      </c>
      <c r="C88" s="471" t="s">
        <v>1919</v>
      </c>
      <c r="G88" s="471" t="s">
        <v>1938</v>
      </c>
      <c r="I88" s="491">
        <f>SUM(I52:I83)</f>
        <v>0</v>
      </c>
      <c r="J88" s="471" t="s">
        <v>1921</v>
      </c>
    </row>
    <row r="89" spans="1:12" s="493" customFormat="1">
      <c r="A89" s="482"/>
      <c r="B89" s="482"/>
      <c r="C89" s="482"/>
      <c r="D89" s="482"/>
      <c r="E89" s="482"/>
      <c r="F89" s="482"/>
      <c r="G89" s="482"/>
      <c r="H89" s="471"/>
      <c r="I89" s="471"/>
      <c r="J89" s="471"/>
      <c r="K89" s="471"/>
      <c r="L89" s="471"/>
    </row>
    <row r="90" spans="1:12" ht="13.5" thickBot="1"/>
    <row r="91" spans="1:12" ht="21" thickBot="1">
      <c r="A91" s="480" t="s">
        <v>1802</v>
      </c>
      <c r="B91" s="481" t="s">
        <v>1939</v>
      </c>
      <c r="C91" s="482"/>
      <c r="D91" s="482"/>
      <c r="E91" s="482"/>
      <c r="F91" s="482"/>
      <c r="G91" s="482"/>
      <c r="I91" s="486"/>
    </row>
    <row r="92" spans="1:12" ht="13.5" thickBot="1">
      <c r="A92" s="483" t="s">
        <v>1899</v>
      </c>
      <c r="B92" s="484"/>
      <c r="C92" s="484"/>
      <c r="D92" s="484"/>
      <c r="E92" s="484"/>
      <c r="F92" s="485" t="s">
        <v>1900</v>
      </c>
      <c r="G92" s="485" t="s">
        <v>1901</v>
      </c>
      <c r="I92" s="486" t="s">
        <v>1902</v>
      </c>
    </row>
    <row r="93" spans="1:12" ht="13.5" thickTop="1">
      <c r="A93" s="471" t="s">
        <v>1940</v>
      </c>
      <c r="F93" s="488"/>
      <c r="G93" s="488"/>
      <c r="I93" s="494"/>
    </row>
    <row r="94" spans="1:12">
      <c r="A94" s="471" t="s">
        <v>1941</v>
      </c>
      <c r="F94" s="488"/>
      <c r="G94" s="488"/>
      <c r="I94" s="495"/>
    </row>
    <row r="95" spans="1:12">
      <c r="A95" s="487" t="s">
        <v>1942</v>
      </c>
      <c r="B95" s="487"/>
      <c r="C95" s="487"/>
      <c r="D95" s="487"/>
      <c r="E95" s="487"/>
      <c r="F95" s="488"/>
      <c r="G95" s="488"/>
      <c r="I95" s="495"/>
    </row>
    <row r="96" spans="1:12">
      <c r="A96" s="487" t="s">
        <v>1943</v>
      </c>
      <c r="F96" s="488"/>
      <c r="G96" s="488"/>
      <c r="I96" s="495"/>
    </row>
    <row r="97" spans="1:9">
      <c r="A97" s="487" t="s">
        <v>1944</v>
      </c>
      <c r="F97" s="488"/>
      <c r="G97" s="488"/>
      <c r="I97" s="495"/>
    </row>
    <row r="98" spans="1:9">
      <c r="A98" s="487" t="s">
        <v>1945</v>
      </c>
      <c r="B98" s="487"/>
      <c r="C98" s="487"/>
      <c r="D98" s="487"/>
      <c r="E98" s="487"/>
      <c r="F98" s="488"/>
      <c r="G98" s="488"/>
      <c r="I98" s="495"/>
    </row>
    <row r="99" spans="1:9">
      <c r="A99" s="471" t="s">
        <v>1946</v>
      </c>
      <c r="F99" s="488"/>
      <c r="G99" s="488"/>
      <c r="I99" s="495"/>
    </row>
    <row r="100" spans="1:9">
      <c r="A100" s="471" t="s">
        <v>1947</v>
      </c>
      <c r="F100" s="488"/>
      <c r="G100" s="488"/>
      <c r="I100" s="495"/>
    </row>
    <row r="101" spans="1:9">
      <c r="A101" s="471" t="s">
        <v>1948</v>
      </c>
      <c r="F101" s="488"/>
      <c r="G101" s="488"/>
      <c r="I101" s="495"/>
    </row>
    <row r="102" spans="1:9">
      <c r="A102" s="471" t="s">
        <v>1949</v>
      </c>
      <c r="F102" s="488"/>
      <c r="G102" s="488"/>
      <c r="I102" s="495"/>
    </row>
    <row r="103" spans="1:9">
      <c r="I103" s="496"/>
    </row>
    <row r="104" spans="1:9">
      <c r="I104" s="496"/>
    </row>
    <row r="105" spans="1:9">
      <c r="I105" s="496"/>
    </row>
    <row r="106" spans="1:9">
      <c r="I106" s="496"/>
    </row>
    <row r="107" spans="1:9">
      <c r="I107" s="496"/>
    </row>
    <row r="108" spans="1:9">
      <c r="I108" s="496"/>
    </row>
    <row r="109" spans="1:9">
      <c r="I109" s="496"/>
    </row>
    <row r="110" spans="1:9">
      <c r="I110" s="496"/>
    </row>
    <row r="111" spans="1:9">
      <c r="I111" s="496"/>
    </row>
    <row r="112" spans="1:9">
      <c r="I112" s="496"/>
    </row>
    <row r="113" spans="1:10">
      <c r="I113" s="496"/>
    </row>
    <row r="114" spans="1:10">
      <c r="I114" s="496"/>
    </row>
    <row r="115" spans="1:10">
      <c r="I115" s="496"/>
    </row>
    <row r="116" spans="1:10">
      <c r="I116" s="496"/>
    </row>
    <row r="117" spans="1:10">
      <c r="I117" s="496"/>
    </row>
    <row r="118" spans="1:10">
      <c r="I118" s="496"/>
    </row>
    <row r="119" spans="1:10">
      <c r="I119" s="496"/>
    </row>
    <row r="120" spans="1:10">
      <c r="I120" s="496"/>
    </row>
    <row r="121" spans="1:10" ht="13.5" thickBot="1">
      <c r="I121" s="496"/>
    </row>
    <row r="122" spans="1:10" ht="13.5" thickBot="1">
      <c r="A122" s="490" t="s">
        <v>1918</v>
      </c>
      <c r="C122" s="471" t="s">
        <v>1919</v>
      </c>
      <c r="G122" s="471" t="s">
        <v>1950</v>
      </c>
      <c r="I122" s="491">
        <f>SUM(I93:I121)</f>
        <v>0</v>
      </c>
      <c r="J122" s="471" t="s">
        <v>1921</v>
      </c>
    </row>
    <row r="123" spans="1:10">
      <c r="A123" s="482"/>
      <c r="B123" s="482"/>
      <c r="C123" s="482"/>
      <c r="D123" s="482"/>
      <c r="E123" s="482"/>
      <c r="F123" s="482"/>
      <c r="G123" s="482"/>
      <c r="I123" s="486"/>
    </row>
    <row r="124" spans="1:10" ht="13.5" thickBot="1"/>
    <row r="125" spans="1:10" ht="21" thickBot="1">
      <c r="A125" s="480" t="s">
        <v>1804</v>
      </c>
      <c r="B125" s="492" t="s">
        <v>1951</v>
      </c>
      <c r="C125" s="482"/>
      <c r="D125" s="482"/>
      <c r="E125" s="482"/>
      <c r="F125" s="482"/>
      <c r="G125" s="482"/>
      <c r="I125" s="486"/>
    </row>
    <row r="126" spans="1:10" ht="13.5" thickBot="1">
      <c r="A126" s="483" t="s">
        <v>1899</v>
      </c>
      <c r="B126" s="484"/>
      <c r="C126" s="484"/>
      <c r="D126" s="484"/>
      <c r="E126" s="484"/>
      <c r="F126" s="485" t="s">
        <v>1900</v>
      </c>
      <c r="G126" s="485" t="s">
        <v>1901</v>
      </c>
      <c r="I126" s="486" t="s">
        <v>1902</v>
      </c>
    </row>
    <row r="127" spans="1:10" ht="13.5" thickTop="1">
      <c r="A127" s="471" t="s">
        <v>1952</v>
      </c>
      <c r="F127" s="488"/>
      <c r="G127" s="488"/>
      <c r="I127" s="494"/>
    </row>
    <row r="128" spans="1:10">
      <c r="A128" s="471" t="s">
        <v>1953</v>
      </c>
      <c r="F128" s="488"/>
      <c r="G128" s="488"/>
      <c r="I128" s="495"/>
    </row>
    <row r="129" spans="1:9">
      <c r="A129" s="487" t="s">
        <v>1942</v>
      </c>
      <c r="B129" s="487"/>
      <c r="C129" s="487"/>
      <c r="D129" s="487"/>
      <c r="E129" s="487"/>
      <c r="F129" s="488"/>
      <c r="G129" s="488"/>
      <c r="I129" s="495"/>
    </row>
    <row r="130" spans="1:9">
      <c r="A130" s="487" t="s">
        <v>1943</v>
      </c>
      <c r="F130" s="488"/>
      <c r="G130" s="488"/>
      <c r="I130" s="495"/>
    </row>
    <row r="131" spans="1:9">
      <c r="A131" s="487" t="s">
        <v>1944</v>
      </c>
      <c r="F131" s="488"/>
      <c r="G131" s="488"/>
      <c r="I131" s="495"/>
    </row>
    <row r="132" spans="1:9">
      <c r="A132" s="487" t="s">
        <v>1954</v>
      </c>
      <c r="F132" s="488"/>
      <c r="G132" s="488"/>
      <c r="I132" s="495"/>
    </row>
    <row r="133" spans="1:9">
      <c r="A133" s="487" t="s">
        <v>1955</v>
      </c>
      <c r="B133" s="487"/>
      <c r="C133" s="487"/>
      <c r="D133" s="487"/>
      <c r="E133" s="487"/>
      <c r="F133" s="488"/>
      <c r="G133" s="488"/>
      <c r="I133" s="495"/>
    </row>
    <row r="134" spans="1:9">
      <c r="A134" s="487" t="s">
        <v>1956</v>
      </c>
      <c r="F134" s="488"/>
      <c r="G134" s="488"/>
      <c r="I134" s="495"/>
    </row>
    <row r="135" spans="1:9">
      <c r="A135" s="471" t="s">
        <v>1957</v>
      </c>
      <c r="F135" s="488"/>
      <c r="G135" s="488"/>
      <c r="I135" s="495"/>
    </row>
    <row r="136" spans="1:9">
      <c r="A136" s="471" t="s">
        <v>1958</v>
      </c>
      <c r="F136" s="488"/>
      <c r="G136" s="488"/>
      <c r="I136" s="495"/>
    </row>
    <row r="137" spans="1:9">
      <c r="A137" s="471" t="s">
        <v>1959</v>
      </c>
      <c r="F137" s="488"/>
      <c r="G137" s="488"/>
      <c r="I137" s="489"/>
    </row>
    <row r="138" spans="1:9">
      <c r="A138" s="471" t="s">
        <v>1936</v>
      </c>
      <c r="F138" s="488"/>
      <c r="G138" s="488"/>
      <c r="I138" s="489"/>
    </row>
    <row r="139" spans="1:9">
      <c r="A139" s="471" t="s">
        <v>1948</v>
      </c>
      <c r="F139" s="488"/>
      <c r="G139" s="488"/>
      <c r="I139" s="495"/>
    </row>
    <row r="140" spans="1:9">
      <c r="A140" s="471" t="s">
        <v>1949</v>
      </c>
      <c r="F140" s="488"/>
      <c r="G140" s="488"/>
      <c r="I140" s="495"/>
    </row>
    <row r="141" spans="1:9">
      <c r="I141" s="496"/>
    </row>
    <row r="142" spans="1:9">
      <c r="I142" s="496"/>
    </row>
    <row r="143" spans="1:9">
      <c r="I143" s="496"/>
    </row>
    <row r="144" spans="1:9">
      <c r="I144" s="496"/>
    </row>
    <row r="145" spans="1:10">
      <c r="I145" s="496"/>
    </row>
    <row r="146" spans="1:10">
      <c r="I146" s="496"/>
    </row>
    <row r="147" spans="1:10">
      <c r="I147" s="496"/>
    </row>
    <row r="148" spans="1:10">
      <c r="I148" s="496"/>
    </row>
    <row r="149" spans="1:10">
      <c r="I149" s="496"/>
    </row>
    <row r="150" spans="1:10">
      <c r="I150" s="496"/>
    </row>
    <row r="151" spans="1:10">
      <c r="I151" s="496"/>
    </row>
    <row r="152" spans="1:10">
      <c r="I152" s="496"/>
    </row>
    <row r="153" spans="1:10">
      <c r="I153" s="496"/>
    </row>
    <row r="154" spans="1:10">
      <c r="I154" s="496"/>
    </row>
    <row r="155" spans="1:10">
      <c r="I155" s="496"/>
    </row>
    <row r="156" spans="1:10">
      <c r="I156" s="496"/>
    </row>
    <row r="157" spans="1:10">
      <c r="I157" s="496"/>
    </row>
    <row r="158" spans="1:10" ht="13.5" thickBot="1">
      <c r="I158" s="496"/>
    </row>
    <row r="159" spans="1:10" ht="13.5" thickBot="1">
      <c r="A159" s="490" t="s">
        <v>1918</v>
      </c>
      <c r="C159" s="471" t="s">
        <v>1919</v>
      </c>
      <c r="G159" s="471" t="s">
        <v>1950</v>
      </c>
      <c r="I159" s="491">
        <f>SUM(I127:I158)</f>
        <v>0</v>
      </c>
      <c r="J159" s="471" t="s">
        <v>1921</v>
      </c>
    </row>
    <row r="160" spans="1:10">
      <c r="A160" s="490"/>
      <c r="C160" s="471" t="s">
        <v>1960</v>
      </c>
      <c r="I160" s="497"/>
    </row>
    <row r="161" spans="1:9">
      <c r="A161" s="482"/>
      <c r="B161" s="482"/>
      <c r="C161" s="482"/>
      <c r="D161" s="482"/>
      <c r="E161" s="482"/>
      <c r="F161" s="482"/>
      <c r="G161" s="482"/>
      <c r="I161" s="486"/>
    </row>
    <row r="162" spans="1:9" ht="13.5" thickBot="1"/>
    <row r="163" spans="1:9" ht="21" thickBot="1">
      <c r="A163" s="480" t="s">
        <v>1806</v>
      </c>
      <c r="B163" s="481" t="s">
        <v>1961</v>
      </c>
      <c r="C163" s="482"/>
      <c r="D163" s="482"/>
      <c r="E163" s="482"/>
      <c r="F163" s="482"/>
      <c r="G163" s="482"/>
    </row>
    <row r="164" spans="1:9" ht="13.5" thickBot="1">
      <c r="A164" s="483" t="s">
        <v>1899</v>
      </c>
      <c r="B164" s="484"/>
      <c r="C164" s="484"/>
      <c r="D164" s="484"/>
      <c r="E164" s="484"/>
      <c r="F164" s="485" t="s">
        <v>1900</v>
      </c>
      <c r="G164" s="485" t="s">
        <v>1901</v>
      </c>
      <c r="I164" s="486" t="s">
        <v>1902</v>
      </c>
    </row>
    <row r="165" spans="1:9" ht="13.5" thickTop="1">
      <c r="A165" s="487" t="s">
        <v>1962</v>
      </c>
      <c r="F165" s="488"/>
      <c r="G165" s="498"/>
      <c r="I165" s="489"/>
    </row>
    <row r="166" spans="1:9">
      <c r="A166" s="487" t="s">
        <v>1963</v>
      </c>
      <c r="F166" s="488"/>
      <c r="G166" s="498"/>
      <c r="I166" s="489"/>
    </row>
    <row r="167" spans="1:9">
      <c r="A167" s="471" t="s">
        <v>1964</v>
      </c>
      <c r="F167" s="488"/>
      <c r="G167" s="488"/>
      <c r="I167" s="489"/>
    </row>
    <row r="168" spans="1:9">
      <c r="A168" s="471" t="s">
        <v>1965</v>
      </c>
      <c r="F168" s="488"/>
      <c r="G168" s="488"/>
      <c r="I168" s="489"/>
    </row>
    <row r="169" spans="1:9">
      <c r="A169" s="471" t="s">
        <v>1966</v>
      </c>
      <c r="F169" s="488"/>
      <c r="G169" s="488"/>
      <c r="I169" s="489"/>
    </row>
    <row r="170" spans="1:9">
      <c r="A170" s="471" t="s">
        <v>1967</v>
      </c>
      <c r="F170" s="488"/>
      <c r="G170" s="488"/>
      <c r="I170" s="489"/>
    </row>
    <row r="171" spans="1:9">
      <c r="A171" s="471" t="s">
        <v>1968</v>
      </c>
      <c r="F171" s="488"/>
      <c r="G171" s="488"/>
      <c r="I171" s="489"/>
    </row>
    <row r="172" spans="1:9">
      <c r="A172" s="471" t="s">
        <v>1969</v>
      </c>
      <c r="F172" s="499"/>
      <c r="G172" s="488"/>
      <c r="I172" s="489"/>
    </row>
    <row r="173" spans="1:9">
      <c r="A173" s="471" t="s">
        <v>1970</v>
      </c>
      <c r="F173" s="488"/>
      <c r="G173" s="488"/>
      <c r="I173" s="489"/>
    </row>
    <row r="174" spans="1:9">
      <c r="A174" s="471" t="s">
        <v>1971</v>
      </c>
      <c r="F174" s="488"/>
      <c r="G174" s="498"/>
      <c r="I174" s="489"/>
    </row>
    <row r="175" spans="1:9">
      <c r="A175" s="471" t="s">
        <v>1972</v>
      </c>
      <c r="F175" s="488"/>
      <c r="G175" s="498"/>
      <c r="I175" s="489"/>
    </row>
    <row r="176" spans="1:9">
      <c r="A176" s="471" t="s">
        <v>1973</v>
      </c>
      <c r="F176" s="488"/>
      <c r="G176" s="498"/>
      <c r="I176" s="489"/>
    </row>
    <row r="177" spans="1:9">
      <c r="A177" s="471" t="s">
        <v>1974</v>
      </c>
      <c r="F177" s="488"/>
      <c r="G177" s="498"/>
      <c r="I177" s="489"/>
    </row>
    <row r="178" spans="1:9">
      <c r="A178" s="471" t="s">
        <v>1975</v>
      </c>
      <c r="F178" s="488"/>
      <c r="G178" s="498"/>
      <c r="I178" s="489"/>
    </row>
    <row r="179" spans="1:9">
      <c r="A179" s="487" t="s">
        <v>1976</v>
      </c>
      <c r="F179" s="488"/>
      <c r="G179" s="488"/>
      <c r="I179" s="489"/>
    </row>
    <row r="180" spans="1:9">
      <c r="G180" s="487"/>
    </row>
    <row r="181" spans="1:9">
      <c r="G181" s="487"/>
    </row>
    <row r="182" spans="1:9">
      <c r="G182" s="487"/>
    </row>
    <row r="183" spans="1:9">
      <c r="G183" s="487"/>
    </row>
    <row r="184" spans="1:9">
      <c r="G184" s="487"/>
    </row>
    <row r="185" spans="1:9">
      <c r="G185" s="487"/>
    </row>
    <row r="186" spans="1:9">
      <c r="G186" s="487"/>
    </row>
    <row r="187" spans="1:9">
      <c r="G187" s="487"/>
    </row>
    <row r="188" spans="1:9">
      <c r="G188" s="487"/>
    </row>
    <row r="189" spans="1:9">
      <c r="G189" s="487"/>
    </row>
    <row r="190" spans="1:9">
      <c r="G190" s="487"/>
    </row>
    <row r="191" spans="1:9">
      <c r="G191" s="487"/>
    </row>
    <row r="192" spans="1:9">
      <c r="G192" s="487"/>
    </row>
    <row r="193" spans="1:10">
      <c r="G193" s="487"/>
    </row>
    <row r="194" spans="1:10">
      <c r="G194" s="487"/>
    </row>
    <row r="195" spans="1:10">
      <c r="G195" s="487"/>
    </row>
    <row r="196" spans="1:10">
      <c r="G196" s="487"/>
    </row>
    <row r="197" spans="1:10" ht="13.5" thickBot="1"/>
    <row r="198" spans="1:10" ht="13.5" thickBot="1">
      <c r="A198" s="490" t="s">
        <v>1918</v>
      </c>
      <c r="C198" s="471" t="s">
        <v>1919</v>
      </c>
      <c r="G198" s="471" t="s">
        <v>1977</v>
      </c>
      <c r="I198" s="491">
        <f>SUM(I165:I197)</f>
        <v>0</v>
      </c>
      <c r="J198" s="471" t="s">
        <v>1921</v>
      </c>
    </row>
    <row r="199" spans="1:10">
      <c r="A199" s="482"/>
      <c r="B199" s="482"/>
      <c r="C199" s="482"/>
      <c r="D199" s="482"/>
      <c r="E199" s="482"/>
      <c r="F199" s="482"/>
      <c r="G199" s="482"/>
    </row>
    <row r="200" spans="1:10" ht="13.5" thickBot="1"/>
    <row r="201" spans="1:10" ht="21" thickBot="1">
      <c r="A201" s="480" t="s">
        <v>1808</v>
      </c>
      <c r="B201" s="492" t="s">
        <v>1978</v>
      </c>
      <c r="C201" s="482"/>
      <c r="D201" s="482"/>
      <c r="E201" s="482"/>
      <c r="F201" s="482"/>
      <c r="G201" s="482"/>
    </row>
    <row r="202" spans="1:10" ht="13.5" thickBot="1">
      <c r="A202" s="483" t="s">
        <v>1899</v>
      </c>
      <c r="B202" s="484"/>
      <c r="C202" s="484"/>
      <c r="D202" s="484"/>
      <c r="E202" s="484"/>
      <c r="F202" s="485" t="s">
        <v>1900</v>
      </c>
      <c r="G202" s="485" t="s">
        <v>1901</v>
      </c>
      <c r="I202" s="486" t="s">
        <v>1902</v>
      </c>
    </row>
    <row r="203" spans="1:10" ht="13.5" thickTop="1">
      <c r="A203" s="471" t="s">
        <v>1979</v>
      </c>
      <c r="F203" s="498"/>
      <c r="G203" s="498"/>
      <c r="I203" s="489"/>
    </row>
    <row r="204" spans="1:10">
      <c r="A204" s="471" t="s">
        <v>1980</v>
      </c>
      <c r="F204" s="498"/>
      <c r="G204" s="498"/>
      <c r="I204" s="489"/>
    </row>
    <row r="205" spans="1:10">
      <c r="A205" s="471" t="s">
        <v>1981</v>
      </c>
      <c r="F205" s="488"/>
      <c r="G205" s="488"/>
      <c r="I205" s="489"/>
    </row>
    <row r="206" spans="1:10">
      <c r="A206" s="471" t="s">
        <v>1982</v>
      </c>
      <c r="F206" s="488"/>
      <c r="G206" s="488"/>
      <c r="I206" s="489"/>
    </row>
    <row r="207" spans="1:10">
      <c r="A207" s="471" t="s">
        <v>1983</v>
      </c>
      <c r="F207" s="499"/>
      <c r="G207" s="488"/>
      <c r="I207" s="489"/>
    </row>
    <row r="208" spans="1:10">
      <c r="A208" s="471" t="s">
        <v>1984</v>
      </c>
      <c r="F208" s="488"/>
      <c r="G208" s="488"/>
      <c r="I208" s="489"/>
    </row>
    <row r="209" spans="1:9">
      <c r="A209" s="471" t="s">
        <v>1985</v>
      </c>
      <c r="F209" s="488"/>
      <c r="G209" s="488"/>
      <c r="I209" s="489"/>
    </row>
    <row r="210" spans="1:9">
      <c r="A210" s="487" t="s">
        <v>1976</v>
      </c>
      <c r="F210" s="488"/>
      <c r="G210" s="488"/>
      <c r="I210" s="489"/>
    </row>
    <row r="211" spans="1:9">
      <c r="A211" s="487" t="s">
        <v>1986</v>
      </c>
      <c r="F211" s="500"/>
      <c r="G211" s="500"/>
      <c r="H211" s="493"/>
      <c r="I211" s="501"/>
    </row>
    <row r="212" spans="1:9">
      <c r="A212" s="487" t="s">
        <v>1987</v>
      </c>
      <c r="F212" s="500"/>
      <c r="G212" s="500"/>
      <c r="H212" s="493"/>
      <c r="I212" s="501"/>
    </row>
    <row r="213" spans="1:9">
      <c r="A213" s="487" t="s">
        <v>1988</v>
      </c>
      <c r="F213" s="488"/>
      <c r="G213" s="488"/>
      <c r="I213" s="489"/>
    </row>
    <row r="214" spans="1:9">
      <c r="A214" s="471" t="s">
        <v>1989</v>
      </c>
      <c r="F214" s="488"/>
      <c r="G214" s="488"/>
      <c r="I214" s="489"/>
    </row>
    <row r="215" spans="1:9">
      <c r="A215" s="487" t="s">
        <v>1990</v>
      </c>
      <c r="F215" s="488"/>
      <c r="G215" s="488"/>
      <c r="I215" s="489"/>
    </row>
    <row r="216" spans="1:9">
      <c r="A216" s="487" t="s">
        <v>1991</v>
      </c>
      <c r="F216" s="500"/>
      <c r="G216" s="500"/>
      <c r="H216" s="493"/>
      <c r="I216" s="501"/>
    </row>
    <row r="217" spans="1:9">
      <c r="A217" s="487" t="s">
        <v>1992</v>
      </c>
      <c r="F217" s="488"/>
      <c r="G217" s="488"/>
      <c r="I217" s="489"/>
    </row>
    <row r="218" spans="1:9">
      <c r="A218" s="487" t="s">
        <v>1993</v>
      </c>
      <c r="F218" s="488"/>
      <c r="G218" s="488"/>
      <c r="I218" s="489"/>
    </row>
    <row r="219" spans="1:9">
      <c r="A219" s="487" t="s">
        <v>1994</v>
      </c>
      <c r="F219" s="488"/>
      <c r="G219" s="488"/>
      <c r="I219" s="489"/>
    </row>
    <row r="220" spans="1:9">
      <c r="A220" s="487" t="s">
        <v>1995</v>
      </c>
      <c r="F220" s="488"/>
      <c r="G220" s="488"/>
      <c r="I220" s="489"/>
    </row>
    <row r="221" spans="1:9">
      <c r="A221" s="487" t="s">
        <v>1996</v>
      </c>
      <c r="F221" s="488"/>
      <c r="G221" s="488"/>
      <c r="I221" s="489"/>
    </row>
    <row r="222" spans="1:9">
      <c r="A222" s="487" t="s">
        <v>1997</v>
      </c>
      <c r="F222" s="488"/>
      <c r="G222" s="488"/>
      <c r="I222" s="489"/>
    </row>
    <row r="223" spans="1:9">
      <c r="A223" s="487" t="s">
        <v>1998</v>
      </c>
      <c r="F223" s="488"/>
      <c r="G223" s="488"/>
      <c r="I223" s="489"/>
    </row>
    <row r="224" spans="1:9">
      <c r="A224" s="487"/>
      <c r="G224" s="487"/>
    </row>
    <row r="225" spans="1:9">
      <c r="G225" s="487"/>
    </row>
    <row r="226" spans="1:9">
      <c r="A226" s="487"/>
      <c r="G226" s="487"/>
    </row>
    <row r="227" spans="1:9">
      <c r="A227" s="487"/>
      <c r="G227" s="487"/>
    </row>
    <row r="228" spans="1:9">
      <c r="A228" s="487"/>
      <c r="G228" s="487"/>
    </row>
    <row r="229" spans="1:9">
      <c r="A229" s="487"/>
      <c r="G229" s="487"/>
    </row>
    <row r="230" spans="1:9">
      <c r="A230" s="487"/>
      <c r="G230" s="487"/>
    </row>
    <row r="231" spans="1:9">
      <c r="A231" s="487"/>
      <c r="G231" s="487"/>
    </row>
    <row r="232" spans="1:9">
      <c r="A232" s="487"/>
      <c r="G232" s="487"/>
    </row>
    <row r="233" spans="1:9">
      <c r="A233" s="487"/>
      <c r="G233" s="487"/>
    </row>
    <row r="234" spans="1:9">
      <c r="A234" s="487"/>
      <c r="G234" s="487"/>
    </row>
    <row r="235" spans="1:9">
      <c r="A235" s="487"/>
      <c r="G235" s="487"/>
      <c r="I235" s="471" t="s">
        <v>79</v>
      </c>
    </row>
    <row r="236" spans="1:9">
      <c r="A236" s="487"/>
      <c r="G236" s="487"/>
    </row>
    <row r="237" spans="1:9">
      <c r="A237" s="487"/>
      <c r="G237" s="487"/>
    </row>
    <row r="238" spans="1:9">
      <c r="A238" s="487"/>
      <c r="G238" s="487"/>
    </row>
    <row r="239" spans="1:9">
      <c r="A239" s="487"/>
      <c r="G239" s="487"/>
    </row>
    <row r="240" spans="1:9">
      <c r="A240" s="487"/>
      <c r="G240" s="487"/>
    </row>
    <row r="241" spans="1:10">
      <c r="A241" s="487"/>
      <c r="G241" s="487"/>
    </row>
    <row r="242" spans="1:10">
      <c r="A242" s="487"/>
      <c r="G242" s="487"/>
    </row>
    <row r="243" spans="1:10">
      <c r="A243" s="487"/>
      <c r="G243" s="487"/>
    </row>
    <row r="244" spans="1:10">
      <c r="A244" s="487"/>
      <c r="G244" s="487"/>
    </row>
    <row r="245" spans="1:10" ht="13.5" thickBot="1">
      <c r="A245" s="487"/>
      <c r="G245" s="487"/>
    </row>
    <row r="246" spans="1:10" ht="13.5" thickBot="1">
      <c r="A246" s="490" t="s">
        <v>1918</v>
      </c>
      <c r="C246" s="471" t="s">
        <v>1919</v>
      </c>
      <c r="G246" s="471" t="s">
        <v>1977</v>
      </c>
      <c r="I246" s="491">
        <f>SUM(I203:I245)</f>
        <v>0</v>
      </c>
      <c r="J246" s="471" t="s">
        <v>1921</v>
      </c>
    </row>
    <row r="247" spans="1:10">
      <c r="A247" s="482"/>
      <c r="B247" s="482"/>
      <c r="C247" s="482"/>
      <c r="D247" s="482"/>
      <c r="E247" s="482"/>
      <c r="F247" s="482"/>
      <c r="G247" s="482"/>
    </row>
    <row r="248" spans="1:10" ht="13.5" thickBot="1"/>
    <row r="249" spans="1:10" ht="21" thickBot="1">
      <c r="A249" s="480" t="s">
        <v>1810</v>
      </c>
      <c r="B249" s="492" t="s">
        <v>1999</v>
      </c>
      <c r="C249" s="482"/>
      <c r="D249" s="482"/>
      <c r="E249" s="482"/>
      <c r="F249" s="482"/>
      <c r="G249" s="482"/>
    </row>
    <row r="250" spans="1:10" ht="13.5" thickBot="1">
      <c r="A250" s="483" t="s">
        <v>1899</v>
      </c>
      <c r="B250" s="484"/>
      <c r="C250" s="484"/>
      <c r="D250" s="484"/>
      <c r="E250" s="484"/>
      <c r="F250" s="485" t="s">
        <v>1900</v>
      </c>
      <c r="G250" s="485" t="s">
        <v>1901</v>
      </c>
      <c r="I250" s="486" t="s">
        <v>1902</v>
      </c>
    </row>
    <row r="251" spans="1:10" ht="13.5" thickTop="1">
      <c r="A251" s="487" t="s">
        <v>2000</v>
      </c>
      <c r="F251" s="488"/>
      <c r="G251" s="498"/>
      <c r="I251" s="489"/>
    </row>
    <row r="252" spans="1:10">
      <c r="A252" s="487" t="s">
        <v>2001</v>
      </c>
      <c r="F252" s="488"/>
      <c r="G252" s="498"/>
      <c r="I252" s="489"/>
    </row>
    <row r="253" spans="1:10">
      <c r="A253" s="471" t="s">
        <v>2002</v>
      </c>
      <c r="F253" s="488"/>
      <c r="G253" s="488"/>
      <c r="I253" s="489"/>
    </row>
    <row r="254" spans="1:10">
      <c r="A254" s="487" t="s">
        <v>2003</v>
      </c>
      <c r="F254" s="488"/>
      <c r="G254" s="488"/>
      <c r="I254" s="489"/>
    </row>
    <row r="255" spans="1:10">
      <c r="A255" s="487" t="s">
        <v>2004</v>
      </c>
      <c r="F255" s="498"/>
      <c r="G255" s="498"/>
      <c r="I255" s="489"/>
    </row>
    <row r="256" spans="1:10">
      <c r="A256" s="471" t="s">
        <v>1928</v>
      </c>
      <c r="F256" s="488"/>
      <c r="G256" s="488"/>
      <c r="H256" s="487"/>
      <c r="I256" s="489"/>
      <c r="J256" s="487"/>
    </row>
    <row r="257" spans="1:10">
      <c r="A257" s="471" t="s">
        <v>1929</v>
      </c>
      <c r="F257" s="488"/>
      <c r="G257" s="488"/>
      <c r="H257" s="487"/>
      <c r="I257" s="489"/>
    </row>
    <row r="258" spans="1:10">
      <c r="A258" s="487" t="s">
        <v>2005</v>
      </c>
      <c r="F258" s="488"/>
      <c r="G258" s="488"/>
      <c r="H258" s="487"/>
      <c r="I258" s="489"/>
    </row>
    <row r="259" spans="1:10">
      <c r="A259" s="471" t="s">
        <v>1917</v>
      </c>
      <c r="F259" s="488"/>
      <c r="G259" s="488"/>
      <c r="H259" s="487"/>
      <c r="I259" s="489"/>
    </row>
    <row r="260" spans="1:10">
      <c r="A260" s="487" t="s">
        <v>2006</v>
      </c>
      <c r="F260" s="498"/>
      <c r="G260" s="498"/>
      <c r="H260" s="487"/>
      <c r="I260" s="489"/>
    </row>
    <row r="261" spans="1:10">
      <c r="H261" s="487"/>
    </row>
    <row r="262" spans="1:10">
      <c r="H262" s="487"/>
    </row>
    <row r="263" spans="1:10">
      <c r="H263" s="487"/>
    </row>
    <row r="264" spans="1:10">
      <c r="H264" s="487"/>
    </row>
    <row r="265" spans="1:10">
      <c r="H265" s="487"/>
    </row>
    <row r="266" spans="1:10">
      <c r="H266" s="487"/>
    </row>
    <row r="267" spans="1:10">
      <c r="H267" s="487"/>
    </row>
    <row r="268" spans="1:10">
      <c r="H268" s="487"/>
    </row>
    <row r="269" spans="1:10">
      <c r="H269" s="487"/>
    </row>
    <row r="270" spans="1:10">
      <c r="H270" s="487"/>
    </row>
    <row r="271" spans="1:10" ht="13.5" thickBot="1">
      <c r="H271" s="487"/>
    </row>
    <row r="272" spans="1:10" ht="13.5" thickBot="1">
      <c r="A272" s="502" t="s">
        <v>1918</v>
      </c>
      <c r="B272" s="482"/>
      <c r="C272" s="482" t="s">
        <v>1919</v>
      </c>
      <c r="D272" s="482"/>
      <c r="E272" s="482"/>
      <c r="F272" s="482"/>
      <c r="G272" s="503" t="s">
        <v>1938</v>
      </c>
      <c r="I272" s="491">
        <f>SUM(I252:I271)</f>
        <v>0</v>
      </c>
      <c r="J272" s="471" t="s">
        <v>1921</v>
      </c>
    </row>
    <row r="273" spans="1:10" ht="13.5" thickBot="1"/>
    <row r="274" spans="1:10" ht="21" thickBot="1">
      <c r="A274" s="480" t="s">
        <v>1812</v>
      </c>
      <c r="B274" s="492" t="s">
        <v>1999</v>
      </c>
      <c r="C274" s="482"/>
      <c r="D274" s="482"/>
      <c r="E274" s="482"/>
      <c r="F274" s="482"/>
      <c r="G274" s="482"/>
    </row>
    <row r="275" spans="1:10" ht="13.5" thickBot="1">
      <c r="A275" s="483" t="s">
        <v>1899</v>
      </c>
      <c r="B275" s="484"/>
      <c r="C275" s="484"/>
      <c r="D275" s="484"/>
      <c r="E275" s="484"/>
      <c r="F275" s="485" t="s">
        <v>1900</v>
      </c>
      <c r="G275" s="485" t="s">
        <v>1901</v>
      </c>
      <c r="I275" s="486" t="s">
        <v>1902</v>
      </c>
    </row>
    <row r="276" spans="1:10" ht="13.5" thickTop="1">
      <c r="A276" s="487" t="s">
        <v>2007</v>
      </c>
      <c r="F276" s="488"/>
      <c r="G276" s="498"/>
      <c r="I276" s="489"/>
    </row>
    <row r="277" spans="1:10">
      <c r="A277" s="487" t="s">
        <v>2001</v>
      </c>
      <c r="F277" s="498"/>
      <c r="G277" s="498"/>
      <c r="I277" s="489"/>
    </row>
    <row r="278" spans="1:10">
      <c r="A278" s="471" t="s">
        <v>2002</v>
      </c>
      <c r="F278" s="488"/>
      <c r="G278" s="488"/>
      <c r="I278" s="489"/>
    </row>
    <row r="279" spans="1:10">
      <c r="A279" s="487" t="s">
        <v>2003</v>
      </c>
      <c r="F279" s="488"/>
      <c r="G279" s="488"/>
      <c r="I279" s="489"/>
    </row>
    <row r="280" spans="1:10">
      <c r="A280" s="487" t="s">
        <v>2004</v>
      </c>
      <c r="F280" s="498"/>
      <c r="G280" s="498"/>
      <c r="I280" s="489"/>
    </row>
    <row r="281" spans="1:10">
      <c r="A281" s="471" t="s">
        <v>1928</v>
      </c>
      <c r="F281" s="488"/>
      <c r="G281" s="488"/>
      <c r="H281" s="487"/>
      <c r="I281" s="489"/>
      <c r="J281" s="487"/>
    </row>
    <row r="282" spans="1:10">
      <c r="A282" s="471" t="s">
        <v>1929</v>
      </c>
      <c r="F282" s="488"/>
      <c r="G282" s="488"/>
      <c r="H282" s="487"/>
      <c r="I282" s="489"/>
    </row>
    <row r="283" spans="1:10">
      <c r="A283" s="487" t="s">
        <v>2005</v>
      </c>
      <c r="F283" s="488"/>
      <c r="G283" s="488"/>
      <c r="H283" s="487"/>
      <c r="I283" s="489"/>
    </row>
    <row r="284" spans="1:10">
      <c r="A284" s="471" t="s">
        <v>1917</v>
      </c>
      <c r="F284" s="488"/>
      <c r="G284" s="488"/>
      <c r="H284" s="487"/>
      <c r="I284" s="489"/>
    </row>
    <row r="285" spans="1:10">
      <c r="A285" s="487" t="s">
        <v>2006</v>
      </c>
      <c r="F285" s="498"/>
      <c r="G285" s="498"/>
      <c r="H285" s="487"/>
      <c r="I285" s="489"/>
    </row>
    <row r="286" spans="1:10">
      <c r="H286" s="487"/>
    </row>
    <row r="287" spans="1:10">
      <c r="H287" s="487"/>
    </row>
    <row r="288" spans="1:10">
      <c r="H288" s="487"/>
    </row>
    <row r="289" spans="1:10">
      <c r="H289" s="487"/>
    </row>
    <row r="290" spans="1:10">
      <c r="H290" s="487"/>
    </row>
    <row r="291" spans="1:10">
      <c r="H291" s="487"/>
    </row>
    <row r="292" spans="1:10">
      <c r="H292" s="487"/>
    </row>
    <row r="293" spans="1:10">
      <c r="H293" s="487"/>
    </row>
    <row r="294" spans="1:10">
      <c r="H294" s="487"/>
    </row>
    <row r="295" spans="1:10">
      <c r="H295" s="487"/>
    </row>
    <row r="296" spans="1:10" ht="13.5" thickBot="1">
      <c r="H296" s="487"/>
    </row>
    <row r="297" spans="1:10" ht="13.5" thickBot="1">
      <c r="A297" s="502" t="s">
        <v>1918</v>
      </c>
      <c r="B297" s="482"/>
      <c r="C297" s="482" t="s">
        <v>1919</v>
      </c>
      <c r="D297" s="482"/>
      <c r="E297" s="482"/>
      <c r="F297" s="482"/>
      <c r="G297" s="503" t="s">
        <v>1938</v>
      </c>
      <c r="I297" s="491">
        <f>SUM(I277:I296)</f>
        <v>0</v>
      </c>
      <c r="J297" s="471" t="s">
        <v>1921</v>
      </c>
    </row>
    <row r="298" spans="1:10" ht="13.5" thickBot="1"/>
    <row r="299" spans="1:10" ht="21" thickBot="1">
      <c r="A299" s="480" t="s">
        <v>1814</v>
      </c>
      <c r="B299" s="492" t="s">
        <v>2008</v>
      </c>
      <c r="C299" s="482"/>
      <c r="D299" s="482"/>
      <c r="E299" s="482"/>
      <c r="F299" s="482"/>
      <c r="G299" s="482"/>
    </row>
    <row r="300" spans="1:10" ht="13.5" thickBot="1">
      <c r="A300" s="483" t="s">
        <v>1899</v>
      </c>
      <c r="B300" s="484"/>
      <c r="C300" s="484"/>
      <c r="D300" s="484"/>
      <c r="E300" s="484"/>
      <c r="F300" s="485" t="s">
        <v>1900</v>
      </c>
      <c r="G300" s="485" t="s">
        <v>1901</v>
      </c>
      <c r="I300" s="486" t="s">
        <v>1902</v>
      </c>
    </row>
    <row r="301" spans="1:10" ht="13.5" thickTop="1">
      <c r="A301" s="487" t="s">
        <v>2009</v>
      </c>
      <c r="F301" s="488"/>
      <c r="G301" s="498"/>
      <c r="I301" s="489"/>
    </row>
    <row r="302" spans="1:10">
      <c r="A302" s="487" t="s">
        <v>2001</v>
      </c>
      <c r="F302" s="498"/>
      <c r="G302" s="498"/>
      <c r="I302" s="489"/>
    </row>
    <row r="303" spans="1:10">
      <c r="A303" s="471" t="s">
        <v>2002</v>
      </c>
      <c r="F303" s="488"/>
      <c r="G303" s="488"/>
      <c r="I303" s="489"/>
    </row>
    <row r="304" spans="1:10">
      <c r="A304" s="487" t="s">
        <v>2010</v>
      </c>
      <c r="F304" s="488"/>
      <c r="G304" s="488"/>
      <c r="I304" s="489"/>
    </row>
    <row r="305" spans="1:9">
      <c r="A305" s="487" t="s">
        <v>2011</v>
      </c>
      <c r="F305" s="498"/>
      <c r="G305" s="498"/>
      <c r="I305" s="489"/>
    </row>
    <row r="306" spans="1:9">
      <c r="A306" s="487" t="s">
        <v>1928</v>
      </c>
      <c r="F306" s="488"/>
      <c r="G306" s="488"/>
      <c r="H306" s="487"/>
      <c r="I306" s="489"/>
    </row>
    <row r="307" spans="1:9">
      <c r="A307" s="471" t="s">
        <v>1929</v>
      </c>
      <c r="F307" s="488"/>
      <c r="G307" s="488"/>
      <c r="H307" s="487"/>
      <c r="I307" s="489"/>
    </row>
    <row r="308" spans="1:9">
      <c r="A308" s="487" t="s">
        <v>2005</v>
      </c>
      <c r="F308" s="488"/>
      <c r="G308" s="488"/>
      <c r="H308" s="487"/>
      <c r="I308" s="489"/>
    </row>
    <row r="309" spans="1:9">
      <c r="A309" s="471" t="s">
        <v>1917</v>
      </c>
      <c r="F309" s="488"/>
      <c r="G309" s="488"/>
      <c r="H309" s="487"/>
      <c r="I309" s="489"/>
    </row>
    <row r="310" spans="1:9">
      <c r="A310" s="471" t="s">
        <v>2012</v>
      </c>
      <c r="F310" s="488"/>
      <c r="G310" s="488"/>
      <c r="H310" s="487"/>
      <c r="I310" s="489"/>
    </row>
    <row r="311" spans="1:9">
      <c r="H311" s="487"/>
    </row>
    <row r="312" spans="1:9">
      <c r="H312" s="487"/>
    </row>
    <row r="313" spans="1:9">
      <c r="H313" s="487"/>
    </row>
    <row r="314" spans="1:9">
      <c r="H314" s="487"/>
    </row>
    <row r="315" spans="1:9">
      <c r="H315" s="487"/>
    </row>
    <row r="316" spans="1:9">
      <c r="H316" s="487"/>
    </row>
    <row r="317" spans="1:9">
      <c r="H317" s="487"/>
    </row>
    <row r="318" spans="1:9">
      <c r="H318" s="487"/>
    </row>
    <row r="319" spans="1:9">
      <c r="H319" s="487"/>
    </row>
    <row r="324" spans="1:10" ht="13.5" thickBot="1">
      <c r="A324" s="487"/>
    </row>
    <row r="325" spans="1:10" ht="13.5" thickBot="1">
      <c r="A325" s="490" t="s">
        <v>1918</v>
      </c>
      <c r="C325" s="471" t="s">
        <v>1919</v>
      </c>
      <c r="G325" s="487" t="s">
        <v>1938</v>
      </c>
      <c r="I325" s="491">
        <f>SUM(I300:I324)</f>
        <v>0</v>
      </c>
      <c r="J325" s="471" t="s">
        <v>1921</v>
      </c>
    </row>
    <row r="326" spans="1:10">
      <c r="A326" s="482"/>
      <c r="B326" s="482"/>
      <c r="C326" s="482"/>
      <c r="D326" s="482"/>
      <c r="E326" s="482"/>
      <c r="F326" s="482"/>
      <c r="G326" s="482"/>
    </row>
    <row r="327" spans="1:10" ht="13.5" thickBot="1"/>
    <row r="328" spans="1:10" ht="21" thickBot="1">
      <c r="A328" s="480" t="s">
        <v>1816</v>
      </c>
      <c r="B328" s="481" t="s">
        <v>2013</v>
      </c>
      <c r="C328" s="482"/>
      <c r="D328" s="482"/>
      <c r="E328" s="482"/>
      <c r="F328" s="482"/>
      <c r="G328" s="482"/>
    </row>
    <row r="329" spans="1:10" ht="13.5" thickBot="1">
      <c r="A329" s="483" t="s">
        <v>1899</v>
      </c>
      <c r="B329" s="484"/>
      <c r="C329" s="484"/>
      <c r="D329" s="484"/>
      <c r="E329" s="484"/>
      <c r="F329" s="485" t="s">
        <v>1900</v>
      </c>
      <c r="G329" s="485" t="s">
        <v>1901</v>
      </c>
      <c r="I329" s="486" t="s">
        <v>1902</v>
      </c>
    </row>
    <row r="330" spans="1:10" ht="13.5" thickTop="1">
      <c r="A330" s="487" t="s">
        <v>2014</v>
      </c>
      <c r="F330" s="488"/>
      <c r="G330" s="488"/>
      <c r="I330" s="489"/>
    </row>
    <row r="331" spans="1:10">
      <c r="A331" s="471" t="s">
        <v>2015</v>
      </c>
      <c r="F331" s="488"/>
      <c r="G331" s="488"/>
      <c r="I331" s="489"/>
    </row>
    <row r="332" spans="1:10">
      <c r="A332" s="471" t="s">
        <v>2016</v>
      </c>
      <c r="F332" s="488"/>
      <c r="G332" s="488"/>
      <c r="H332" s="487"/>
      <c r="I332" s="489"/>
    </row>
    <row r="333" spans="1:10">
      <c r="H333" s="487"/>
    </row>
    <row r="334" spans="1:10">
      <c r="H334" s="487"/>
    </row>
    <row r="335" spans="1:10">
      <c r="H335" s="487"/>
    </row>
    <row r="336" spans="1:10">
      <c r="H336" s="487"/>
    </row>
    <row r="337" spans="1:10">
      <c r="H337" s="487"/>
    </row>
    <row r="338" spans="1:10">
      <c r="H338" s="487"/>
    </row>
    <row r="339" spans="1:10">
      <c r="H339" s="487"/>
    </row>
    <row r="340" spans="1:10">
      <c r="H340" s="487"/>
    </row>
    <row r="341" spans="1:10" ht="13.5" thickBot="1">
      <c r="H341" s="487"/>
    </row>
    <row r="342" spans="1:10" ht="13.5" thickBot="1">
      <c r="A342" s="490" t="s">
        <v>1918</v>
      </c>
      <c r="C342" s="471" t="s">
        <v>2017</v>
      </c>
      <c r="G342" s="471" t="s">
        <v>1938</v>
      </c>
      <c r="I342" s="491">
        <f>SUM(I329:I341)</f>
        <v>0</v>
      </c>
      <c r="J342" s="471" t="s">
        <v>1921</v>
      </c>
    </row>
    <row r="343" spans="1:10">
      <c r="A343" s="482"/>
      <c r="B343" s="482"/>
      <c r="C343" s="482"/>
      <c r="D343" s="482"/>
      <c r="E343" s="482"/>
      <c r="F343" s="482"/>
      <c r="G343" s="482"/>
    </row>
    <row r="344" spans="1:10" ht="13.5" thickBot="1"/>
    <row r="345" spans="1:10" ht="21" thickBot="1">
      <c r="A345" s="480" t="s">
        <v>1818</v>
      </c>
      <c r="B345" s="481" t="s">
        <v>2018</v>
      </c>
      <c r="C345" s="482"/>
      <c r="D345" s="482"/>
      <c r="E345" s="482"/>
      <c r="F345" s="482"/>
      <c r="G345" s="482"/>
    </row>
    <row r="346" spans="1:10" ht="13.5" thickBot="1">
      <c r="A346" s="483" t="s">
        <v>1899</v>
      </c>
      <c r="B346" s="484"/>
      <c r="C346" s="484"/>
      <c r="D346" s="484"/>
      <c r="E346" s="484"/>
      <c r="F346" s="485" t="s">
        <v>1900</v>
      </c>
      <c r="G346" s="485" t="s">
        <v>1901</v>
      </c>
      <c r="I346" s="486" t="s">
        <v>1902</v>
      </c>
    </row>
    <row r="347" spans="1:10" ht="13.5" thickTop="1">
      <c r="A347" s="471" t="s">
        <v>2019</v>
      </c>
      <c r="F347" s="488"/>
      <c r="G347" s="488"/>
      <c r="I347" s="489"/>
    </row>
    <row r="348" spans="1:10">
      <c r="A348" s="487" t="s">
        <v>2020</v>
      </c>
      <c r="F348" s="488"/>
      <c r="G348" s="488"/>
      <c r="I348" s="489"/>
    </row>
    <row r="349" spans="1:10">
      <c r="A349" s="471" t="s">
        <v>2021</v>
      </c>
      <c r="F349" s="488"/>
      <c r="G349" s="488"/>
      <c r="I349" s="489"/>
    </row>
    <row r="350" spans="1:10">
      <c r="A350" s="471" t="s">
        <v>2022</v>
      </c>
      <c r="F350" s="488"/>
      <c r="G350" s="488"/>
      <c r="I350" s="489"/>
    </row>
    <row r="351" spans="1:10">
      <c r="A351" s="471" t="s">
        <v>2023</v>
      </c>
      <c r="F351" s="488"/>
      <c r="G351" s="488"/>
      <c r="I351" s="489"/>
    </row>
    <row r="352" spans="1:10">
      <c r="A352" s="487" t="s">
        <v>2024</v>
      </c>
      <c r="F352" s="488"/>
      <c r="G352" s="488"/>
      <c r="H352" s="487"/>
      <c r="I352" s="489"/>
    </row>
    <row r="353" spans="1:9">
      <c r="A353" s="471" t="s">
        <v>1929</v>
      </c>
      <c r="F353" s="488"/>
      <c r="G353" s="488"/>
      <c r="H353" s="487"/>
      <c r="I353" s="489"/>
    </row>
    <row r="354" spans="1:9">
      <c r="A354" s="471" t="s">
        <v>2025</v>
      </c>
      <c r="F354" s="488"/>
      <c r="G354" s="488"/>
      <c r="H354" s="487"/>
      <c r="I354" s="489"/>
    </row>
    <row r="355" spans="1:9">
      <c r="A355" s="471" t="s">
        <v>2026</v>
      </c>
      <c r="F355" s="488"/>
      <c r="G355" s="488"/>
      <c r="H355" s="487"/>
      <c r="I355" s="504"/>
    </row>
    <row r="356" spans="1:9">
      <c r="H356" s="487"/>
      <c r="I356" s="487"/>
    </row>
    <row r="357" spans="1:9">
      <c r="H357" s="487"/>
      <c r="I357" s="487"/>
    </row>
    <row r="358" spans="1:9">
      <c r="H358" s="487"/>
      <c r="I358" s="487"/>
    </row>
    <row r="359" spans="1:9">
      <c r="H359" s="487"/>
      <c r="I359" s="487"/>
    </row>
    <row r="360" spans="1:9">
      <c r="H360" s="487"/>
      <c r="I360" s="487"/>
    </row>
    <row r="361" spans="1:9">
      <c r="H361" s="487"/>
      <c r="I361" s="487"/>
    </row>
    <row r="362" spans="1:9">
      <c r="H362" s="487"/>
      <c r="I362" s="487"/>
    </row>
    <row r="363" spans="1:9">
      <c r="H363" s="487"/>
      <c r="I363" s="487"/>
    </row>
    <row r="364" spans="1:9">
      <c r="H364" s="487"/>
      <c r="I364" s="487"/>
    </row>
    <row r="365" spans="1:9">
      <c r="H365" s="487"/>
      <c r="I365" s="487"/>
    </row>
    <row r="366" spans="1:9">
      <c r="H366" s="487"/>
      <c r="I366" s="487"/>
    </row>
    <row r="367" spans="1:9">
      <c r="H367" s="487"/>
      <c r="I367" s="487"/>
    </row>
    <row r="368" spans="1:9" ht="13.5" thickBot="1">
      <c r="H368" s="487"/>
      <c r="I368" s="487"/>
    </row>
    <row r="369" spans="1:10" ht="13.5" thickBot="1">
      <c r="A369" s="490" t="s">
        <v>1918</v>
      </c>
      <c r="C369" s="471" t="s">
        <v>1919</v>
      </c>
      <c r="G369" s="487" t="s">
        <v>2027</v>
      </c>
      <c r="I369" s="491">
        <f>SUM(I347:I368)</f>
        <v>0</v>
      </c>
      <c r="J369" s="471" t="s">
        <v>1921</v>
      </c>
    </row>
    <row r="370" spans="1:10">
      <c r="A370" s="482"/>
      <c r="B370" s="482"/>
      <c r="C370" s="482"/>
      <c r="D370" s="482"/>
      <c r="E370" s="482"/>
      <c r="F370" s="482"/>
      <c r="G370" s="482"/>
    </row>
    <row r="371" spans="1:10" ht="13.5" thickBot="1"/>
    <row r="372" spans="1:10" ht="21" thickBot="1">
      <c r="A372" s="517" t="s">
        <v>1821</v>
      </c>
      <c r="B372" s="518" t="s">
        <v>2134</v>
      </c>
      <c r="C372" s="519"/>
      <c r="D372" s="519"/>
      <c r="E372" s="519"/>
      <c r="F372" s="519"/>
      <c r="G372" s="519"/>
    </row>
    <row r="373" spans="1:10" ht="15.75" thickBot="1">
      <c r="A373" s="520" t="s">
        <v>1899</v>
      </c>
      <c r="B373" s="521"/>
      <c r="C373" s="521"/>
      <c r="D373" s="521"/>
      <c r="E373" s="521"/>
      <c r="F373" s="522" t="s">
        <v>1900</v>
      </c>
      <c r="G373" s="522" t="s">
        <v>1901</v>
      </c>
      <c r="I373" s="486" t="s">
        <v>1902</v>
      </c>
    </row>
    <row r="374" spans="1:10" ht="15.75" thickTop="1">
      <c r="A374" t="s">
        <v>2135</v>
      </c>
      <c r="B374"/>
      <c r="C374"/>
      <c r="D374"/>
      <c r="E374"/>
      <c r="F374" s="523" t="s">
        <v>79</v>
      </c>
      <c r="G374" s="523" t="s">
        <v>79</v>
      </c>
      <c r="I374" s="489"/>
    </row>
    <row r="375" spans="1:10" ht="15">
      <c r="A375" s="524" t="s">
        <v>2136</v>
      </c>
      <c r="B375"/>
      <c r="C375"/>
      <c r="D375"/>
      <c r="E375"/>
      <c r="F375" s="523"/>
      <c r="G375" s="523"/>
      <c r="I375" s="489"/>
    </row>
    <row r="376" spans="1:10" ht="15">
      <c r="A376" s="525" t="s">
        <v>2137</v>
      </c>
      <c r="B376"/>
      <c r="C376"/>
      <c r="D376"/>
      <c r="E376"/>
      <c r="F376" s="523"/>
      <c r="G376" s="523"/>
      <c r="I376" s="489"/>
    </row>
    <row r="377" spans="1:10" ht="15">
      <c r="A377" s="525" t="s">
        <v>2138</v>
      </c>
      <c r="B377"/>
      <c r="C377"/>
      <c r="D377"/>
      <c r="E377"/>
      <c r="F377" s="523"/>
      <c r="G377" s="523"/>
      <c r="I377" s="489"/>
    </row>
    <row r="378" spans="1:10" ht="15">
      <c r="A378"/>
      <c r="B378"/>
      <c r="C378"/>
      <c r="D378"/>
      <c r="E378"/>
      <c r="F378" s="523"/>
      <c r="G378" s="523"/>
    </row>
    <row r="379" spans="1:10" ht="15">
      <c r="A379"/>
      <c r="B379"/>
      <c r="C379"/>
      <c r="D379"/>
      <c r="E379"/>
      <c r="F379" s="523"/>
      <c r="G379" s="523"/>
    </row>
    <row r="380" spans="1:10" ht="15">
      <c r="A380"/>
      <c r="B380"/>
      <c r="C380"/>
      <c r="D380"/>
      <c r="E380"/>
      <c r="F380" s="523"/>
      <c r="G380" s="523"/>
    </row>
    <row r="381" spans="1:10" ht="15">
      <c r="A381"/>
      <c r="B381"/>
      <c r="C381"/>
      <c r="D381"/>
      <c r="E381"/>
      <c r="F381" s="523"/>
      <c r="G381" s="523"/>
    </row>
    <row r="382" spans="1:10" ht="15">
      <c r="A382"/>
      <c r="B382"/>
      <c r="C382"/>
      <c r="D382"/>
      <c r="E382"/>
      <c r="F382" s="523"/>
      <c r="G382" s="523"/>
    </row>
    <row r="383" spans="1:10" ht="15">
      <c r="A383"/>
      <c r="B383"/>
      <c r="C383"/>
      <c r="D383"/>
      <c r="E383"/>
      <c r="F383" s="523"/>
      <c r="G383" s="523"/>
    </row>
    <row r="384" spans="1:10" ht="15">
      <c r="A384"/>
      <c r="B384"/>
      <c r="C384"/>
      <c r="D384"/>
      <c r="E384"/>
      <c r="F384" s="523"/>
      <c r="G384" s="523"/>
    </row>
    <row r="385" spans="1:10" ht="15">
      <c r="A385"/>
      <c r="B385"/>
      <c r="C385"/>
      <c r="D385"/>
      <c r="E385"/>
      <c r="F385" s="523"/>
      <c r="G385" s="523"/>
    </row>
    <row r="386" spans="1:10" ht="15">
      <c r="A386"/>
      <c r="B386"/>
      <c r="C386"/>
      <c r="D386"/>
      <c r="E386"/>
      <c r="F386" s="523"/>
      <c r="G386" s="523"/>
    </row>
    <row r="387" spans="1:10" ht="15">
      <c r="A387"/>
      <c r="B387"/>
      <c r="C387"/>
      <c r="D387"/>
      <c r="E387"/>
      <c r="F387" s="523"/>
      <c r="G387" s="523"/>
    </row>
    <row r="388" spans="1:10" ht="15">
      <c r="A388"/>
      <c r="B388"/>
      <c r="C388"/>
      <c r="D388"/>
      <c r="E388"/>
      <c r="F388" s="523"/>
      <c r="G388" s="523"/>
    </row>
    <row r="389" spans="1:10" ht="15">
      <c r="A389"/>
      <c r="B389"/>
      <c r="C389"/>
      <c r="D389"/>
      <c r="E389"/>
      <c r="F389" s="523"/>
      <c r="G389" s="523"/>
    </row>
    <row r="390" spans="1:10" ht="15">
      <c r="A390"/>
      <c r="B390"/>
      <c r="C390"/>
      <c r="D390"/>
      <c r="E390"/>
      <c r="F390" s="523"/>
      <c r="G390" s="523"/>
    </row>
    <row r="391" spans="1:10" ht="15">
      <c r="A391"/>
      <c r="B391"/>
      <c r="C391"/>
      <c r="D391"/>
      <c r="E391"/>
      <c r="F391" s="523"/>
      <c r="G391" s="523"/>
    </row>
    <row r="392" spans="1:10" ht="15">
      <c r="A392" s="524"/>
      <c r="B392"/>
      <c r="C392"/>
      <c r="D392"/>
      <c r="E392"/>
      <c r="F392" s="523"/>
      <c r="G392" s="523"/>
    </row>
    <row r="393" spans="1:10" ht="15">
      <c r="A393"/>
      <c r="B393"/>
      <c r="C393"/>
      <c r="D393"/>
      <c r="E393"/>
      <c r="F393" s="523"/>
      <c r="G393" s="523"/>
    </row>
    <row r="394" spans="1:10" ht="15">
      <c r="A394"/>
      <c r="B394"/>
      <c r="C394"/>
      <c r="D394"/>
      <c r="E394"/>
      <c r="F394" s="523"/>
      <c r="G394" s="523"/>
    </row>
    <row r="395" spans="1:10" ht="15">
      <c r="A395"/>
      <c r="B395"/>
      <c r="C395"/>
      <c r="D395"/>
      <c r="E395"/>
      <c r="F395" s="523"/>
      <c r="G395" s="523"/>
    </row>
    <row r="396" spans="1:10" ht="15">
      <c r="A396"/>
      <c r="B396"/>
      <c r="C396"/>
      <c r="D396"/>
      <c r="E396"/>
      <c r="F396" s="526"/>
      <c r="G396" s="526"/>
    </row>
    <row r="397" spans="1:10" ht="15.75" thickBot="1">
      <c r="A397"/>
      <c r="B397"/>
      <c r="C397"/>
      <c r="D397"/>
      <c r="E397"/>
      <c r="F397" s="526"/>
      <c r="G397" s="526"/>
    </row>
    <row r="398" spans="1:10" ht="15.75" thickBot="1">
      <c r="A398" s="527" t="s">
        <v>1918</v>
      </c>
      <c r="B398"/>
      <c r="C398" t="s">
        <v>2017</v>
      </c>
      <c r="D398"/>
      <c r="E398"/>
      <c r="F398"/>
      <c r="G398" s="524" t="s">
        <v>2139</v>
      </c>
      <c r="I398" s="491">
        <f>SUM(I374:I397)</f>
        <v>0</v>
      </c>
      <c r="J398" s="471" t="s">
        <v>1921</v>
      </c>
    </row>
    <row r="399" spans="1:10" ht="15">
      <c r="A399" s="519"/>
      <c r="B399" s="519"/>
      <c r="C399" s="519"/>
      <c r="D399" s="519"/>
      <c r="E399" s="519"/>
      <c r="F399" s="519"/>
      <c r="G399" s="519"/>
    </row>
    <row r="400" spans="1:10" ht="15.75" thickBot="1">
      <c r="A400"/>
      <c r="B400"/>
      <c r="C400"/>
      <c r="D400"/>
      <c r="E400"/>
      <c r="F400"/>
      <c r="G400"/>
    </row>
    <row r="401" spans="1:9" ht="21" thickBot="1">
      <c r="A401" s="517" t="s">
        <v>1824</v>
      </c>
      <c r="B401" s="518" t="s">
        <v>2140</v>
      </c>
      <c r="C401" s="519"/>
      <c r="D401" s="519"/>
      <c r="E401" s="519"/>
      <c r="F401" s="519"/>
      <c r="G401" s="519"/>
    </row>
    <row r="402" spans="1:9" ht="15.75" thickBot="1">
      <c r="A402" s="520" t="s">
        <v>1899</v>
      </c>
      <c r="B402" s="521"/>
      <c r="C402" s="521"/>
      <c r="D402" s="521"/>
      <c r="E402" s="521"/>
      <c r="F402" s="522" t="s">
        <v>1900</v>
      </c>
      <c r="G402" s="522" t="s">
        <v>1901</v>
      </c>
      <c r="I402" s="486" t="s">
        <v>1902</v>
      </c>
    </row>
    <row r="403" spans="1:9" ht="15.75" thickTop="1">
      <c r="A403" t="s">
        <v>2141</v>
      </c>
      <c r="B403"/>
      <c r="C403"/>
      <c r="D403"/>
      <c r="E403"/>
      <c r="F403" s="523" t="s">
        <v>79</v>
      </c>
      <c r="G403" s="523" t="s">
        <v>79</v>
      </c>
      <c r="I403" s="489"/>
    </row>
    <row r="404" spans="1:9" ht="15">
      <c r="A404" s="524" t="s">
        <v>2142</v>
      </c>
      <c r="B404"/>
      <c r="C404"/>
      <c r="D404"/>
      <c r="E404"/>
      <c r="F404" s="523"/>
      <c r="G404" s="523"/>
      <c r="I404" s="489"/>
    </row>
    <row r="405" spans="1:9" ht="15">
      <c r="A405" s="525" t="s">
        <v>2143</v>
      </c>
      <c r="B405"/>
      <c r="C405"/>
      <c r="D405"/>
      <c r="E405"/>
      <c r="F405" s="523"/>
      <c r="G405" s="523"/>
      <c r="I405" s="489"/>
    </row>
    <row r="406" spans="1:9" ht="15">
      <c r="A406"/>
      <c r="B406"/>
      <c r="C406"/>
      <c r="D406"/>
      <c r="E406"/>
      <c r="F406" s="523"/>
      <c r="G406" s="523"/>
    </row>
    <row r="407" spans="1:9" ht="15">
      <c r="A407"/>
      <c r="B407"/>
      <c r="C407"/>
      <c r="D407"/>
      <c r="E407"/>
      <c r="F407" s="523"/>
      <c r="G407" s="523"/>
    </row>
    <row r="408" spans="1:9" ht="15">
      <c r="A408"/>
      <c r="B408"/>
      <c r="C408"/>
      <c r="D408"/>
      <c r="E408"/>
      <c r="F408" s="523"/>
      <c r="G408" s="523"/>
    </row>
    <row r="409" spans="1:9" ht="15">
      <c r="A409"/>
      <c r="B409"/>
      <c r="C409"/>
      <c r="D409"/>
      <c r="E409"/>
      <c r="F409" s="523"/>
      <c r="G409" s="523"/>
    </row>
    <row r="410" spans="1:9" ht="15">
      <c r="A410"/>
      <c r="B410"/>
      <c r="C410"/>
      <c r="D410"/>
      <c r="E410"/>
      <c r="F410" s="523"/>
      <c r="G410" s="523"/>
    </row>
    <row r="411" spans="1:9" ht="15">
      <c r="A411"/>
      <c r="B411"/>
      <c r="C411"/>
      <c r="D411"/>
      <c r="E411"/>
      <c r="F411" s="523"/>
      <c r="G411" s="523"/>
    </row>
    <row r="412" spans="1:9" ht="15">
      <c r="A412"/>
      <c r="B412"/>
      <c r="C412"/>
      <c r="D412"/>
      <c r="E412"/>
      <c r="F412" s="523"/>
      <c r="G412" s="523"/>
    </row>
    <row r="413" spans="1:9" ht="15">
      <c r="A413"/>
      <c r="B413"/>
      <c r="C413"/>
      <c r="D413"/>
      <c r="E413"/>
      <c r="F413" s="523"/>
      <c r="G413" s="523"/>
    </row>
    <row r="414" spans="1:9" ht="15">
      <c r="A414"/>
      <c r="B414"/>
      <c r="C414"/>
      <c r="D414"/>
      <c r="E414"/>
      <c r="F414" s="523"/>
      <c r="G414" s="523"/>
    </row>
    <row r="415" spans="1:9" ht="15">
      <c r="A415"/>
      <c r="B415"/>
      <c r="C415"/>
      <c r="D415"/>
      <c r="E415"/>
      <c r="F415" s="523"/>
      <c r="G415" s="523"/>
    </row>
    <row r="416" spans="1:9" ht="15">
      <c r="A416"/>
      <c r="B416"/>
      <c r="C416"/>
      <c r="D416"/>
      <c r="E416"/>
      <c r="F416" s="523"/>
      <c r="G416" s="523"/>
    </row>
    <row r="417" spans="1:10" ht="15">
      <c r="A417"/>
      <c r="B417"/>
      <c r="C417"/>
      <c r="D417"/>
      <c r="E417"/>
      <c r="F417" s="523"/>
      <c r="G417" s="523"/>
    </row>
    <row r="418" spans="1:10" ht="15">
      <c r="A418"/>
      <c r="B418"/>
      <c r="C418"/>
      <c r="D418"/>
      <c r="E418"/>
      <c r="F418" s="523"/>
      <c r="G418" s="523"/>
    </row>
    <row r="419" spans="1:10" ht="15.75" thickBot="1">
      <c r="A419"/>
      <c r="B419"/>
      <c r="C419"/>
      <c r="D419"/>
      <c r="E419"/>
      <c r="F419" s="523"/>
      <c r="G419" s="523"/>
    </row>
    <row r="420" spans="1:10" ht="15.75" thickBot="1">
      <c r="A420" s="527" t="s">
        <v>1918</v>
      </c>
      <c r="B420"/>
      <c r="C420" t="s">
        <v>1919</v>
      </c>
      <c r="D420"/>
      <c r="E420"/>
      <c r="F420"/>
      <c r="G420" s="524" t="s">
        <v>2144</v>
      </c>
      <c r="I420" s="491">
        <f>SUM(I403:I419)</f>
        <v>0</v>
      </c>
      <c r="J420" s="471" t="s">
        <v>1921</v>
      </c>
    </row>
    <row r="421" spans="1:10" ht="15">
      <c r="A421" s="519"/>
      <c r="B421" s="519"/>
      <c r="C421" s="519"/>
      <c r="D421" s="519"/>
      <c r="E421" s="519"/>
      <c r="F421" s="519"/>
      <c r="G421" s="519"/>
    </row>
  </sheetData>
  <pageMargins left="0.78740157499999996" right="0.78740157499999996" top="0.984251969" bottom="0.984251969" header="0.4921259845" footer="0.492125984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6FE9D-0E16-47DD-A256-77DA25E114FF}">
  <sheetPr>
    <tabColor theme="2" tint="-0.249977111117893"/>
  </sheetPr>
  <dimension ref="B2:C11"/>
  <sheetViews>
    <sheetView workbookViewId="0">
      <selection activeCell="G50" sqref="G50"/>
    </sheetView>
  </sheetViews>
  <sheetFormatPr defaultRowHeight="12.75"/>
  <cols>
    <col min="1" max="16384" width="9.140625" style="371"/>
  </cols>
  <sheetData>
    <row r="2" spans="2:3" ht="23.25">
      <c r="B2" s="505" t="s">
        <v>2028</v>
      </c>
    </row>
    <row r="4" spans="2:3" ht="13.5" thickBot="1"/>
    <row r="5" spans="2:3" ht="16.5" thickBot="1">
      <c r="B5" s="506"/>
      <c r="C5" s="377" t="s">
        <v>2029</v>
      </c>
    </row>
    <row r="6" spans="2:3" ht="13.5" thickBot="1"/>
    <row r="7" spans="2:3" ht="13.5" thickBot="1">
      <c r="B7" s="507"/>
      <c r="C7" s="371" t="s">
        <v>2030</v>
      </c>
    </row>
    <row r="8" spans="2:3" ht="13.5" thickBot="1"/>
    <row r="9" spans="2:3" ht="13.5" thickBot="1">
      <c r="B9" s="508"/>
      <c r="C9" s="371" t="s">
        <v>2031</v>
      </c>
    </row>
    <row r="10" spans="2:3" ht="13.5" thickBot="1"/>
    <row r="11" spans="2:3" ht="13.5" thickBot="1">
      <c r="B11" s="509"/>
      <c r="C11" s="371" t="s">
        <v>2032</v>
      </c>
    </row>
  </sheetData>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7014C-913A-43FE-9DD3-BB0C991898C9}">
  <sheetPr>
    <tabColor theme="2" tint="-0.249977111117893"/>
  </sheetPr>
  <dimension ref="A1:D116"/>
  <sheetViews>
    <sheetView workbookViewId="0">
      <selection activeCell="G50" sqref="G50"/>
    </sheetView>
  </sheetViews>
  <sheetFormatPr defaultRowHeight="12.75"/>
  <cols>
    <col min="1" max="1" width="4.28515625" style="371" customWidth="1"/>
    <col min="2" max="2" width="9.85546875" style="371" customWidth="1"/>
    <col min="3" max="3" width="44.28515625" style="371" customWidth="1"/>
    <col min="4" max="4" width="6.140625" style="371" customWidth="1"/>
    <col min="5" max="256" width="9.140625" style="371"/>
    <col min="257" max="257" width="4.28515625" style="371" customWidth="1"/>
    <col min="258" max="258" width="9.85546875" style="371" customWidth="1"/>
    <col min="259" max="259" width="44.28515625" style="371" customWidth="1"/>
    <col min="260" max="260" width="6.140625" style="371" customWidth="1"/>
    <col min="261" max="512" width="9.140625" style="371"/>
    <col min="513" max="513" width="4.28515625" style="371" customWidth="1"/>
    <col min="514" max="514" width="9.85546875" style="371" customWidth="1"/>
    <col min="515" max="515" width="44.28515625" style="371" customWidth="1"/>
    <col min="516" max="516" width="6.140625" style="371" customWidth="1"/>
    <col min="517" max="768" width="9.140625" style="371"/>
    <col min="769" max="769" width="4.28515625" style="371" customWidth="1"/>
    <col min="770" max="770" width="9.85546875" style="371" customWidth="1"/>
    <col min="771" max="771" width="44.28515625" style="371" customWidth="1"/>
    <col min="772" max="772" width="6.140625" style="371" customWidth="1"/>
    <col min="773" max="1024" width="9.140625" style="371"/>
    <col min="1025" max="1025" width="4.28515625" style="371" customWidth="1"/>
    <col min="1026" max="1026" width="9.85546875" style="371" customWidth="1"/>
    <col min="1027" max="1027" width="44.28515625" style="371" customWidth="1"/>
    <col min="1028" max="1028" width="6.140625" style="371" customWidth="1"/>
    <col min="1029" max="1280" width="9.140625" style="371"/>
    <col min="1281" max="1281" width="4.28515625" style="371" customWidth="1"/>
    <col min="1282" max="1282" width="9.85546875" style="371" customWidth="1"/>
    <col min="1283" max="1283" width="44.28515625" style="371" customWidth="1"/>
    <col min="1284" max="1284" width="6.140625" style="371" customWidth="1"/>
    <col min="1285" max="1536" width="9.140625" style="371"/>
    <col min="1537" max="1537" width="4.28515625" style="371" customWidth="1"/>
    <col min="1538" max="1538" width="9.85546875" style="371" customWidth="1"/>
    <col min="1539" max="1539" width="44.28515625" style="371" customWidth="1"/>
    <col min="1540" max="1540" width="6.140625" style="371" customWidth="1"/>
    <col min="1541" max="1792" width="9.140625" style="371"/>
    <col min="1793" max="1793" width="4.28515625" style="371" customWidth="1"/>
    <col min="1794" max="1794" width="9.85546875" style="371" customWidth="1"/>
    <col min="1795" max="1795" width="44.28515625" style="371" customWidth="1"/>
    <col min="1796" max="1796" width="6.140625" style="371" customWidth="1"/>
    <col min="1797" max="2048" width="9.140625" style="371"/>
    <col min="2049" max="2049" width="4.28515625" style="371" customWidth="1"/>
    <col min="2050" max="2050" width="9.85546875" style="371" customWidth="1"/>
    <col min="2051" max="2051" width="44.28515625" style="371" customWidth="1"/>
    <col min="2052" max="2052" width="6.140625" style="371" customWidth="1"/>
    <col min="2053" max="2304" width="9.140625" style="371"/>
    <col min="2305" max="2305" width="4.28515625" style="371" customWidth="1"/>
    <col min="2306" max="2306" width="9.85546875" style="371" customWidth="1"/>
    <col min="2307" max="2307" width="44.28515625" style="371" customWidth="1"/>
    <col min="2308" max="2308" width="6.140625" style="371" customWidth="1"/>
    <col min="2309" max="2560" width="9.140625" style="371"/>
    <col min="2561" max="2561" width="4.28515625" style="371" customWidth="1"/>
    <col min="2562" max="2562" width="9.85546875" style="371" customWidth="1"/>
    <col min="2563" max="2563" width="44.28515625" style="371" customWidth="1"/>
    <col min="2564" max="2564" width="6.140625" style="371" customWidth="1"/>
    <col min="2565" max="2816" width="9.140625" style="371"/>
    <col min="2817" max="2817" width="4.28515625" style="371" customWidth="1"/>
    <col min="2818" max="2818" width="9.85546875" style="371" customWidth="1"/>
    <col min="2819" max="2819" width="44.28515625" style="371" customWidth="1"/>
    <col min="2820" max="2820" width="6.140625" style="371" customWidth="1"/>
    <col min="2821" max="3072" width="9.140625" style="371"/>
    <col min="3073" max="3073" width="4.28515625" style="371" customWidth="1"/>
    <col min="3074" max="3074" width="9.85546875" style="371" customWidth="1"/>
    <col min="3075" max="3075" width="44.28515625" style="371" customWidth="1"/>
    <col min="3076" max="3076" width="6.140625" style="371" customWidth="1"/>
    <col min="3077" max="3328" width="9.140625" style="371"/>
    <col min="3329" max="3329" width="4.28515625" style="371" customWidth="1"/>
    <col min="3330" max="3330" width="9.85546875" style="371" customWidth="1"/>
    <col min="3331" max="3331" width="44.28515625" style="371" customWidth="1"/>
    <col min="3332" max="3332" width="6.140625" style="371" customWidth="1"/>
    <col min="3333" max="3584" width="9.140625" style="371"/>
    <col min="3585" max="3585" width="4.28515625" style="371" customWidth="1"/>
    <col min="3586" max="3586" width="9.85546875" style="371" customWidth="1"/>
    <col min="3587" max="3587" width="44.28515625" style="371" customWidth="1"/>
    <col min="3588" max="3588" width="6.140625" style="371" customWidth="1"/>
    <col min="3589" max="3840" width="9.140625" style="371"/>
    <col min="3841" max="3841" width="4.28515625" style="371" customWidth="1"/>
    <col min="3842" max="3842" width="9.85546875" style="371" customWidth="1"/>
    <col min="3843" max="3843" width="44.28515625" style="371" customWidth="1"/>
    <col min="3844" max="3844" width="6.140625" style="371" customWidth="1"/>
    <col min="3845" max="4096" width="9.140625" style="371"/>
    <col min="4097" max="4097" width="4.28515625" style="371" customWidth="1"/>
    <col min="4098" max="4098" width="9.85546875" style="371" customWidth="1"/>
    <col min="4099" max="4099" width="44.28515625" style="371" customWidth="1"/>
    <col min="4100" max="4100" width="6.140625" style="371" customWidth="1"/>
    <col min="4101" max="4352" width="9.140625" style="371"/>
    <col min="4353" max="4353" width="4.28515625" style="371" customWidth="1"/>
    <col min="4354" max="4354" width="9.85546875" style="371" customWidth="1"/>
    <col min="4355" max="4355" width="44.28515625" style="371" customWidth="1"/>
    <col min="4356" max="4356" width="6.140625" style="371" customWidth="1"/>
    <col min="4357" max="4608" width="9.140625" style="371"/>
    <col min="4609" max="4609" width="4.28515625" style="371" customWidth="1"/>
    <col min="4610" max="4610" width="9.85546875" style="371" customWidth="1"/>
    <col min="4611" max="4611" width="44.28515625" style="371" customWidth="1"/>
    <col min="4612" max="4612" width="6.140625" style="371" customWidth="1"/>
    <col min="4613" max="4864" width="9.140625" style="371"/>
    <col min="4865" max="4865" width="4.28515625" style="371" customWidth="1"/>
    <col min="4866" max="4866" width="9.85546875" style="371" customWidth="1"/>
    <col min="4867" max="4867" width="44.28515625" style="371" customWidth="1"/>
    <col min="4868" max="4868" width="6.140625" style="371" customWidth="1"/>
    <col min="4869" max="5120" width="9.140625" style="371"/>
    <col min="5121" max="5121" width="4.28515625" style="371" customWidth="1"/>
    <col min="5122" max="5122" width="9.85546875" style="371" customWidth="1"/>
    <col min="5123" max="5123" width="44.28515625" style="371" customWidth="1"/>
    <col min="5124" max="5124" width="6.140625" style="371" customWidth="1"/>
    <col min="5125" max="5376" width="9.140625" style="371"/>
    <col min="5377" max="5377" width="4.28515625" style="371" customWidth="1"/>
    <col min="5378" max="5378" width="9.85546875" style="371" customWidth="1"/>
    <col min="5379" max="5379" width="44.28515625" style="371" customWidth="1"/>
    <col min="5380" max="5380" width="6.140625" style="371" customWidth="1"/>
    <col min="5381" max="5632" width="9.140625" style="371"/>
    <col min="5633" max="5633" width="4.28515625" style="371" customWidth="1"/>
    <col min="5634" max="5634" width="9.85546875" style="371" customWidth="1"/>
    <col min="5635" max="5635" width="44.28515625" style="371" customWidth="1"/>
    <col min="5636" max="5636" width="6.140625" style="371" customWidth="1"/>
    <col min="5637" max="5888" width="9.140625" style="371"/>
    <col min="5889" max="5889" width="4.28515625" style="371" customWidth="1"/>
    <col min="5890" max="5890" width="9.85546875" style="371" customWidth="1"/>
    <col min="5891" max="5891" width="44.28515625" style="371" customWidth="1"/>
    <col min="5892" max="5892" width="6.140625" style="371" customWidth="1"/>
    <col min="5893" max="6144" width="9.140625" style="371"/>
    <col min="6145" max="6145" width="4.28515625" style="371" customWidth="1"/>
    <col min="6146" max="6146" width="9.85546875" style="371" customWidth="1"/>
    <col min="6147" max="6147" width="44.28515625" style="371" customWidth="1"/>
    <col min="6148" max="6148" width="6.140625" style="371" customWidth="1"/>
    <col min="6149" max="6400" width="9.140625" style="371"/>
    <col min="6401" max="6401" width="4.28515625" style="371" customWidth="1"/>
    <col min="6402" max="6402" width="9.85546875" style="371" customWidth="1"/>
    <col min="6403" max="6403" width="44.28515625" style="371" customWidth="1"/>
    <col min="6404" max="6404" width="6.140625" style="371" customWidth="1"/>
    <col min="6405" max="6656" width="9.140625" style="371"/>
    <col min="6657" max="6657" width="4.28515625" style="371" customWidth="1"/>
    <col min="6658" max="6658" width="9.85546875" style="371" customWidth="1"/>
    <col min="6659" max="6659" width="44.28515625" style="371" customWidth="1"/>
    <col min="6660" max="6660" width="6.140625" style="371" customWidth="1"/>
    <col min="6661" max="6912" width="9.140625" style="371"/>
    <col min="6913" max="6913" width="4.28515625" style="371" customWidth="1"/>
    <col min="6914" max="6914" width="9.85546875" style="371" customWidth="1"/>
    <col min="6915" max="6915" width="44.28515625" style="371" customWidth="1"/>
    <col min="6916" max="6916" width="6.140625" style="371" customWidth="1"/>
    <col min="6917" max="7168" width="9.140625" style="371"/>
    <col min="7169" max="7169" width="4.28515625" style="371" customWidth="1"/>
    <col min="7170" max="7170" width="9.85546875" style="371" customWidth="1"/>
    <col min="7171" max="7171" width="44.28515625" style="371" customWidth="1"/>
    <col min="7172" max="7172" width="6.140625" style="371" customWidth="1"/>
    <col min="7173" max="7424" width="9.140625" style="371"/>
    <col min="7425" max="7425" width="4.28515625" style="371" customWidth="1"/>
    <col min="7426" max="7426" width="9.85546875" style="371" customWidth="1"/>
    <col min="7427" max="7427" width="44.28515625" style="371" customWidth="1"/>
    <col min="7428" max="7428" width="6.140625" style="371" customWidth="1"/>
    <col min="7429" max="7680" width="9.140625" style="371"/>
    <col min="7681" max="7681" width="4.28515625" style="371" customWidth="1"/>
    <col min="7682" max="7682" width="9.85546875" style="371" customWidth="1"/>
    <col min="7683" max="7683" width="44.28515625" style="371" customWidth="1"/>
    <col min="7684" max="7684" width="6.140625" style="371" customWidth="1"/>
    <col min="7685" max="7936" width="9.140625" style="371"/>
    <col min="7937" max="7937" width="4.28515625" style="371" customWidth="1"/>
    <col min="7938" max="7938" width="9.85546875" style="371" customWidth="1"/>
    <col min="7939" max="7939" width="44.28515625" style="371" customWidth="1"/>
    <col min="7940" max="7940" width="6.140625" style="371" customWidth="1"/>
    <col min="7941" max="8192" width="9.140625" style="371"/>
    <col min="8193" max="8193" width="4.28515625" style="371" customWidth="1"/>
    <col min="8194" max="8194" width="9.85546875" style="371" customWidth="1"/>
    <col min="8195" max="8195" width="44.28515625" style="371" customWidth="1"/>
    <col min="8196" max="8196" width="6.140625" style="371" customWidth="1"/>
    <col min="8197" max="8448" width="9.140625" style="371"/>
    <col min="8449" max="8449" width="4.28515625" style="371" customWidth="1"/>
    <col min="8450" max="8450" width="9.85546875" style="371" customWidth="1"/>
    <col min="8451" max="8451" width="44.28515625" style="371" customWidth="1"/>
    <col min="8452" max="8452" width="6.140625" style="371" customWidth="1"/>
    <col min="8453" max="8704" width="9.140625" style="371"/>
    <col min="8705" max="8705" width="4.28515625" style="371" customWidth="1"/>
    <col min="8706" max="8706" width="9.85546875" style="371" customWidth="1"/>
    <col min="8707" max="8707" width="44.28515625" style="371" customWidth="1"/>
    <col min="8708" max="8708" width="6.140625" style="371" customWidth="1"/>
    <col min="8709" max="8960" width="9.140625" style="371"/>
    <col min="8961" max="8961" width="4.28515625" style="371" customWidth="1"/>
    <col min="8962" max="8962" width="9.85546875" style="371" customWidth="1"/>
    <col min="8963" max="8963" width="44.28515625" style="371" customWidth="1"/>
    <col min="8964" max="8964" width="6.140625" style="371" customWidth="1"/>
    <col min="8965" max="9216" width="9.140625" style="371"/>
    <col min="9217" max="9217" width="4.28515625" style="371" customWidth="1"/>
    <col min="9218" max="9218" width="9.85546875" style="371" customWidth="1"/>
    <col min="9219" max="9219" width="44.28515625" style="371" customWidth="1"/>
    <col min="9220" max="9220" width="6.140625" style="371" customWidth="1"/>
    <col min="9221" max="9472" width="9.140625" style="371"/>
    <col min="9473" max="9473" width="4.28515625" style="371" customWidth="1"/>
    <col min="9474" max="9474" width="9.85546875" style="371" customWidth="1"/>
    <col min="9475" max="9475" width="44.28515625" style="371" customWidth="1"/>
    <col min="9476" max="9476" width="6.140625" style="371" customWidth="1"/>
    <col min="9477" max="9728" width="9.140625" style="371"/>
    <col min="9729" max="9729" width="4.28515625" style="371" customWidth="1"/>
    <col min="9730" max="9730" width="9.85546875" style="371" customWidth="1"/>
    <col min="9731" max="9731" width="44.28515625" style="371" customWidth="1"/>
    <col min="9732" max="9732" width="6.140625" style="371" customWidth="1"/>
    <col min="9733" max="9984" width="9.140625" style="371"/>
    <col min="9985" max="9985" width="4.28515625" style="371" customWidth="1"/>
    <col min="9986" max="9986" width="9.85546875" style="371" customWidth="1"/>
    <col min="9987" max="9987" width="44.28515625" style="371" customWidth="1"/>
    <col min="9988" max="9988" width="6.140625" style="371" customWidth="1"/>
    <col min="9989" max="10240" width="9.140625" style="371"/>
    <col min="10241" max="10241" width="4.28515625" style="371" customWidth="1"/>
    <col min="10242" max="10242" width="9.85546875" style="371" customWidth="1"/>
    <col min="10243" max="10243" width="44.28515625" style="371" customWidth="1"/>
    <col min="10244" max="10244" width="6.140625" style="371" customWidth="1"/>
    <col min="10245" max="10496" width="9.140625" style="371"/>
    <col min="10497" max="10497" width="4.28515625" style="371" customWidth="1"/>
    <col min="10498" max="10498" width="9.85546875" style="371" customWidth="1"/>
    <col min="10499" max="10499" width="44.28515625" style="371" customWidth="1"/>
    <col min="10500" max="10500" width="6.140625" style="371" customWidth="1"/>
    <col min="10501" max="10752" width="9.140625" style="371"/>
    <col min="10753" max="10753" width="4.28515625" style="371" customWidth="1"/>
    <col min="10754" max="10754" width="9.85546875" style="371" customWidth="1"/>
    <col min="10755" max="10755" width="44.28515625" style="371" customWidth="1"/>
    <col min="10756" max="10756" width="6.140625" style="371" customWidth="1"/>
    <col min="10757" max="11008" width="9.140625" style="371"/>
    <col min="11009" max="11009" width="4.28515625" style="371" customWidth="1"/>
    <col min="11010" max="11010" width="9.85546875" style="371" customWidth="1"/>
    <col min="11011" max="11011" width="44.28515625" style="371" customWidth="1"/>
    <col min="11012" max="11012" width="6.140625" style="371" customWidth="1"/>
    <col min="11013" max="11264" width="9.140625" style="371"/>
    <col min="11265" max="11265" width="4.28515625" style="371" customWidth="1"/>
    <col min="11266" max="11266" width="9.85546875" style="371" customWidth="1"/>
    <col min="11267" max="11267" width="44.28515625" style="371" customWidth="1"/>
    <col min="11268" max="11268" width="6.140625" style="371" customWidth="1"/>
    <col min="11269" max="11520" width="9.140625" style="371"/>
    <col min="11521" max="11521" width="4.28515625" style="371" customWidth="1"/>
    <col min="11522" max="11522" width="9.85546875" style="371" customWidth="1"/>
    <col min="11523" max="11523" width="44.28515625" style="371" customWidth="1"/>
    <col min="11524" max="11524" width="6.140625" style="371" customWidth="1"/>
    <col min="11525" max="11776" width="9.140625" style="371"/>
    <col min="11777" max="11777" width="4.28515625" style="371" customWidth="1"/>
    <col min="11778" max="11778" width="9.85546875" style="371" customWidth="1"/>
    <col min="11779" max="11779" width="44.28515625" style="371" customWidth="1"/>
    <col min="11780" max="11780" width="6.140625" style="371" customWidth="1"/>
    <col min="11781" max="12032" width="9.140625" style="371"/>
    <col min="12033" max="12033" width="4.28515625" style="371" customWidth="1"/>
    <col min="12034" max="12034" width="9.85546875" style="371" customWidth="1"/>
    <col min="12035" max="12035" width="44.28515625" style="371" customWidth="1"/>
    <col min="12036" max="12036" width="6.140625" style="371" customWidth="1"/>
    <col min="12037" max="12288" width="9.140625" style="371"/>
    <col min="12289" max="12289" width="4.28515625" style="371" customWidth="1"/>
    <col min="12290" max="12290" width="9.85546875" style="371" customWidth="1"/>
    <col min="12291" max="12291" width="44.28515625" style="371" customWidth="1"/>
    <col min="12292" max="12292" width="6.140625" style="371" customWidth="1"/>
    <col min="12293" max="12544" width="9.140625" style="371"/>
    <col min="12545" max="12545" width="4.28515625" style="371" customWidth="1"/>
    <col min="12546" max="12546" width="9.85546875" style="371" customWidth="1"/>
    <col min="12547" max="12547" width="44.28515625" style="371" customWidth="1"/>
    <col min="12548" max="12548" width="6.140625" style="371" customWidth="1"/>
    <col min="12549" max="12800" width="9.140625" style="371"/>
    <col min="12801" max="12801" width="4.28515625" style="371" customWidth="1"/>
    <col min="12802" max="12802" width="9.85546875" style="371" customWidth="1"/>
    <col min="12803" max="12803" width="44.28515625" style="371" customWidth="1"/>
    <col min="12804" max="12804" width="6.140625" style="371" customWidth="1"/>
    <col min="12805" max="13056" width="9.140625" style="371"/>
    <col min="13057" max="13057" width="4.28515625" style="371" customWidth="1"/>
    <col min="13058" max="13058" width="9.85546875" style="371" customWidth="1"/>
    <col min="13059" max="13059" width="44.28515625" style="371" customWidth="1"/>
    <col min="13060" max="13060" width="6.140625" style="371" customWidth="1"/>
    <col min="13061" max="13312" width="9.140625" style="371"/>
    <col min="13313" max="13313" width="4.28515625" style="371" customWidth="1"/>
    <col min="13314" max="13314" width="9.85546875" style="371" customWidth="1"/>
    <col min="13315" max="13315" width="44.28515625" style="371" customWidth="1"/>
    <col min="13316" max="13316" width="6.140625" style="371" customWidth="1"/>
    <col min="13317" max="13568" width="9.140625" style="371"/>
    <col min="13569" max="13569" width="4.28515625" style="371" customWidth="1"/>
    <col min="13570" max="13570" width="9.85546875" style="371" customWidth="1"/>
    <col min="13571" max="13571" width="44.28515625" style="371" customWidth="1"/>
    <col min="13572" max="13572" width="6.140625" style="371" customWidth="1"/>
    <col min="13573" max="13824" width="9.140625" style="371"/>
    <col min="13825" max="13825" width="4.28515625" style="371" customWidth="1"/>
    <col min="13826" max="13826" width="9.85546875" style="371" customWidth="1"/>
    <col min="13827" max="13827" width="44.28515625" style="371" customWidth="1"/>
    <col min="13828" max="13828" width="6.140625" style="371" customWidth="1"/>
    <col min="13829" max="14080" width="9.140625" style="371"/>
    <col min="14081" max="14081" width="4.28515625" style="371" customWidth="1"/>
    <col min="14082" max="14082" width="9.85546875" style="371" customWidth="1"/>
    <col min="14083" max="14083" width="44.28515625" style="371" customWidth="1"/>
    <col min="14084" max="14084" width="6.140625" style="371" customWidth="1"/>
    <col min="14085" max="14336" width="9.140625" style="371"/>
    <col min="14337" max="14337" width="4.28515625" style="371" customWidth="1"/>
    <col min="14338" max="14338" width="9.85546875" style="371" customWidth="1"/>
    <col min="14339" max="14339" width="44.28515625" style="371" customWidth="1"/>
    <col min="14340" max="14340" width="6.140625" style="371" customWidth="1"/>
    <col min="14341" max="14592" width="9.140625" style="371"/>
    <col min="14593" max="14593" width="4.28515625" style="371" customWidth="1"/>
    <col min="14594" max="14594" width="9.85546875" style="371" customWidth="1"/>
    <col min="14595" max="14595" width="44.28515625" style="371" customWidth="1"/>
    <col min="14596" max="14596" width="6.140625" style="371" customWidth="1"/>
    <col min="14597" max="14848" width="9.140625" style="371"/>
    <col min="14849" max="14849" width="4.28515625" style="371" customWidth="1"/>
    <col min="14850" max="14850" width="9.85546875" style="371" customWidth="1"/>
    <col min="14851" max="14851" width="44.28515625" style="371" customWidth="1"/>
    <col min="14852" max="14852" width="6.140625" style="371" customWidth="1"/>
    <col min="14853" max="15104" width="9.140625" style="371"/>
    <col min="15105" max="15105" width="4.28515625" style="371" customWidth="1"/>
    <col min="15106" max="15106" width="9.85546875" style="371" customWidth="1"/>
    <col min="15107" max="15107" width="44.28515625" style="371" customWidth="1"/>
    <col min="15108" max="15108" width="6.140625" style="371" customWidth="1"/>
    <col min="15109" max="15360" width="9.140625" style="371"/>
    <col min="15361" max="15361" width="4.28515625" style="371" customWidth="1"/>
    <col min="15362" max="15362" width="9.85546875" style="371" customWidth="1"/>
    <col min="15363" max="15363" width="44.28515625" style="371" customWidth="1"/>
    <col min="15364" max="15364" width="6.140625" style="371" customWidth="1"/>
    <col min="15365" max="15616" width="9.140625" style="371"/>
    <col min="15617" max="15617" width="4.28515625" style="371" customWidth="1"/>
    <col min="15618" max="15618" width="9.85546875" style="371" customWidth="1"/>
    <col min="15619" max="15619" width="44.28515625" style="371" customWidth="1"/>
    <col min="15620" max="15620" width="6.140625" style="371" customWidth="1"/>
    <col min="15621" max="15872" width="9.140625" style="371"/>
    <col min="15873" max="15873" width="4.28515625" style="371" customWidth="1"/>
    <col min="15874" max="15874" width="9.85546875" style="371" customWidth="1"/>
    <col min="15875" max="15875" width="44.28515625" style="371" customWidth="1"/>
    <col min="15876" max="15876" width="6.140625" style="371" customWidth="1"/>
    <col min="15877" max="16128" width="9.140625" style="371"/>
    <col min="16129" max="16129" width="4.28515625" style="371" customWidth="1"/>
    <col min="16130" max="16130" width="9.85546875" style="371" customWidth="1"/>
    <col min="16131" max="16131" width="44.28515625" style="371" customWidth="1"/>
    <col min="16132" max="16132" width="6.140625" style="371" customWidth="1"/>
    <col min="16133" max="16384" width="9.140625" style="371"/>
  </cols>
  <sheetData>
    <row r="1" spans="1:4" s="510" customFormat="1" ht="15"/>
    <row r="2" spans="1:4" s="510" customFormat="1" ht="30">
      <c r="A2" s="511"/>
      <c r="B2" s="512"/>
      <c r="C2" s="513" t="s">
        <v>2033</v>
      </c>
      <c r="D2" s="514"/>
    </row>
    <row r="3" spans="1:4" s="510" customFormat="1" ht="15">
      <c r="A3" s="511"/>
      <c r="B3" s="512"/>
      <c r="C3" s="513" t="s">
        <v>2034</v>
      </c>
      <c r="D3" s="514"/>
    </row>
    <row r="4" spans="1:4" s="510" customFormat="1" ht="15">
      <c r="A4" s="511"/>
      <c r="B4" s="512" t="s">
        <v>1579</v>
      </c>
      <c r="C4" s="515" t="s">
        <v>2035</v>
      </c>
      <c r="D4" s="514"/>
    </row>
    <row r="5" spans="1:4" s="510" customFormat="1" ht="15">
      <c r="A5" s="511"/>
      <c r="B5" s="512"/>
      <c r="C5" s="516" t="s">
        <v>2036</v>
      </c>
      <c r="D5" s="514" t="s">
        <v>805</v>
      </c>
    </row>
    <row r="6" spans="1:4" s="510" customFormat="1" ht="15">
      <c r="A6" s="511"/>
      <c r="B6" s="512"/>
      <c r="C6" s="516" t="s">
        <v>2037</v>
      </c>
      <c r="D6" s="514" t="s">
        <v>805</v>
      </c>
    </row>
    <row r="7" spans="1:4" s="510" customFormat="1" ht="15">
      <c r="A7" s="511"/>
      <c r="B7" s="512"/>
      <c r="C7" s="516" t="s">
        <v>2038</v>
      </c>
      <c r="D7" s="514" t="s">
        <v>805</v>
      </c>
    </row>
    <row r="8" spans="1:4" s="510" customFormat="1" ht="15">
      <c r="A8" s="511"/>
      <c r="B8" s="512"/>
      <c r="C8" s="516" t="s">
        <v>2039</v>
      </c>
      <c r="D8" s="514" t="s">
        <v>805</v>
      </c>
    </row>
    <row r="9" spans="1:4" s="510" customFormat="1" ht="15">
      <c r="A9" s="511"/>
      <c r="B9" s="512"/>
      <c r="C9" s="516" t="s">
        <v>2040</v>
      </c>
      <c r="D9" s="514" t="s">
        <v>805</v>
      </c>
    </row>
    <row r="10" spans="1:4" s="510" customFormat="1" ht="15">
      <c r="A10" s="511"/>
      <c r="B10" s="512"/>
      <c r="C10" s="516" t="s">
        <v>2041</v>
      </c>
      <c r="D10" s="514" t="s">
        <v>805</v>
      </c>
    </row>
    <row r="11" spans="1:4" s="510" customFormat="1" ht="15">
      <c r="A11" s="511"/>
      <c r="B11" s="512"/>
      <c r="C11" s="516" t="s">
        <v>2042</v>
      </c>
      <c r="D11" s="514" t="s">
        <v>805</v>
      </c>
    </row>
    <row r="12" spans="1:4" s="510" customFormat="1" ht="15">
      <c r="A12" s="511"/>
      <c r="B12" s="512"/>
      <c r="C12" s="516" t="s">
        <v>2043</v>
      </c>
      <c r="D12" s="514" t="s">
        <v>805</v>
      </c>
    </row>
    <row r="13" spans="1:4" s="510" customFormat="1" ht="15">
      <c r="A13" s="511"/>
      <c r="B13" s="512"/>
      <c r="C13" s="516" t="s">
        <v>2044</v>
      </c>
      <c r="D13" s="514" t="s">
        <v>805</v>
      </c>
    </row>
    <row r="14" spans="1:4" s="510" customFormat="1" ht="15">
      <c r="A14" s="511"/>
      <c r="B14" s="512"/>
      <c r="C14" s="516" t="s">
        <v>2045</v>
      </c>
      <c r="D14" s="514" t="s">
        <v>805</v>
      </c>
    </row>
    <row r="15" spans="1:4" s="510" customFormat="1" ht="15">
      <c r="A15" s="511"/>
      <c r="B15" s="512" t="s">
        <v>1581</v>
      </c>
      <c r="C15" s="515" t="s">
        <v>2046</v>
      </c>
      <c r="D15" s="514"/>
    </row>
    <row r="16" spans="1:4" s="510" customFormat="1" ht="15">
      <c r="A16" s="511"/>
      <c r="B16" s="512"/>
      <c r="C16" s="516" t="s">
        <v>2047</v>
      </c>
      <c r="D16" s="514" t="s">
        <v>805</v>
      </c>
    </row>
    <row r="17" spans="1:4" s="510" customFormat="1" ht="15">
      <c r="A17" s="511"/>
      <c r="B17" s="512"/>
      <c r="C17" s="516" t="s">
        <v>2048</v>
      </c>
      <c r="D17" s="514" t="s">
        <v>805</v>
      </c>
    </row>
    <row r="18" spans="1:4" s="510" customFormat="1" ht="15">
      <c r="A18" s="511"/>
      <c r="B18" s="512"/>
      <c r="C18" s="516" t="s">
        <v>2049</v>
      </c>
      <c r="D18" s="514" t="s">
        <v>805</v>
      </c>
    </row>
    <row r="19" spans="1:4" s="510" customFormat="1" ht="15">
      <c r="A19" s="511"/>
      <c r="B19" s="512"/>
      <c r="C19" s="516" t="s">
        <v>2050</v>
      </c>
      <c r="D19" s="514" t="s">
        <v>805</v>
      </c>
    </row>
    <row r="20" spans="1:4" s="510" customFormat="1" ht="15">
      <c r="A20" s="511"/>
      <c r="B20" s="512"/>
      <c r="C20" s="516" t="s">
        <v>2051</v>
      </c>
      <c r="D20" s="514" t="s">
        <v>805</v>
      </c>
    </row>
    <row r="21" spans="1:4" s="510" customFormat="1" ht="15">
      <c r="A21" s="511"/>
      <c r="B21" s="512"/>
      <c r="C21" s="516" t="s">
        <v>2052</v>
      </c>
      <c r="D21" s="514" t="s">
        <v>805</v>
      </c>
    </row>
    <row r="22" spans="1:4" s="510" customFormat="1" ht="15">
      <c r="A22" s="511"/>
      <c r="B22" s="512"/>
      <c r="C22" s="516" t="s">
        <v>2053</v>
      </c>
      <c r="D22" s="514" t="s">
        <v>805</v>
      </c>
    </row>
    <row r="23" spans="1:4" s="510" customFormat="1" ht="15">
      <c r="A23" s="511"/>
      <c r="B23" s="512"/>
      <c r="C23" s="516" t="s">
        <v>2054</v>
      </c>
      <c r="D23" s="514" t="s">
        <v>805</v>
      </c>
    </row>
    <row r="24" spans="1:4" s="510" customFormat="1" ht="15">
      <c r="A24" s="511"/>
      <c r="B24" s="512"/>
      <c r="C24" s="516" t="s">
        <v>2055</v>
      </c>
      <c r="D24" s="514" t="s">
        <v>805</v>
      </c>
    </row>
    <row r="25" spans="1:4" s="510" customFormat="1" ht="15">
      <c r="A25" s="511"/>
      <c r="B25" s="512"/>
      <c r="C25" s="516" t="s">
        <v>2056</v>
      </c>
      <c r="D25" s="514" t="s">
        <v>805</v>
      </c>
    </row>
    <row r="26" spans="1:4" s="510" customFormat="1" ht="15">
      <c r="A26" s="511"/>
      <c r="B26" s="512" t="s">
        <v>1586</v>
      </c>
      <c r="C26" s="515" t="s">
        <v>2057</v>
      </c>
      <c r="D26" s="514"/>
    </row>
    <row r="27" spans="1:4" s="510" customFormat="1" ht="15">
      <c r="A27" s="511"/>
      <c r="B27" s="512"/>
      <c r="C27" s="516" t="s">
        <v>2058</v>
      </c>
      <c r="D27" s="514" t="s">
        <v>805</v>
      </c>
    </row>
    <row r="28" spans="1:4" s="510" customFormat="1" ht="15">
      <c r="A28" s="511"/>
      <c r="B28" s="512"/>
      <c r="C28" s="516" t="s">
        <v>2059</v>
      </c>
      <c r="D28" s="514" t="s">
        <v>805</v>
      </c>
    </row>
    <row r="29" spans="1:4" s="510" customFormat="1" ht="15">
      <c r="A29" s="511"/>
      <c r="B29" s="512"/>
      <c r="C29" s="516" t="s">
        <v>2060</v>
      </c>
      <c r="D29" s="514" t="s">
        <v>805</v>
      </c>
    </row>
    <row r="30" spans="1:4" s="510" customFormat="1" ht="15">
      <c r="A30" s="511"/>
      <c r="B30" s="512"/>
      <c r="C30" s="516" t="s">
        <v>2061</v>
      </c>
      <c r="D30" s="514" t="s">
        <v>805</v>
      </c>
    </row>
    <row r="31" spans="1:4" s="510" customFormat="1" ht="15">
      <c r="A31" s="511"/>
      <c r="B31" s="512"/>
      <c r="C31" s="516" t="s">
        <v>2062</v>
      </c>
      <c r="D31" s="514" t="s">
        <v>805</v>
      </c>
    </row>
    <row r="32" spans="1:4" s="510" customFormat="1" ht="15">
      <c r="A32" s="511"/>
      <c r="B32" s="512"/>
      <c r="C32" s="516" t="s">
        <v>2063</v>
      </c>
      <c r="D32" s="514" t="s">
        <v>805</v>
      </c>
    </row>
    <row r="33" spans="1:4" s="510" customFormat="1" ht="15">
      <c r="A33" s="511"/>
      <c r="B33" s="512"/>
      <c r="C33" s="516" t="s">
        <v>2064</v>
      </c>
      <c r="D33" s="514" t="s">
        <v>805</v>
      </c>
    </row>
    <row r="34" spans="1:4" s="510" customFormat="1" ht="15">
      <c r="A34" s="511"/>
      <c r="B34" s="512" t="s">
        <v>1588</v>
      </c>
      <c r="C34" s="515" t="s">
        <v>2065</v>
      </c>
      <c r="D34" s="514"/>
    </row>
    <row r="35" spans="1:4" s="510" customFormat="1" ht="15">
      <c r="A35" s="511"/>
      <c r="B35" s="512"/>
      <c r="C35" s="516" t="s">
        <v>2066</v>
      </c>
      <c r="D35" s="514" t="s">
        <v>805</v>
      </c>
    </row>
    <row r="36" spans="1:4" s="510" customFormat="1" ht="15">
      <c r="A36" s="511"/>
      <c r="B36" s="512"/>
      <c r="C36" s="516" t="s">
        <v>2067</v>
      </c>
      <c r="D36" s="514" t="s">
        <v>805</v>
      </c>
    </row>
    <row r="37" spans="1:4" s="510" customFormat="1" ht="15">
      <c r="A37" s="511"/>
      <c r="B37" s="512"/>
      <c r="C37" s="516" t="s">
        <v>2068</v>
      </c>
      <c r="D37" s="514" t="s">
        <v>805</v>
      </c>
    </row>
    <row r="38" spans="1:4" s="510" customFormat="1" ht="15">
      <c r="A38" s="511"/>
      <c r="B38" s="512"/>
      <c r="C38" s="516" t="s">
        <v>2069</v>
      </c>
      <c r="D38" s="514" t="s">
        <v>805</v>
      </c>
    </row>
    <row r="39" spans="1:4" s="510" customFormat="1" ht="15">
      <c r="A39" s="511"/>
      <c r="B39" s="512"/>
      <c r="C39" s="516" t="s">
        <v>2070</v>
      </c>
      <c r="D39" s="514" t="s">
        <v>805</v>
      </c>
    </row>
    <row r="40" spans="1:4" s="510" customFormat="1" ht="15">
      <c r="A40" s="511"/>
      <c r="B40" s="512"/>
      <c r="C40" s="516" t="s">
        <v>2071</v>
      </c>
      <c r="D40" s="514" t="s">
        <v>805</v>
      </c>
    </row>
    <row r="41" spans="1:4" s="510" customFormat="1" ht="15">
      <c r="A41" s="511"/>
      <c r="B41" s="512"/>
      <c r="C41" s="516" t="s">
        <v>2072</v>
      </c>
      <c r="D41" s="514" t="s">
        <v>805</v>
      </c>
    </row>
    <row r="42" spans="1:4" s="510" customFormat="1" ht="15">
      <c r="A42" s="511"/>
      <c r="B42" s="512"/>
      <c r="C42" s="516" t="s">
        <v>2073</v>
      </c>
      <c r="D42" s="514" t="s">
        <v>805</v>
      </c>
    </row>
    <row r="43" spans="1:4" s="510" customFormat="1" ht="15">
      <c r="A43" s="511"/>
      <c r="B43" s="512"/>
      <c r="C43" s="516" t="s">
        <v>2074</v>
      </c>
      <c r="D43" s="514" t="s">
        <v>805</v>
      </c>
    </row>
    <row r="44" spans="1:4" s="510" customFormat="1" ht="15">
      <c r="A44" s="511"/>
      <c r="B44" s="512" t="s">
        <v>1590</v>
      </c>
      <c r="C44" s="515" t="s">
        <v>2075</v>
      </c>
      <c r="D44" s="514"/>
    </row>
    <row r="45" spans="1:4" s="510" customFormat="1" ht="15">
      <c r="A45" s="511"/>
      <c r="B45" s="512"/>
      <c r="C45" s="516" t="s">
        <v>2076</v>
      </c>
      <c r="D45" s="514" t="s">
        <v>805</v>
      </c>
    </row>
    <row r="46" spans="1:4" s="510" customFormat="1" ht="15">
      <c r="A46" s="511"/>
      <c r="B46" s="512"/>
      <c r="C46" s="516" t="s">
        <v>2077</v>
      </c>
      <c r="D46" s="514" t="s">
        <v>805</v>
      </c>
    </row>
    <row r="47" spans="1:4" s="510" customFormat="1" ht="15">
      <c r="A47" s="511"/>
      <c r="B47" s="512"/>
      <c r="C47" s="516" t="s">
        <v>2078</v>
      </c>
      <c r="D47" s="514" t="s">
        <v>805</v>
      </c>
    </row>
    <row r="48" spans="1:4" s="510" customFormat="1" ht="15">
      <c r="A48" s="511"/>
      <c r="B48" s="512"/>
      <c r="C48" s="516" t="s">
        <v>2079</v>
      </c>
      <c r="D48" s="514" t="s">
        <v>805</v>
      </c>
    </row>
    <row r="49" spans="1:4" s="510" customFormat="1" ht="15">
      <c r="A49" s="511"/>
      <c r="B49" s="512"/>
      <c r="C49" s="516" t="s">
        <v>2080</v>
      </c>
      <c r="D49" s="514" t="s">
        <v>805</v>
      </c>
    </row>
    <row r="50" spans="1:4" s="510" customFormat="1" ht="15">
      <c r="A50" s="511"/>
      <c r="B50" s="512"/>
      <c r="C50" s="516" t="s">
        <v>2081</v>
      </c>
      <c r="D50" s="514" t="s">
        <v>805</v>
      </c>
    </row>
    <row r="51" spans="1:4" s="510" customFormat="1" ht="15">
      <c r="A51" s="511"/>
      <c r="B51" s="512"/>
      <c r="C51" s="516" t="s">
        <v>2082</v>
      </c>
      <c r="D51" s="514" t="s">
        <v>805</v>
      </c>
    </row>
    <row r="52" spans="1:4" s="510" customFormat="1" ht="15">
      <c r="A52" s="511"/>
      <c r="B52" s="512" t="s">
        <v>1592</v>
      </c>
      <c r="C52" s="515" t="s">
        <v>2083</v>
      </c>
      <c r="D52" s="514"/>
    </row>
    <row r="53" spans="1:4" s="510" customFormat="1" ht="15">
      <c r="A53" s="511"/>
      <c r="B53" s="512"/>
      <c r="C53" s="516" t="s">
        <v>2084</v>
      </c>
      <c r="D53" s="514" t="s">
        <v>805</v>
      </c>
    </row>
    <row r="54" spans="1:4" s="510" customFormat="1" ht="15">
      <c r="A54" s="511"/>
      <c r="B54" s="512"/>
      <c r="C54" s="516" t="s">
        <v>2085</v>
      </c>
      <c r="D54" s="514" t="s">
        <v>805</v>
      </c>
    </row>
    <row r="55" spans="1:4" s="510" customFormat="1" ht="15">
      <c r="A55" s="511"/>
      <c r="B55" s="512"/>
      <c r="C55" s="516" t="s">
        <v>2036</v>
      </c>
      <c r="D55" s="514" t="s">
        <v>805</v>
      </c>
    </row>
    <row r="56" spans="1:4" s="510" customFormat="1" ht="15">
      <c r="A56" s="511"/>
      <c r="B56" s="512"/>
      <c r="C56" s="516" t="s">
        <v>2037</v>
      </c>
      <c r="D56" s="514" t="s">
        <v>805</v>
      </c>
    </row>
    <row r="57" spans="1:4" s="510" customFormat="1" ht="15">
      <c r="A57" s="511"/>
      <c r="B57" s="512"/>
      <c r="C57" s="516" t="s">
        <v>2039</v>
      </c>
      <c r="D57" s="514" t="s">
        <v>805</v>
      </c>
    </row>
    <row r="58" spans="1:4" s="510" customFormat="1" ht="15">
      <c r="A58" s="511"/>
      <c r="B58" s="512"/>
      <c r="C58" s="516" t="s">
        <v>2041</v>
      </c>
      <c r="D58" s="514" t="s">
        <v>805</v>
      </c>
    </row>
    <row r="59" spans="1:4" s="510" customFormat="1" ht="15">
      <c r="A59" s="511"/>
      <c r="B59" s="512"/>
      <c r="C59" s="516" t="s">
        <v>2043</v>
      </c>
      <c r="D59" s="514" t="s">
        <v>805</v>
      </c>
    </row>
    <row r="60" spans="1:4" s="510" customFormat="1" ht="15">
      <c r="A60" s="511"/>
      <c r="B60" s="512"/>
      <c r="C60" s="516" t="s">
        <v>2044</v>
      </c>
      <c r="D60" s="514" t="s">
        <v>805</v>
      </c>
    </row>
    <row r="61" spans="1:4" s="510" customFormat="1" ht="15">
      <c r="A61" s="511"/>
      <c r="B61" s="512" t="s">
        <v>1594</v>
      </c>
      <c r="C61" s="515" t="s">
        <v>2086</v>
      </c>
      <c r="D61" s="514"/>
    </row>
    <row r="62" spans="1:4" s="510" customFormat="1" ht="15">
      <c r="A62" s="511"/>
      <c r="B62" s="512"/>
      <c r="C62" s="516" t="s">
        <v>2087</v>
      </c>
      <c r="D62" s="514" t="s">
        <v>805</v>
      </c>
    </row>
    <row r="63" spans="1:4" s="510" customFormat="1" ht="15">
      <c r="A63" s="511"/>
      <c r="B63" s="512"/>
      <c r="C63" s="516" t="s">
        <v>2088</v>
      </c>
      <c r="D63" s="514" t="s">
        <v>805</v>
      </c>
    </row>
    <row r="64" spans="1:4" s="510" customFormat="1" ht="15">
      <c r="A64" s="511"/>
      <c r="B64" s="512" t="s">
        <v>1596</v>
      </c>
      <c r="C64" s="515" t="s">
        <v>2089</v>
      </c>
      <c r="D64" s="514"/>
    </row>
    <row r="65" spans="1:4" s="510" customFormat="1" ht="15">
      <c r="A65" s="511"/>
      <c r="B65" s="512"/>
      <c r="C65" s="516" t="s">
        <v>2090</v>
      </c>
      <c r="D65" s="514" t="s">
        <v>805</v>
      </c>
    </row>
    <row r="66" spans="1:4" s="510" customFormat="1" ht="15">
      <c r="A66" s="511"/>
      <c r="B66" s="512"/>
      <c r="C66" s="516" t="s">
        <v>2091</v>
      </c>
      <c r="D66" s="514" t="s">
        <v>805</v>
      </c>
    </row>
    <row r="67" spans="1:4" s="510" customFormat="1" ht="15">
      <c r="A67" s="511"/>
      <c r="B67" s="512"/>
      <c r="C67" s="516" t="s">
        <v>2092</v>
      </c>
      <c r="D67" s="514" t="s">
        <v>805</v>
      </c>
    </row>
    <row r="68" spans="1:4" s="510" customFormat="1" ht="15">
      <c r="A68" s="511"/>
      <c r="B68" s="512"/>
      <c r="C68" s="516" t="s">
        <v>2093</v>
      </c>
      <c r="D68" s="514" t="s">
        <v>805</v>
      </c>
    </row>
    <row r="69" spans="1:4" s="510" customFormat="1" ht="15">
      <c r="A69" s="511"/>
      <c r="B69" s="512"/>
      <c r="C69" s="516" t="s">
        <v>2094</v>
      </c>
      <c r="D69" s="514" t="s">
        <v>805</v>
      </c>
    </row>
    <row r="70" spans="1:4" s="510" customFormat="1" ht="15">
      <c r="A70" s="511"/>
      <c r="B70" s="512"/>
      <c r="C70" s="516" t="s">
        <v>2095</v>
      </c>
      <c r="D70" s="514" t="s">
        <v>805</v>
      </c>
    </row>
    <row r="71" spans="1:4" s="510" customFormat="1" ht="15">
      <c r="A71" s="511"/>
      <c r="B71" s="512"/>
      <c r="C71" s="516" t="s">
        <v>2096</v>
      </c>
      <c r="D71" s="514" t="s">
        <v>805</v>
      </c>
    </row>
    <row r="72" spans="1:4" s="510" customFormat="1" ht="15">
      <c r="A72" s="511"/>
      <c r="B72" s="512" t="s">
        <v>1598</v>
      </c>
      <c r="C72" s="515" t="s">
        <v>2097</v>
      </c>
      <c r="D72" s="514"/>
    </row>
    <row r="73" spans="1:4" s="510" customFormat="1" ht="15">
      <c r="A73" s="511"/>
      <c r="B73" s="512"/>
      <c r="C73" s="516" t="s">
        <v>2098</v>
      </c>
      <c r="D73" s="514" t="s">
        <v>805</v>
      </c>
    </row>
    <row r="74" spans="1:4" s="510" customFormat="1" ht="15">
      <c r="A74" s="511"/>
      <c r="B74" s="512"/>
      <c r="C74" s="516" t="s">
        <v>2099</v>
      </c>
      <c r="D74" s="514" t="s">
        <v>805</v>
      </c>
    </row>
    <row r="75" spans="1:4" s="510" customFormat="1" ht="15">
      <c r="A75" s="511"/>
      <c r="B75" s="512"/>
      <c r="C75" s="516" t="s">
        <v>2100</v>
      </c>
      <c r="D75" s="514" t="s">
        <v>805</v>
      </c>
    </row>
    <row r="76" spans="1:4" s="510" customFormat="1" ht="15">
      <c r="A76" s="511"/>
      <c r="B76" s="512"/>
      <c r="C76" s="516" t="s">
        <v>2101</v>
      </c>
      <c r="D76" s="514" t="s">
        <v>805</v>
      </c>
    </row>
    <row r="77" spans="1:4" s="510" customFormat="1" ht="15">
      <c r="A77" s="511"/>
      <c r="B77" s="512"/>
      <c r="C77" s="516" t="s">
        <v>2102</v>
      </c>
      <c r="D77" s="514" t="s">
        <v>805</v>
      </c>
    </row>
    <row r="78" spans="1:4" s="510" customFormat="1" ht="15">
      <c r="A78" s="511"/>
      <c r="B78" s="512"/>
      <c r="C78" s="516" t="s">
        <v>2103</v>
      </c>
      <c r="D78" s="514" t="s">
        <v>805</v>
      </c>
    </row>
    <row r="79" spans="1:4" s="510" customFormat="1" ht="15">
      <c r="A79" s="511"/>
      <c r="B79" s="512"/>
      <c r="C79" s="516" t="s">
        <v>2104</v>
      </c>
      <c r="D79" s="514" t="s">
        <v>805</v>
      </c>
    </row>
    <row r="80" spans="1:4" s="510" customFormat="1" ht="15">
      <c r="A80" s="511"/>
      <c r="B80" s="512"/>
      <c r="C80" s="516" t="s">
        <v>2105</v>
      </c>
      <c r="D80" s="514" t="s">
        <v>805</v>
      </c>
    </row>
    <row r="81" spans="1:4" s="510" customFormat="1" ht="15">
      <c r="A81" s="511"/>
      <c r="B81" s="512"/>
      <c r="C81" s="516" t="s">
        <v>2106</v>
      </c>
      <c r="D81" s="514" t="s">
        <v>805</v>
      </c>
    </row>
    <row r="82" spans="1:4" s="510" customFormat="1" ht="15">
      <c r="A82" s="511"/>
      <c r="B82" s="512"/>
      <c r="C82" s="516" t="s">
        <v>2107</v>
      </c>
      <c r="D82" s="514" t="s">
        <v>805</v>
      </c>
    </row>
    <row r="83" spans="1:4" s="510" customFormat="1" ht="15">
      <c r="A83" s="511"/>
      <c r="B83" s="512"/>
      <c r="C83" s="516" t="s">
        <v>2108</v>
      </c>
      <c r="D83" s="514" t="s">
        <v>805</v>
      </c>
    </row>
    <row r="84" spans="1:4" s="510" customFormat="1" ht="15">
      <c r="A84" s="511"/>
      <c r="B84" s="512"/>
      <c r="C84" s="516" t="s">
        <v>2109</v>
      </c>
      <c r="D84" s="514" t="s">
        <v>805</v>
      </c>
    </row>
    <row r="85" spans="1:4" s="510" customFormat="1" ht="15">
      <c r="A85" s="511"/>
      <c r="B85" s="512"/>
      <c r="C85" s="516" t="s">
        <v>2110</v>
      </c>
      <c r="D85" s="514" t="s">
        <v>805</v>
      </c>
    </row>
    <row r="86" spans="1:4" s="510" customFormat="1" ht="15">
      <c r="A86" s="511"/>
      <c r="B86" s="512"/>
      <c r="C86" s="516" t="s">
        <v>2111</v>
      </c>
      <c r="D86" s="514" t="s">
        <v>805</v>
      </c>
    </row>
    <row r="87" spans="1:4" s="510" customFormat="1" ht="15">
      <c r="A87" s="511"/>
      <c r="B87" s="512"/>
      <c r="C87" s="516" t="s">
        <v>2112</v>
      </c>
      <c r="D87" s="514" t="s">
        <v>805</v>
      </c>
    </row>
    <row r="88" spans="1:4" s="510" customFormat="1" ht="15">
      <c r="A88" s="511"/>
      <c r="B88" s="512"/>
      <c r="C88" s="516" t="s">
        <v>2113</v>
      </c>
      <c r="D88" s="514" t="s">
        <v>805</v>
      </c>
    </row>
    <row r="89" spans="1:4" s="510" customFormat="1" ht="15">
      <c r="A89" s="511"/>
      <c r="B89" s="512"/>
      <c r="C89" s="516" t="s">
        <v>2114</v>
      </c>
      <c r="D89" s="514" t="s">
        <v>805</v>
      </c>
    </row>
    <row r="90" spans="1:4" s="510" customFormat="1" ht="15">
      <c r="A90" s="511"/>
      <c r="B90" s="512" t="s">
        <v>1600</v>
      </c>
      <c r="C90" s="515" t="s">
        <v>2115</v>
      </c>
      <c r="D90" s="514"/>
    </row>
    <row r="91" spans="1:4" s="510" customFormat="1" ht="15">
      <c r="A91" s="511"/>
      <c r="B91" s="512"/>
      <c r="C91" s="516" t="s">
        <v>2116</v>
      </c>
      <c r="D91" s="514" t="s">
        <v>805</v>
      </c>
    </row>
    <row r="92" spans="1:4" s="510" customFormat="1" ht="15">
      <c r="A92" s="511"/>
      <c r="B92" s="512"/>
      <c r="C92" s="516" t="s">
        <v>2117</v>
      </c>
      <c r="D92" s="514" t="s">
        <v>805</v>
      </c>
    </row>
    <row r="93" spans="1:4" s="510" customFormat="1" ht="15">
      <c r="A93" s="511"/>
      <c r="B93" s="512" t="s">
        <v>1602</v>
      </c>
      <c r="C93" s="515" t="s">
        <v>2118</v>
      </c>
      <c r="D93" s="514"/>
    </row>
    <row r="94" spans="1:4" s="510" customFormat="1" ht="15">
      <c r="A94" s="511"/>
      <c r="B94" s="512"/>
      <c r="C94" s="516" t="s">
        <v>2119</v>
      </c>
      <c r="D94" s="514" t="s">
        <v>805</v>
      </c>
    </row>
    <row r="95" spans="1:4" s="510" customFormat="1" ht="15">
      <c r="A95" s="511"/>
      <c r="B95" s="512"/>
      <c r="C95" s="516" t="s">
        <v>2116</v>
      </c>
      <c r="D95" s="514" t="s">
        <v>805</v>
      </c>
    </row>
    <row r="96" spans="1:4" s="510" customFormat="1" ht="15">
      <c r="A96" s="511"/>
      <c r="B96" s="512"/>
      <c r="C96" s="516" t="s">
        <v>2117</v>
      </c>
      <c r="D96" s="514" t="s">
        <v>805</v>
      </c>
    </row>
    <row r="97" spans="1:4" s="510" customFormat="1" ht="15">
      <c r="A97" s="511"/>
      <c r="B97" s="512"/>
      <c r="C97" s="516" t="s">
        <v>2120</v>
      </c>
      <c r="D97" s="514" t="s">
        <v>805</v>
      </c>
    </row>
    <row r="98" spans="1:4" s="510" customFormat="1" ht="15">
      <c r="A98" s="511"/>
      <c r="B98" s="512"/>
      <c r="C98" s="516" t="s">
        <v>2121</v>
      </c>
      <c r="D98" s="514" t="s">
        <v>805</v>
      </c>
    </row>
    <row r="99" spans="1:4" s="510" customFormat="1" ht="15">
      <c r="A99" s="511"/>
      <c r="B99" s="512"/>
      <c r="C99" s="516" t="s">
        <v>2122</v>
      </c>
      <c r="D99" s="514" t="s">
        <v>805</v>
      </c>
    </row>
    <row r="100" spans="1:4" s="510" customFormat="1" ht="15">
      <c r="A100" s="511"/>
      <c r="B100" s="512"/>
      <c r="C100" s="516" t="s">
        <v>2123</v>
      </c>
      <c r="D100" s="514" t="s">
        <v>805</v>
      </c>
    </row>
    <row r="101" spans="1:4" s="510" customFormat="1" ht="15">
      <c r="A101" s="511"/>
      <c r="B101" s="512"/>
      <c r="C101" s="516" t="s">
        <v>2124</v>
      </c>
      <c r="D101" s="514" t="s">
        <v>805</v>
      </c>
    </row>
    <row r="102" spans="1:4" s="510" customFormat="1" ht="15">
      <c r="A102" s="511"/>
      <c r="B102" s="512"/>
      <c r="C102" s="516" t="s">
        <v>2125</v>
      </c>
      <c r="D102" s="514" t="s">
        <v>805</v>
      </c>
    </row>
    <row r="103" spans="1:4" s="510" customFormat="1" ht="15">
      <c r="A103" s="511"/>
      <c r="B103" s="512"/>
      <c r="C103" s="516" t="s">
        <v>2126</v>
      </c>
      <c r="D103" s="514" t="s">
        <v>805</v>
      </c>
    </row>
    <row r="104" spans="1:4" s="510" customFormat="1" ht="15">
      <c r="A104" s="511"/>
      <c r="B104" s="512"/>
      <c r="C104" s="516" t="s">
        <v>2127</v>
      </c>
      <c r="D104" s="514" t="s">
        <v>805</v>
      </c>
    </row>
    <row r="105" spans="1:4" s="510" customFormat="1" ht="15">
      <c r="A105" s="511"/>
      <c r="B105" s="512"/>
      <c r="C105" s="516" t="s">
        <v>2128</v>
      </c>
      <c r="D105" s="514" t="s">
        <v>805</v>
      </c>
    </row>
    <row r="106" spans="1:4" s="510" customFormat="1" ht="15">
      <c r="A106" s="511"/>
      <c r="B106" s="512"/>
      <c r="C106" s="516" t="s">
        <v>2129</v>
      </c>
      <c r="D106" s="514" t="s">
        <v>805</v>
      </c>
    </row>
    <row r="107" spans="1:4" s="510" customFormat="1" ht="15"/>
    <row r="108" spans="1:4" s="510" customFormat="1" ht="15"/>
    <row r="109" spans="1:4" s="510" customFormat="1" ht="15"/>
    <row r="110" spans="1:4" s="510" customFormat="1" ht="15"/>
    <row r="111" spans="1:4" s="510" customFormat="1" ht="15"/>
    <row r="112" spans="1:4" s="510" customFormat="1" ht="15"/>
    <row r="113" s="510" customFormat="1" ht="15"/>
    <row r="114" s="510" customFormat="1" ht="15"/>
    <row r="115" s="510" customFormat="1" ht="15"/>
    <row r="116" s="510" customFormat="1" ht="15"/>
  </sheetData>
  <pageMargins left="0.78740157499999996" right="0.78740157499999996" top="0.984251969" bottom="0.984251969" header="0.4921259845" footer="0.492125984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6</vt:i4>
      </vt:variant>
    </vt:vector>
  </HeadingPairs>
  <TitlesOfParts>
    <vt:vector size="18" baseType="lpstr">
      <vt:lpstr>Krycí list rozpočtu</vt:lpstr>
      <vt:lpstr>VORN</vt:lpstr>
      <vt:lpstr>Stavební rozpočet</vt:lpstr>
      <vt:lpstr>Silnoproud</vt:lpstr>
      <vt:lpstr>SLA</vt:lpstr>
      <vt:lpstr>eps</vt:lpstr>
      <vt:lpstr>VZT</vt:lpstr>
      <vt:lpstr>UT</vt:lpstr>
      <vt:lpstr>ZTI rozpočet</vt:lpstr>
      <vt:lpstr>ZTI standardy</vt:lpstr>
      <vt:lpstr>ZTI poznámka</vt:lpstr>
      <vt:lpstr>ZTI data</vt:lpstr>
      <vt:lpstr>VZT!Názvy_tisku</vt:lpstr>
      <vt:lpstr>eps!Oblast_tisku</vt:lpstr>
      <vt:lpstr>Silnoproud!Oblast_tisku</vt:lpstr>
      <vt:lpstr>UT!Oblast_tisku</vt:lpstr>
      <vt:lpstr>VZT!Oblast_tisku</vt:lpstr>
      <vt:lpstr>vorn_sum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pokorny</cp:lastModifiedBy>
  <dcterms:created xsi:type="dcterms:W3CDTF">2021-06-10T20:06:38Z</dcterms:created>
  <dcterms:modified xsi:type="dcterms:W3CDTF">2024-10-25T18:24:15Z</dcterms:modified>
</cp:coreProperties>
</file>