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bookViews>
    <workbookView xWindow="1755" yWindow="1755" windowWidth="20730" windowHeight="11760" tabRatio="946"/>
  </bookViews>
  <sheets>
    <sheet name="kumul VIS+LVS" sheetId="10" r:id="rId1"/>
    <sheet name="Doba instalace" sheetId="2" state="hidden" r:id="rId2"/>
    <sheet name="Kalkulace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Kalkulace!$3:$4</definedName>
    <definedName name="_xlnm.Print_Area" localSheetId="2">Kalkulace!$A$1:$K$99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0" l="1"/>
  <c r="B9" i="10"/>
  <c r="B8" i="10"/>
  <c r="B7" i="10"/>
  <c r="B6" i="10"/>
  <c r="B5" i="10"/>
  <c r="D10" i="10"/>
  <c r="C10" i="10"/>
  <c r="C5" i="10"/>
  <c r="C6" i="10"/>
  <c r="C7" i="10"/>
  <c r="C8" i="10"/>
  <c r="C9" i="10"/>
  <c r="C11" i="10"/>
  <c r="D5" i="10"/>
  <c r="D6" i="10"/>
  <c r="D7" i="10"/>
  <c r="D8" i="10"/>
  <c r="D9" i="10"/>
  <c r="D11" i="10"/>
  <c r="B11" i="10"/>
  <c r="C3" i="2"/>
  <c r="E34" i="2"/>
  <c r="G34" i="2"/>
  <c r="C4" i="2"/>
  <c r="E49" i="2"/>
  <c r="C5" i="2"/>
  <c r="E31" i="2"/>
  <c r="C6" i="2"/>
  <c r="C12" i="2"/>
  <c r="E24" i="2"/>
  <c r="F24" i="2"/>
  <c r="G24" i="2"/>
  <c r="C13" i="2"/>
  <c r="E25" i="2"/>
  <c r="F25" i="2"/>
  <c r="G25" i="2"/>
  <c r="C16" i="2"/>
  <c r="G20" i="2"/>
  <c r="J20" i="2"/>
  <c r="M20" i="2"/>
  <c r="G21" i="2"/>
  <c r="J21" i="2"/>
  <c r="M21" i="2"/>
  <c r="G22" i="2"/>
  <c r="J22" i="2"/>
  <c r="M22" i="2"/>
  <c r="G23" i="2"/>
  <c r="I74" i="2"/>
  <c r="J23" i="2"/>
  <c r="J24" i="2"/>
  <c r="J25" i="2"/>
  <c r="J26" i="2"/>
  <c r="H27" i="2"/>
  <c r="J27" i="2"/>
  <c r="H28" i="2"/>
  <c r="J28" i="2"/>
  <c r="J29" i="2"/>
  <c r="J30" i="2"/>
  <c r="J31" i="2"/>
  <c r="J32" i="2"/>
  <c r="E33" i="2"/>
  <c r="H33" i="2"/>
  <c r="J33" i="2"/>
  <c r="J34" i="2"/>
  <c r="J35" i="2"/>
  <c r="J36" i="2"/>
  <c r="J37" i="2"/>
  <c r="J38" i="2"/>
  <c r="E39" i="2"/>
  <c r="H39" i="2"/>
  <c r="J39" i="2"/>
  <c r="J40" i="2"/>
  <c r="J41" i="2"/>
  <c r="J42" i="2"/>
  <c r="E43" i="2"/>
  <c r="H43" i="2"/>
  <c r="J43" i="2"/>
  <c r="J44" i="2"/>
  <c r="E45" i="2"/>
  <c r="H45" i="2"/>
  <c r="J45" i="2"/>
  <c r="J46" i="2"/>
  <c r="J47" i="2"/>
  <c r="J48" i="2"/>
  <c r="H49" i="2"/>
  <c r="J49" i="2"/>
  <c r="J50" i="2"/>
  <c r="E51" i="2"/>
  <c r="H51" i="2"/>
  <c r="J51" i="2"/>
  <c r="J52" i="2"/>
  <c r="J53" i="2"/>
  <c r="J54" i="2"/>
  <c r="E55" i="2"/>
  <c r="H55" i="2"/>
  <c r="J55" i="2"/>
  <c r="H56" i="2"/>
  <c r="J56" i="2"/>
  <c r="G27" i="2"/>
  <c r="G28" i="2"/>
  <c r="E57" i="2"/>
  <c r="J57" i="2"/>
  <c r="J71" i="2"/>
  <c r="I31" i="3"/>
  <c r="M23" i="2"/>
  <c r="M24" i="2"/>
  <c r="M25" i="2"/>
  <c r="M26" i="2"/>
  <c r="D28" i="2"/>
  <c r="D29" i="2"/>
  <c r="G29" i="2"/>
  <c r="D30" i="2"/>
  <c r="F30" i="2"/>
  <c r="D31" i="2"/>
  <c r="F31" i="2"/>
  <c r="D32" i="2"/>
  <c r="F32" i="2"/>
  <c r="D33" i="2"/>
  <c r="D34" i="2"/>
  <c r="D35" i="2"/>
  <c r="E35" i="2"/>
  <c r="G35" i="2"/>
  <c r="I35" i="2"/>
  <c r="D36" i="2"/>
  <c r="D37" i="2"/>
  <c r="E37" i="2"/>
  <c r="G37" i="2"/>
  <c r="I37" i="2"/>
  <c r="D38" i="2"/>
  <c r="F38" i="2"/>
  <c r="D39" i="2"/>
  <c r="G39" i="2"/>
  <c r="I39" i="2"/>
  <c r="D40" i="2"/>
  <c r="F40" i="2"/>
  <c r="D41" i="2"/>
  <c r="F41" i="2"/>
  <c r="D42" i="2"/>
  <c r="F42" i="2"/>
  <c r="E42" i="2"/>
  <c r="G42" i="2"/>
  <c r="D43" i="2"/>
  <c r="D44" i="2"/>
  <c r="F44" i="2"/>
  <c r="E44" i="2"/>
  <c r="G44" i="2"/>
  <c r="I44" i="2"/>
  <c r="D45" i="2"/>
  <c r="D46" i="2"/>
  <c r="F46" i="2"/>
  <c r="E46" i="2"/>
  <c r="G46" i="2"/>
  <c r="I46" i="2"/>
  <c r="D47" i="2"/>
  <c r="E47" i="2"/>
  <c r="F47" i="2"/>
  <c r="G47" i="2"/>
  <c r="I47" i="2"/>
  <c r="D48" i="2"/>
  <c r="F48" i="2"/>
  <c r="D49" i="2"/>
  <c r="D50" i="2"/>
  <c r="F50" i="2"/>
  <c r="D51" i="2"/>
  <c r="D52" i="2"/>
  <c r="F52" i="2"/>
  <c r="D53" i="2"/>
  <c r="D54" i="2"/>
  <c r="F54" i="2"/>
  <c r="E54" i="2"/>
  <c r="G54" i="2"/>
  <c r="D55" i="2"/>
  <c r="G55" i="2"/>
  <c r="I55" i="2"/>
  <c r="D56" i="2"/>
  <c r="G56" i="2"/>
  <c r="I56" i="2"/>
  <c r="G58" i="2"/>
  <c r="H58" i="2"/>
  <c r="L58" i="2"/>
  <c r="M58" i="2"/>
  <c r="D59" i="2"/>
  <c r="E59" i="2"/>
  <c r="G59" i="2"/>
  <c r="L59" i="2"/>
  <c r="G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K83" i="3"/>
  <c r="J88" i="3"/>
  <c r="J90" i="3"/>
  <c r="K97" i="3"/>
  <c r="K93" i="3"/>
  <c r="E48" i="2"/>
  <c r="G48" i="2"/>
  <c r="I48" i="2"/>
  <c r="E38" i="2"/>
  <c r="E53" i="2"/>
  <c r="E52" i="2"/>
  <c r="G52" i="2"/>
  <c r="I52" i="2"/>
  <c r="G51" i="2"/>
  <c r="I51" i="2"/>
  <c r="E40" i="2"/>
  <c r="G38" i="2"/>
  <c r="I38" i="2"/>
  <c r="I34" i="2"/>
  <c r="M28" i="2"/>
  <c r="G40" i="2"/>
  <c r="I40" i="2"/>
  <c r="G31" i="2"/>
  <c r="K81" i="3"/>
  <c r="L23" i="2"/>
  <c r="E36" i="2"/>
  <c r="G36" i="2"/>
  <c r="I36" i="2"/>
  <c r="E61" i="2"/>
  <c r="E26" i="2"/>
  <c r="G26" i="2"/>
  <c r="E50" i="2"/>
  <c r="G50" i="2"/>
  <c r="I50" i="2"/>
  <c r="L20" i="2"/>
  <c r="L71" i="2"/>
  <c r="F18" i="3"/>
  <c r="K96" i="3"/>
  <c r="K98" i="3"/>
  <c r="E41" i="2"/>
  <c r="G41" i="2"/>
  <c r="I41" i="2"/>
  <c r="G45" i="2"/>
  <c r="L25" i="2"/>
  <c r="L21" i="2"/>
  <c r="E63" i="2"/>
  <c r="H63" i="2"/>
  <c r="M63" i="2"/>
  <c r="E30" i="2"/>
  <c r="G30" i="2"/>
  <c r="E32" i="2"/>
  <c r="G32" i="2"/>
  <c r="I32" i="2"/>
  <c r="L22" i="2"/>
  <c r="L24" i="2"/>
  <c r="I27" i="2"/>
  <c r="I31" i="2"/>
  <c r="L26" i="2"/>
  <c r="I20" i="2"/>
  <c r="I71" i="2"/>
  <c r="F54" i="3"/>
  <c r="K54" i="3"/>
  <c r="K61" i="3"/>
  <c r="H59" i="2"/>
  <c r="I29" i="2"/>
  <c r="I30" i="2"/>
  <c r="E68" i="2"/>
  <c r="G68" i="2"/>
  <c r="L68" i="2"/>
  <c r="G43" i="2"/>
  <c r="I43" i="2"/>
  <c r="I21" i="2"/>
  <c r="G63" i="2"/>
  <c r="E66" i="2"/>
  <c r="L28" i="2"/>
  <c r="H68" i="2"/>
  <c r="M68" i="2"/>
  <c r="E67" i="2"/>
  <c r="H67" i="2"/>
  <c r="M67" i="2"/>
  <c r="E69" i="2"/>
  <c r="H69" i="2"/>
  <c r="M69" i="2"/>
  <c r="F20" i="3"/>
  <c r="K20" i="3"/>
  <c r="L63" i="2"/>
  <c r="G69" i="2"/>
  <c r="L69" i="2"/>
  <c r="G49" i="2"/>
  <c r="L66" i="2"/>
  <c r="M66" i="2"/>
  <c r="I49" i="2"/>
  <c r="I42" i="2"/>
  <c r="L72" i="2"/>
  <c r="L61" i="2"/>
  <c r="M61" i="2"/>
  <c r="I45" i="2"/>
  <c r="I57" i="2"/>
  <c r="M59" i="2"/>
  <c r="M71" i="2"/>
  <c r="I32" i="3"/>
  <c r="G33" i="2"/>
  <c r="I33" i="2"/>
  <c r="I28" i="2"/>
  <c r="I72" i="2"/>
  <c r="D60" i="2"/>
  <c r="L60" i="2"/>
  <c r="F53" i="2"/>
  <c r="G53" i="2"/>
  <c r="I53" i="2"/>
  <c r="G67" i="2"/>
  <c r="I54" i="2"/>
  <c r="K18" i="3"/>
  <c r="K22" i="3"/>
  <c r="K94" i="3"/>
  <c r="K99" i="3"/>
  <c r="I99" i="3"/>
  <c r="F32" i="3"/>
  <c r="K32" i="3"/>
  <c r="L73" i="2"/>
  <c r="F31" i="3"/>
  <c r="K31" i="3"/>
  <c r="K41" i="3"/>
  <c r="I73" i="2"/>
  <c r="L67" i="2"/>
  <c r="E70" i="2"/>
  <c r="K95" i="3"/>
  <c r="I95" i="3"/>
  <c r="M70" i="2"/>
  <c r="L70" i="2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<sst xmlns="http://schemas.openxmlformats.org/spreadsheetml/2006/main" count="317" uniqueCount="188">
  <si>
    <t>ks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</si>
  <si>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</si>
  <si>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</si>
  <si>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</si>
  <si>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</si>
  <si>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</si>
  <si>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</si>
  <si>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</si>
  <si>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</si>
  <si>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</si>
  <si>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</si>
  <si>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</si>
  <si>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</si>
  <si>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</si>
  <si>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</si>
  <si>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</si>
  <si>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</si>
  <si>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</si>
  <si>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</si>
  <si>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</si>
  <si>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</si>
  <si>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</si>
  <si>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</si>
  <si>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</si>
  <si>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</si>
  <si>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</si>
  <si>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</si>
  <si>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</si>
  <si>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</si>
  <si>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</si>
  <si>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</si>
  <si>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</si>
  <si>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</si>
  <si>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</si>
  <si>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</si>
  <si>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</si>
  <si>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</si>
  <si>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</si>
  <si>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</si>
  <si>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</si>
  <si>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</si>
  <si>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</si>
  <si>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</si>
  <si>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</si>
  <si>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</si>
  <si>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</si>
  <si>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</si>
  <si>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</si>
  <si>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</si>
  <si>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</si>
  <si>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</si>
  <si>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</si>
  <si>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</si>
  <si>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</si>
  <si>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</si>
  <si>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</si>
  <si>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</si>
  <si>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</si>
  <si>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</si>
  <si>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</si>
  <si>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</si>
  <si>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</si>
  <si>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</si>
  <si>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</si>
  <si>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</si>
  <si>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</si>
  <si>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</si>
  <si>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</si>
  <si>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</si>
  <si>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</si>
  <si>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</si>
  <si>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</si>
  <si>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</si>
  <si>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</si>
  <si>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</si>
  <si>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</si>
  <si>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</si>
  <si>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</si>
  <si>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</si>
  <si>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</si>
  <si>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</si>
  <si>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</si>
  <si>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</si>
  <si>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</si>
  <si>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</si>
  <si>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</si>
  <si>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</si>
  <si>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</si>
  <si>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</si>
  <si>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</si>
  <si>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</si>
  <si>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</si>
  <si>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</si>
  <si>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</si>
  <si>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</si>
  <si>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</si>
  <si>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</si>
  <si>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</si>
  <si>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</si>
  <si>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</si>
  <si>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</si>
  <si>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</si>
  <si>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</si>
  <si>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</si>
  <si>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</si>
  <si>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</si>
  <si>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</si>
  <si>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</si>
  <si>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</si>
  <si>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</si>
  <si>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</si>
  <si>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</si>
  <si>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</si>
  <si>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</si>
  <si>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</si>
  <si>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</si>
  <si>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</si>
  <si>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</si>
  <si>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</si>
  <si>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</si>
  <si>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</si>
  <si>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</si>
  <si>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</si>
  <si>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</si>
  <si>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</si>
  <si>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</si>
  <si>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</si>
  <si>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</si>
  <si>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</si>
  <si>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</si>
  <si>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</si>
  <si>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</si>
  <si>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</si>
  <si>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</si>
  <si>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</si>
  <si>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</si>
  <si>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</si>
  <si>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</si>
  <si>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</si>
  <si>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</si>
  <si>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</si>
  <si>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</si>
  <si>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</si>
  <si>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</si>
  <si>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</si>
  <si>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</si>
  <si>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</si>
  <si>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</si>
  <si>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</si>
  <si>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</si>
  <si>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</si>
  <si>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</si>
  <si>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</si>
  <si>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</si>
  <si>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</si>
  <si>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</si>
  <si>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</si>
  <si>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</si>
  <si>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</si>
  <si>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</si>
  <si>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</si>
  <si>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</si>
  <si>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</si>
  <si>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</si>
  <si>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</si>
  <si>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</si>
  <si>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</si>
  <si>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</si>
  <si>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</si>
  <si>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</si>
  <si>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</si>
  <si>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</si>
  <si>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</si>
  <si>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</si>
  <si>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</si>
  <si>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</si>
  <si>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Cena celkem bez DPH</t>
  </si>
  <si>
    <t>DPH 21%</t>
  </si>
  <si>
    <t>Cena celkem s DPH</t>
  </si>
  <si>
    <t xml:space="preserve">Název části systému VIS </t>
  </si>
  <si>
    <t>Město Nymburk</t>
  </si>
  <si>
    <t>Obec Jíkev</t>
  </si>
  <si>
    <t>Obec Kovanice</t>
  </si>
  <si>
    <t>Obec Netřebice</t>
  </si>
  <si>
    <t>Obec Seletice</t>
  </si>
  <si>
    <t>Celkem</t>
  </si>
  <si>
    <t>LVS</t>
  </si>
  <si>
    <t>Souhrnný rozpočet VIS + LVS Nymburk a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</si>
</sst>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"/>
    <numFmt numFmtId="165" formatCode="0.0"/>
    <numFmt numFmtId="166" formatCode="#,##0\ &quot;Kč&quot;"/>
  </numFmts>
  <fonts count="26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36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53">
    <xf numFmtId="0" fontId="0" fillId="0" borderId="0"/>
    <xf numFmtId="0" fontId="21" fillId="0" borderId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</cellStyleXfs>
  <cellXfs count="249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4" fontId="0" fillId="0" borderId="11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0" fontId="0" fillId="0" borderId="11" xfId="0" applyFill="1" applyBorder="1"/>
    <xf numFmtId="165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4" fontId="0" fillId="0" borderId="15" xfId="0" applyNumberFormat="1" applyBorder="1"/>
    <xf numFmtId="164" fontId="0" fillId="0" borderId="17" xfId="0" applyNumberFormat="1" applyBorder="1"/>
    <xf numFmtId="164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4" fontId="0" fillId="0" borderId="11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Fill="1" applyBorder="1"/>
    <xf numFmtId="164" fontId="0" fillId="0" borderId="12" xfId="0" applyNumberFormat="1" applyBorder="1"/>
    <xf numFmtId="165" fontId="0" fillId="0" borderId="12" xfId="0" applyNumberFormat="1" applyBorder="1"/>
    <xf numFmtId="165" fontId="0" fillId="0" borderId="16" xfId="0" applyNumberFormat="1" applyBorder="1"/>
    <xf numFmtId="164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19" xfId="0" applyNumberFormat="1" applyBorder="1"/>
    <xf numFmtId="0" fontId="0" fillId="0" borderId="21" xfId="0" applyBorder="1"/>
    <xf numFmtId="164" fontId="0" fillId="3" borderId="19" xfId="0" applyNumberFormat="1" applyFill="1" applyBorder="1"/>
    <xf numFmtId="165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5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5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5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5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5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0" fillId="0" borderId="0" xfId="0" applyNumberFormat="1" applyAlignment="1">
      <alignment horizontal="right" vertical="center" indent="2"/>
    </xf>
    <xf numFmtId="3" fontId="17" fillId="0" borderId="34" xfId="0" applyNumberFormat="1" applyFont="1" applyBorder="1" applyAlignment="1">
      <alignment horizontal="left" vertical="top" wrapText="1"/>
    </xf>
    <xf numFmtId="3" fontId="17" fillId="0" borderId="34" xfId="0" applyNumberFormat="1" applyFont="1" applyBorder="1" applyAlignment="1">
      <alignment horizontal="center" vertical="center" wrapText="1"/>
    </xf>
    <xf numFmtId="3" fontId="17" fillId="0" borderId="34" xfId="0" applyNumberFormat="1" applyFont="1" applyFill="1" applyBorder="1" applyAlignment="1">
      <alignment horizontal="center" vertical="center" wrapText="1"/>
    </xf>
    <xf numFmtId="3" fontId="24" fillId="0" borderId="34" xfId="0" applyNumberFormat="1" applyFont="1" applyBorder="1"/>
    <xf numFmtId="9" fontId="17" fillId="0" borderId="0" xfId="0" applyNumberFormat="1" applyFont="1" applyFill="1" applyBorder="1" applyAlignment="1">
      <alignment horizontal="center" vertical="center"/>
    </xf>
    <xf numFmtId="9" fontId="24" fillId="0" borderId="0" xfId="0" applyNumberFormat="1" applyFont="1" applyBorder="1"/>
    <xf numFmtId="6" fontId="24" fillId="0" borderId="0" xfId="0" applyNumberFormat="1" applyFont="1" applyBorder="1"/>
    <xf numFmtId="3" fontId="17" fillId="0" borderId="34" xfId="0" applyNumberFormat="1" applyFont="1" applyBorder="1"/>
    <xf numFmtId="166" fontId="24" fillId="0" borderId="34" xfId="0" applyNumberFormat="1" applyFont="1" applyBorder="1"/>
    <xf numFmtId="166" fontId="17" fillId="0" borderId="34" xfId="0" applyNumberFormat="1" applyFont="1" applyBorder="1"/>
    <xf numFmtId="3" fontId="25" fillId="0" borderId="0" xfId="0" applyNumberFormat="1" applyFont="1" applyAlignment="1">
      <alignment horizontal="left"/>
    </xf>
    <xf numFmtId="0" fontId="0" fillId="5" borderId="35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</cellXfs>
  <cellStyles count="53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Normální" xfId="0" builtinId="0"/>
    <cellStyle name="normální 2" xfId="52"/>
    <cellStyle name="normální_kalkul~1" xfId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IS_rozpocet_%20Nymbur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IS_rozpocet_Jike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IS_rozpocet_Kovani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VIS_rozpocet_Netrebic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IS_rozpocet_Seletic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LVS_rozpoc&#780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kace VIS Nymburk"/>
      <sheetName val="Doba instalace"/>
      <sheetName val="Kalkulace"/>
    </sheetNames>
    <sheetDataSet>
      <sheetData sheetId="0">
        <row r="38">
          <cell r="G38">
            <v>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 Jíkev"/>
    </sheetNames>
    <sheetDataSet>
      <sheetData sheetId="0">
        <row r="34">
          <cell r="G3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 Kovanice"/>
    </sheetNames>
    <sheetDataSet>
      <sheetData sheetId="0">
        <row r="34">
          <cell r="G3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 Netřebice"/>
    </sheetNames>
    <sheetDataSet>
      <sheetData sheetId="0">
        <row r="34">
          <cell r="G3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S Seletice"/>
    </sheetNames>
    <sheetDataSet>
      <sheetData sheetId="0">
        <row r="34">
          <cell r="G3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28">
          <cell r="E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D1"/>
    </sheetView>
  </sheetViews>
  <sheetFormatPr defaultColWidth="8.7109375" defaultRowHeight="12.75" x14ac:dyDescent="0.2"/>
  <cols>
    <col min="1" max="1" width="22.85546875" customWidth="1"/>
    <col min="2" max="2" width="28.7109375" customWidth="1"/>
    <col min="3" max="3" width="29.28515625" customWidth="1"/>
    <col min="4" max="4" width="29.85546875" customWidth="1"/>
  </cols>
  <sheetData>
    <row r="1" spans="1:8" ht="20.25" x14ac:dyDescent="0.3">
      <c r="A1" s="230" t="s">
        <v>187</v>
      </c>
      <c r="B1" s="230"/>
      <c r="C1" s="230"/>
      <c r="D1" s="230"/>
      <c r="E1" s="1"/>
      <c r="F1" s="1"/>
      <c r="G1" s="1"/>
      <c r="H1" s="1"/>
    </row>
    <row r="2" spans="1:8" x14ac:dyDescent="0.2">
      <c r="A2" s="1"/>
      <c r="B2" s="219"/>
      <c r="C2" s="1"/>
      <c r="D2" s="1"/>
      <c r="E2" s="2"/>
      <c r="F2" s="1"/>
      <c r="G2" s="1"/>
      <c r="H2" s="1"/>
    </row>
    <row r="3" spans="1:8" x14ac:dyDescent="0.2">
      <c r="A3" s="1"/>
      <c r="B3" s="219"/>
      <c r="C3" s="1"/>
      <c r="D3" s="1"/>
      <c r="E3" s="2"/>
      <c r="F3" s="1"/>
      <c r="G3" s="1"/>
      <c r="H3" s="1"/>
    </row>
    <row r="4" spans="1:8" ht="30" x14ac:dyDescent="0.2">
      <c r="A4" s="220" t="s">
        <v>179</v>
      </c>
      <c r="B4" s="222" t="s">
        <v>176</v>
      </c>
      <c r="C4" s="222" t="s">
        <v>177</v>
      </c>
      <c r="D4" s="221" t="s">
        <v>178</v>
      </c>
      <c r="E4" s="224"/>
    </row>
    <row r="5" spans="1:8" ht="14.25" x14ac:dyDescent="0.2">
      <c r="A5" s="223" t="s">
        <v>180</v>
      </c>
      <c r="B5" s="228">
        <f>+'[1]Specifikace VIS Nymburk'!$G$38</f>
        <v>0</v>
      </c>
      <c r="C5" s="228">
        <f>B5*0.21</f>
        <v>0</v>
      </c>
      <c r="D5" s="228">
        <f>B5*1.21</f>
        <v>0</v>
      </c>
      <c r="E5" s="225"/>
    </row>
    <row r="6" spans="1:8" ht="14.25" x14ac:dyDescent="0.2">
      <c r="A6" s="223" t="s">
        <v>181</v>
      </c>
      <c r="B6" s="228">
        <f>+'[2]VIS Jíkev'!$G$34</f>
        <v>0</v>
      </c>
      <c r="C6" s="228">
        <f t="shared" ref="C6:C10" si="0">B6*0.21</f>
        <v>0</v>
      </c>
      <c r="D6" s="228">
        <f t="shared" ref="D6:D10" si="1">B6*1.21</f>
        <v>0</v>
      </c>
      <c r="E6" s="225"/>
    </row>
    <row r="7" spans="1:8" ht="14.25" x14ac:dyDescent="0.2">
      <c r="A7" s="223" t="s">
        <v>182</v>
      </c>
      <c r="B7" s="228">
        <f>+'[3]VIS Kovanice'!$G$34</f>
        <v>0</v>
      </c>
      <c r="C7" s="228">
        <f t="shared" si="0"/>
        <v>0</v>
      </c>
      <c r="D7" s="228">
        <f t="shared" si="1"/>
        <v>0</v>
      </c>
      <c r="E7" s="225"/>
    </row>
    <row r="8" spans="1:8" ht="14.25" x14ac:dyDescent="0.2">
      <c r="A8" s="223" t="s">
        <v>183</v>
      </c>
      <c r="B8" s="228">
        <f>+'[4]VIS Netřebice'!$G$34</f>
        <v>0</v>
      </c>
      <c r="C8" s="228">
        <f t="shared" si="0"/>
        <v>0</v>
      </c>
      <c r="D8" s="228">
        <f t="shared" si="1"/>
        <v>0</v>
      </c>
      <c r="E8" s="226"/>
    </row>
    <row r="9" spans="1:8" ht="14.25" x14ac:dyDescent="0.2">
      <c r="A9" s="223" t="s">
        <v>184</v>
      </c>
      <c r="B9" s="228">
        <f>+'[5]VIS Seletice'!$G$34</f>
        <v>0</v>
      </c>
      <c r="C9" s="228">
        <f t="shared" si="0"/>
        <v>0</v>
      </c>
      <c r="D9" s="228">
        <f t="shared" si="1"/>
        <v>0</v>
      </c>
      <c r="E9" s="226"/>
    </row>
    <row r="10" spans="1:8" ht="14.25" x14ac:dyDescent="0.2">
      <c r="A10" s="223" t="s">
        <v>186</v>
      </c>
      <c r="B10" s="228">
        <f>+[6]List1!$E$28</f>
        <v>0</v>
      </c>
      <c r="C10" s="228">
        <f t="shared" si="0"/>
        <v>0</v>
      </c>
      <c r="D10" s="228">
        <f t="shared" si="1"/>
        <v>0</v>
      </c>
      <c r="E10" s="226"/>
    </row>
    <row r="11" spans="1:8" ht="15" x14ac:dyDescent="0.25">
      <c r="A11" s="227" t="s">
        <v>185</v>
      </c>
      <c r="B11" s="229">
        <f>SUM(B5:B9)</f>
        <v>0</v>
      </c>
      <c r="C11" s="229">
        <f t="shared" ref="C11:D11" si="2">SUM(C5:C9)</f>
        <v>0</v>
      </c>
      <c r="D11" s="229">
        <f t="shared" si="2"/>
        <v>0</v>
      </c>
      <c r="E11" s="226"/>
    </row>
  </sheetData>
  <mergeCells count="1">
    <mergeCell ref="A1:D1"/>
  </mergeCells>
  <pageMargins left="0.7" right="0.7" top="0.78740157499999996" bottom="0.78740157499999996" header="0.3" footer="0.3"/>
  <pageSetup paperSize="9" scale="8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 x14ac:dyDescent="0.2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7" customFormat="1" ht="18" x14ac:dyDescent="0.25">
      <c r="B1" s="8" t="s">
        <v>2</v>
      </c>
      <c r="C1" s="9">
        <v>150</v>
      </c>
      <c r="I1" s="10"/>
      <c r="J1" s="10"/>
      <c r="K1" s="10"/>
      <c r="L1" s="10"/>
      <c r="M1" s="10"/>
    </row>
    <row r="2" spans="2:13" s="7" customFormat="1" ht="18" x14ac:dyDescent="0.25">
      <c r="B2" s="8" t="s">
        <v>3</v>
      </c>
      <c r="C2" s="9">
        <v>5</v>
      </c>
      <c r="I2" s="11"/>
      <c r="J2" s="11"/>
      <c r="K2" s="11"/>
      <c r="L2" s="11"/>
      <c r="M2" s="11"/>
    </row>
    <row r="3" spans="2:13" x14ac:dyDescent="0.2">
      <c r="B3" t="s">
        <v>4</v>
      </c>
      <c r="C3" s="12" t="e">
        <f>SUM(#REF!)+SUM(#REF!)+SUM(#REF!)</f>
        <v>#REF!</v>
      </c>
    </row>
    <row r="4" spans="2:13" x14ac:dyDescent="0.2">
      <c r="B4" t="s">
        <v>5</v>
      </c>
      <c r="C4" s="12" t="e">
        <f>SUM(#REF!)+#REF!</f>
        <v>#REF!</v>
      </c>
    </row>
    <row r="5" spans="2:13" x14ac:dyDescent="0.2">
      <c r="B5" t="s">
        <v>6</v>
      </c>
      <c r="C5" s="12" t="e">
        <f>SUM(#REF!)</f>
        <v>#REF!</v>
      </c>
    </row>
    <row r="6" spans="2:13" x14ac:dyDescent="0.2">
      <c r="B6" t="s">
        <v>7</v>
      </c>
      <c r="C6" s="12" t="e">
        <f>SUM(#REF!)</f>
        <v>#REF!</v>
      </c>
    </row>
    <row r="7" spans="2:13" x14ac:dyDescent="0.2">
      <c r="B7" t="s">
        <v>8</v>
      </c>
      <c r="C7" s="13">
        <v>70</v>
      </c>
    </row>
    <row r="8" spans="2:13" x14ac:dyDescent="0.2">
      <c r="B8" t="s">
        <v>9</v>
      </c>
      <c r="C8" s="13">
        <v>40</v>
      </c>
    </row>
    <row r="9" spans="2:13" x14ac:dyDescent="0.2">
      <c r="B9" t="s">
        <v>10</v>
      </c>
      <c r="C9" s="14">
        <v>350</v>
      </c>
    </row>
    <row r="10" spans="2:13" x14ac:dyDescent="0.2">
      <c r="B10" t="s">
        <v>11</v>
      </c>
      <c r="C10" s="14">
        <v>10</v>
      </c>
    </row>
    <row r="11" spans="2:13" s="15" customFormat="1" x14ac:dyDescent="0.2">
      <c r="C11" s="6"/>
      <c r="I11" s="16"/>
      <c r="J11" s="16"/>
      <c r="K11" s="16"/>
      <c r="L11" s="16"/>
      <c r="M11" s="16"/>
    </row>
    <row r="12" spans="2:13" s="15" customFormat="1" x14ac:dyDescent="0.2">
      <c r="B12" s="15" t="s">
        <v>12</v>
      </c>
      <c r="C12" s="6" t="e">
        <f>SUM(#REF!)</f>
        <v>#REF!</v>
      </c>
      <c r="I12" s="16"/>
      <c r="J12" s="16"/>
      <c r="K12" s="16"/>
      <c r="L12" s="16"/>
      <c r="M12" s="16"/>
    </row>
    <row r="13" spans="2:13" s="15" customFormat="1" x14ac:dyDescent="0.2">
      <c r="B13" s="15" t="s">
        <v>13</v>
      </c>
      <c r="C13" s="6" t="e">
        <f>SUM(#REF!)</f>
        <v>#REF!</v>
      </c>
      <c r="I13" s="16"/>
      <c r="J13" s="16"/>
      <c r="K13" s="16"/>
      <c r="L13" s="16"/>
      <c r="M13" s="16"/>
    </row>
    <row r="14" spans="2:13" s="15" customFormat="1" x14ac:dyDescent="0.2">
      <c r="B14" s="15" t="s">
        <v>14</v>
      </c>
      <c r="C14" s="17">
        <v>0</v>
      </c>
      <c r="I14" s="16"/>
      <c r="J14" s="16"/>
      <c r="K14" s="16"/>
      <c r="L14" s="16"/>
      <c r="M14" s="16"/>
    </row>
    <row r="15" spans="2:13" s="15" customFormat="1" x14ac:dyDescent="0.2">
      <c r="B15" s="15" t="s">
        <v>15</v>
      </c>
      <c r="C15" s="17">
        <v>1</v>
      </c>
      <c r="I15" s="16"/>
      <c r="J15" s="16"/>
      <c r="K15" s="16"/>
      <c r="L15" s="16"/>
      <c r="M15" s="16"/>
    </row>
    <row r="16" spans="2:13" s="15" customFormat="1" x14ac:dyDescent="0.2">
      <c r="B16" s="15" t="s">
        <v>16</v>
      </c>
      <c r="C16" s="15" t="e">
        <f>IF(#REF!,ABS(IF(SUM(#REF!)-SUM(#REF!),(SUM(#REF!)-SUM(#REF!))*1.5+SUM(#REF!),SUM(#REF!))),0.2*SUM(#REF!))</f>
        <v>#REF!</v>
      </c>
      <c r="D16" s="15" t="s">
        <v>17</v>
      </c>
      <c r="I16" s="16"/>
      <c r="J16" s="16"/>
      <c r="K16" s="16"/>
      <c r="L16" s="16"/>
      <c r="M16" s="16"/>
    </row>
    <row r="18" spans="1:13" x14ac:dyDescent="0.2">
      <c r="B18" s="18"/>
      <c r="C18" s="19"/>
      <c r="D18" s="20" t="s">
        <v>18</v>
      </c>
      <c r="E18" s="21"/>
      <c r="F18" s="21"/>
      <c r="G18" s="21"/>
      <c r="H18" s="22"/>
      <c r="I18" s="231" t="s">
        <v>19</v>
      </c>
      <c r="J18" s="231"/>
      <c r="K18" s="23"/>
      <c r="L18" s="20" t="s">
        <v>20</v>
      </c>
      <c r="M18" s="24"/>
    </row>
    <row r="19" spans="1:13" x14ac:dyDescent="0.2">
      <c r="B19" s="25"/>
      <c r="C19" s="26"/>
      <c r="D19" s="27" t="s">
        <v>21</v>
      </c>
      <c r="E19" s="21" t="s">
        <v>0</v>
      </c>
      <c r="F19" s="21" t="s">
        <v>22</v>
      </c>
      <c r="G19" s="21" t="s">
        <v>23</v>
      </c>
      <c r="H19" s="22" t="s">
        <v>24</v>
      </c>
      <c r="I19" s="27" t="s">
        <v>25</v>
      </c>
      <c r="J19" s="24" t="s">
        <v>24</v>
      </c>
      <c r="K19" s="21"/>
      <c r="L19" s="27" t="s">
        <v>25</v>
      </c>
      <c r="M19" s="24" t="s">
        <v>24</v>
      </c>
    </row>
    <row r="20" spans="1:13" x14ac:dyDescent="0.2">
      <c r="B20" s="28" t="s">
        <v>26</v>
      </c>
      <c r="C20" s="5"/>
      <c r="D20" s="29">
        <v>2</v>
      </c>
      <c r="E20" s="5">
        <v>1</v>
      </c>
      <c r="F20" s="5">
        <v>60</v>
      </c>
      <c r="G20" s="30">
        <f t="shared" ref="G20:G26" si="0">E20*F20/60</f>
        <v>1</v>
      </c>
      <c r="H20" s="31">
        <v>0</v>
      </c>
      <c r="I20" s="32" t="e">
        <f>IF(SUM(C$3:C$6)+SUM(C$12:C$13),D20*G20,0)</f>
        <v>#REF!</v>
      </c>
      <c r="J20" s="33">
        <f t="shared" ref="J20:J37" si="1">H20</f>
        <v>0</v>
      </c>
      <c r="K20" s="34"/>
      <c r="L20" s="32" t="e">
        <f>IF(SUM(C$3:C$6)+SUM(C$12:C$13),D20*G20,0)</f>
        <v>#REF!</v>
      </c>
      <c r="M20" s="33">
        <f t="shared" ref="M20:M26" si="2">H20</f>
        <v>0</v>
      </c>
    </row>
    <row r="21" spans="1:13" x14ac:dyDescent="0.2">
      <c r="B21" s="28" t="s">
        <v>27</v>
      </c>
      <c r="C21" s="5"/>
      <c r="D21" s="29">
        <v>2</v>
      </c>
      <c r="E21" s="5">
        <v>1</v>
      </c>
      <c r="F21" s="5">
        <v>60</v>
      </c>
      <c r="G21" s="30">
        <f t="shared" si="0"/>
        <v>1</v>
      </c>
      <c r="H21" s="31">
        <v>0</v>
      </c>
      <c r="I21" s="32" t="e">
        <f>IF(SUM(C$3:C$6)+SUM(C$12:C$13),D21*G21,0)</f>
        <v>#REF!</v>
      </c>
      <c r="J21" s="33">
        <f t="shared" si="1"/>
        <v>0</v>
      </c>
      <c r="K21" s="34"/>
      <c r="L21" s="32" t="e">
        <f>IF(SUM(C$3:C$6)+SUM(C$12:C$13),D21*G21,0)</f>
        <v>#REF!</v>
      </c>
      <c r="M21" s="33">
        <f t="shared" si="2"/>
        <v>0</v>
      </c>
    </row>
    <row r="22" spans="1:13" x14ac:dyDescent="0.2">
      <c r="B22" s="28" t="s">
        <v>28</v>
      </c>
      <c r="C22" s="5"/>
      <c r="D22" s="35">
        <v>1</v>
      </c>
      <c r="E22" s="3">
        <v>1</v>
      </c>
      <c r="F22" s="5">
        <v>45</v>
      </c>
      <c r="G22" s="30">
        <f t="shared" si="0"/>
        <v>0.75</v>
      </c>
      <c r="H22" s="31"/>
      <c r="I22" s="32"/>
      <c r="J22" s="33">
        <f t="shared" si="1"/>
        <v>0</v>
      </c>
      <c r="K22" s="34"/>
      <c r="L22" s="32" t="e">
        <f>IF(SUM(C$3:C$6),D22*G22,0)</f>
        <v>#REF!</v>
      </c>
      <c r="M22" s="33">
        <f t="shared" si="2"/>
        <v>0</v>
      </c>
    </row>
    <row r="23" spans="1:13" x14ac:dyDescent="0.2">
      <c r="B23" s="28" t="s">
        <v>29</v>
      </c>
      <c r="C23" s="5"/>
      <c r="D23" s="35">
        <v>1</v>
      </c>
      <c r="E23" s="3">
        <v>1</v>
      </c>
      <c r="F23" s="5">
        <v>45</v>
      </c>
      <c r="G23" s="30">
        <f t="shared" si="0"/>
        <v>0.75</v>
      </c>
      <c r="H23" s="31"/>
      <c r="I23" s="32"/>
      <c r="J23" s="33">
        <f t="shared" si="1"/>
        <v>0</v>
      </c>
      <c r="K23" s="34"/>
      <c r="L23" s="32" t="e">
        <f>IF(SUM(C$3:C$6),D23*G23,0)</f>
        <v>#REF!</v>
      </c>
      <c r="M23" s="33">
        <f t="shared" si="2"/>
        <v>0</v>
      </c>
    </row>
    <row r="24" spans="1:13" x14ac:dyDescent="0.2">
      <c r="B24" s="28" t="s">
        <v>30</v>
      </c>
      <c r="C24" s="5"/>
      <c r="D24" s="29">
        <v>1</v>
      </c>
      <c r="E24" s="3" t="e">
        <f>C12</f>
        <v>#REF!</v>
      </c>
      <c r="F24" s="5">
        <f>10/D24</f>
        <v>10</v>
      </c>
      <c r="G24" s="30" t="e">
        <f t="shared" si="0"/>
        <v>#REF!</v>
      </c>
      <c r="H24" s="31"/>
      <c r="I24" s="32"/>
      <c r="J24" s="33">
        <f t="shared" si="1"/>
        <v>0</v>
      </c>
      <c r="K24" s="34"/>
      <c r="L24" s="32" t="e">
        <f>IF(SUM(C$3:C$6),D24*G24,0)</f>
        <v>#REF!</v>
      </c>
      <c r="M24" s="33">
        <f t="shared" si="2"/>
        <v>0</v>
      </c>
    </row>
    <row r="25" spans="1:13" x14ac:dyDescent="0.2">
      <c r="B25" s="28" t="s">
        <v>31</v>
      </c>
      <c r="C25" s="5"/>
      <c r="D25" s="29">
        <v>1</v>
      </c>
      <c r="E25" s="3" t="e">
        <f>C13</f>
        <v>#REF!</v>
      </c>
      <c r="F25" s="5">
        <f>15/D25</f>
        <v>15</v>
      </c>
      <c r="G25" s="30" t="e">
        <f t="shared" si="0"/>
        <v>#REF!</v>
      </c>
      <c r="H25" s="31"/>
      <c r="I25" s="32"/>
      <c r="J25" s="33">
        <f t="shared" si="1"/>
        <v>0</v>
      </c>
      <c r="K25" s="34"/>
      <c r="L25" s="32" t="e">
        <f>IF(SUM(C$3:C$6),D25*G25,0)</f>
        <v>#REF!</v>
      </c>
      <c r="M25" s="33">
        <f t="shared" si="2"/>
        <v>0</v>
      </c>
    </row>
    <row r="26" spans="1:13" x14ac:dyDescent="0.2">
      <c r="B26" s="28" t="s">
        <v>32</v>
      </c>
      <c r="C26" s="5"/>
      <c r="D26" s="29">
        <v>2</v>
      </c>
      <c r="E26" s="3" t="e">
        <f>C4</f>
        <v>#REF!</v>
      </c>
      <c r="F26" s="5">
        <v>7</v>
      </c>
      <c r="G26" s="30" t="e">
        <f t="shared" si="0"/>
        <v>#REF!</v>
      </c>
      <c r="H26" s="31"/>
      <c r="I26" s="32"/>
      <c r="J26" s="33">
        <f t="shared" si="1"/>
        <v>0</v>
      </c>
      <c r="K26" s="34"/>
      <c r="L26" s="32" t="e">
        <f>IF(SUM(C$3:C$6),D26*G26,0)</f>
        <v>#REF!</v>
      </c>
      <c r="M26" s="33">
        <f t="shared" si="2"/>
        <v>0</v>
      </c>
    </row>
    <row r="27" spans="1:13" x14ac:dyDescent="0.2">
      <c r="B27" s="28" t="s">
        <v>33</v>
      </c>
      <c r="C27" s="5"/>
      <c r="D27" s="29">
        <v>2</v>
      </c>
      <c r="E27" s="5">
        <v>1</v>
      </c>
      <c r="F27" s="5"/>
      <c r="G27" s="36">
        <f>E27*($C$1/$C$7)</f>
        <v>2.1428571428571428</v>
      </c>
      <c r="H27" s="31">
        <f>E27*$C$1</f>
        <v>150</v>
      </c>
      <c r="I27" s="32" t="e">
        <f>IF(SUM(C$3:C$6)+SUM(C$12:C$13),D27*G27,0)</f>
        <v>#REF!</v>
      </c>
      <c r="J27" s="33">
        <f t="shared" si="1"/>
        <v>150</v>
      </c>
      <c r="K27" s="34"/>
      <c r="L27" s="32"/>
      <c r="M27" s="33"/>
    </row>
    <row r="28" spans="1:13" x14ac:dyDescent="0.2">
      <c r="B28" s="37" t="s">
        <v>34</v>
      </c>
      <c r="C28" s="38"/>
      <c r="D28" s="39">
        <f>$D$27</f>
        <v>2</v>
      </c>
      <c r="E28" s="38">
        <v>1</v>
      </c>
      <c r="F28" s="38"/>
      <c r="G28" s="30" t="e">
        <f>E28*($C$2/3/$C$8+$C$4*0.1)</f>
        <v>#REF!</v>
      </c>
      <c r="H28" s="40">
        <f>E28*$C$2*4</f>
        <v>20</v>
      </c>
      <c r="I28" s="41" t="e">
        <f>D28*G28</f>
        <v>#REF!</v>
      </c>
      <c r="J28" s="42">
        <f t="shared" si="1"/>
        <v>20</v>
      </c>
      <c r="K28" s="43"/>
      <c r="L28" s="41" t="e">
        <f>D28*G28</f>
        <v>#REF!</v>
      </c>
      <c r="M28" s="33">
        <f>H28</f>
        <v>20</v>
      </c>
    </row>
    <row r="29" spans="1:13" x14ac:dyDescent="0.2">
      <c r="B29" s="28" t="s">
        <v>35</v>
      </c>
      <c r="C29" s="5"/>
      <c r="D29" s="39">
        <f t="shared" ref="D29:D56" si="3">$D$27</f>
        <v>2</v>
      </c>
      <c r="E29" s="5">
        <v>1</v>
      </c>
      <c r="F29" s="5">
        <v>30</v>
      </c>
      <c r="G29" s="30">
        <f>E29*F29/60</f>
        <v>0.5</v>
      </c>
      <c r="H29" s="31">
        <v>0</v>
      </c>
      <c r="I29" s="32" t="e">
        <f>IF(SUM(C$3:C$6)+SUM(C$12:C$13),D29*G29,0)</f>
        <v>#REF!</v>
      </c>
      <c r="J29" s="33">
        <f t="shared" si="1"/>
        <v>0</v>
      </c>
      <c r="K29" s="34"/>
      <c r="L29" s="32"/>
      <c r="M29" s="33"/>
    </row>
    <row r="30" spans="1:13" x14ac:dyDescent="0.2">
      <c r="B30" s="28" t="s">
        <v>36</v>
      </c>
      <c r="C30" s="5"/>
      <c r="D30" s="39">
        <f t="shared" si="3"/>
        <v>2</v>
      </c>
      <c r="E30" s="3" t="e">
        <f>C4</f>
        <v>#REF!</v>
      </c>
      <c r="F30" s="5">
        <f>10/D30</f>
        <v>5</v>
      </c>
      <c r="G30" s="30" t="e">
        <f>E30*F30/60</f>
        <v>#REF!</v>
      </c>
      <c r="H30" s="31">
        <v>0</v>
      </c>
      <c r="I30" s="32" t="e">
        <f>IF(SUM(C$3:C$6)+SUM(C$12:C$13),D30*G30,0)</f>
        <v>#REF!</v>
      </c>
      <c r="J30" s="33">
        <f t="shared" si="1"/>
        <v>0</v>
      </c>
      <c r="K30" s="34"/>
      <c r="L30" s="32"/>
      <c r="M30" s="33"/>
    </row>
    <row r="31" spans="1:13" x14ac:dyDescent="0.2">
      <c r="B31" s="37" t="s">
        <v>37</v>
      </c>
      <c r="C31" s="38"/>
      <c r="D31" s="39">
        <f t="shared" si="3"/>
        <v>2</v>
      </c>
      <c r="E31" s="44" t="e">
        <f>C5</f>
        <v>#REF!</v>
      </c>
      <c r="F31" s="38">
        <f>5/D31</f>
        <v>2.5</v>
      </c>
      <c r="G31" s="45" t="e">
        <f>E31*F31/60</f>
        <v>#REF!</v>
      </c>
      <c r="H31" s="40">
        <v>0</v>
      </c>
      <c r="I31" s="32" t="e">
        <f>IF(SUM(C$3:C$6)+SUM(C$12:C$13),D31*G31,0)</f>
        <v>#REF!</v>
      </c>
      <c r="J31" s="33">
        <f t="shared" si="1"/>
        <v>0</v>
      </c>
      <c r="K31" s="34"/>
      <c r="L31" s="32"/>
      <c r="M31" s="33"/>
    </row>
    <row r="32" spans="1:13" x14ac:dyDescent="0.2">
      <c r="A32" t="s">
        <v>38</v>
      </c>
      <c r="B32" s="28" t="s">
        <v>39</v>
      </c>
      <c r="C32" s="5"/>
      <c r="D32" s="39">
        <f t="shared" si="3"/>
        <v>2</v>
      </c>
      <c r="E32" s="3" t="e">
        <f t="shared" ref="E32:E37" si="4">$C$3</f>
        <v>#REF!</v>
      </c>
      <c r="F32" s="5">
        <f>10/D32</f>
        <v>5</v>
      </c>
      <c r="G32" s="30" t="e">
        <f t="shared" ref="G32:G37" si="5">E32*F32/60</f>
        <v>#REF!</v>
      </c>
      <c r="H32" s="31">
        <v>0</v>
      </c>
      <c r="I32" s="46" t="e">
        <f t="shared" ref="I32:I56" si="6">D32*G32</f>
        <v>#REF!</v>
      </c>
      <c r="J32" s="47">
        <f t="shared" si="1"/>
        <v>0</v>
      </c>
      <c r="K32" s="48"/>
      <c r="L32" s="46"/>
      <c r="M32" s="33"/>
    </row>
    <row r="33" spans="1:13" x14ac:dyDescent="0.2">
      <c r="B33" s="28" t="s">
        <v>40</v>
      </c>
      <c r="C33" s="5"/>
      <c r="D33" s="39">
        <f t="shared" si="3"/>
        <v>2</v>
      </c>
      <c r="E33" s="3" t="e">
        <f t="shared" si="4"/>
        <v>#REF!</v>
      </c>
      <c r="F33" s="5"/>
      <c r="G33" s="30" t="e">
        <f>E33*($C$2/3/$C$8)</f>
        <v>#REF!</v>
      </c>
      <c r="H33" s="49" t="e">
        <f>E33*$C$2/3</f>
        <v>#REF!</v>
      </c>
      <c r="I33" s="46" t="e">
        <f t="shared" si="6"/>
        <v>#REF!</v>
      </c>
      <c r="J33" s="47" t="e">
        <f t="shared" si="1"/>
        <v>#REF!</v>
      </c>
      <c r="K33" s="48"/>
      <c r="L33" s="46"/>
      <c r="M33" s="33"/>
    </row>
    <row r="34" spans="1:13" x14ac:dyDescent="0.2">
      <c r="B34" s="28" t="s">
        <v>41</v>
      </c>
      <c r="C34" s="5"/>
      <c r="D34" s="39">
        <f t="shared" si="3"/>
        <v>2</v>
      </c>
      <c r="E34" s="3" t="e">
        <f t="shared" si="4"/>
        <v>#REF!</v>
      </c>
      <c r="F34" s="5">
        <v>30</v>
      </c>
      <c r="G34" s="30" t="e">
        <f t="shared" si="5"/>
        <v>#REF!</v>
      </c>
      <c r="H34" s="31">
        <v>0</v>
      </c>
      <c r="I34" s="46" t="e">
        <f t="shared" si="6"/>
        <v>#REF!</v>
      </c>
      <c r="J34" s="47">
        <f t="shared" si="1"/>
        <v>0</v>
      </c>
      <c r="K34" s="48"/>
      <c r="L34" s="46"/>
      <c r="M34" s="33"/>
    </row>
    <row r="35" spans="1:13" x14ac:dyDescent="0.2">
      <c r="B35" s="28" t="s">
        <v>42</v>
      </c>
      <c r="C35" s="5"/>
      <c r="D35" s="39">
        <f t="shared" si="3"/>
        <v>2</v>
      </c>
      <c r="E35" s="3" t="e">
        <f t="shared" si="4"/>
        <v>#REF!</v>
      </c>
      <c r="F35" s="5">
        <v>300</v>
      </c>
      <c r="G35" s="30" t="e">
        <f t="shared" si="5"/>
        <v>#REF!</v>
      </c>
      <c r="H35" s="31">
        <v>0</v>
      </c>
      <c r="I35" s="46" t="e">
        <f t="shared" si="6"/>
        <v>#REF!</v>
      </c>
      <c r="J35" s="47">
        <f t="shared" si="1"/>
        <v>0</v>
      </c>
      <c r="K35" s="48"/>
      <c r="L35" s="46"/>
      <c r="M35" s="33"/>
    </row>
    <row r="36" spans="1:13" x14ac:dyDescent="0.2">
      <c r="B36" s="28" t="s">
        <v>43</v>
      </c>
      <c r="C36" s="5"/>
      <c r="D36" s="39">
        <f t="shared" si="3"/>
        <v>2</v>
      </c>
      <c r="E36" s="3" t="e">
        <f t="shared" si="4"/>
        <v>#REF!</v>
      </c>
      <c r="F36" s="5">
        <v>120</v>
      </c>
      <c r="G36" s="30" t="e">
        <f t="shared" si="5"/>
        <v>#REF!</v>
      </c>
      <c r="H36" s="31">
        <v>0</v>
      </c>
      <c r="I36" s="46" t="e">
        <f t="shared" si="6"/>
        <v>#REF!</v>
      </c>
      <c r="J36" s="47">
        <f t="shared" si="1"/>
        <v>0</v>
      </c>
      <c r="K36" s="48"/>
      <c r="L36" s="46"/>
      <c r="M36" s="33"/>
    </row>
    <row r="37" spans="1:13" x14ac:dyDescent="0.2">
      <c r="B37" s="37" t="s">
        <v>44</v>
      </c>
      <c r="C37" s="38"/>
      <c r="D37" s="39">
        <f t="shared" si="3"/>
        <v>2</v>
      </c>
      <c r="E37" s="3" t="e">
        <f t="shared" si="4"/>
        <v>#REF!</v>
      </c>
      <c r="F37" s="5">
        <v>30</v>
      </c>
      <c r="G37" s="30" t="e">
        <f t="shared" si="5"/>
        <v>#REF!</v>
      </c>
      <c r="H37" s="40">
        <v>0</v>
      </c>
      <c r="I37" s="46" t="e">
        <f t="shared" si="6"/>
        <v>#REF!</v>
      </c>
      <c r="J37" s="47">
        <f t="shared" si="1"/>
        <v>0</v>
      </c>
      <c r="K37" s="48"/>
      <c r="L37" s="46"/>
      <c r="M37" s="33"/>
    </row>
    <row r="38" spans="1:13" x14ac:dyDescent="0.2">
      <c r="A38" t="s">
        <v>45</v>
      </c>
      <c r="B38" s="28" t="s">
        <v>46</v>
      </c>
      <c r="C38" s="5"/>
      <c r="D38" s="39">
        <f t="shared" si="3"/>
        <v>2</v>
      </c>
      <c r="E38" s="3" t="e">
        <f>$C$14*$C$4/4</f>
        <v>#REF!</v>
      </c>
      <c r="F38" s="5">
        <f>10/D38</f>
        <v>5</v>
      </c>
      <c r="G38" s="30" t="e">
        <f>E38*F38/60</f>
        <v>#REF!</v>
      </c>
      <c r="H38" s="31">
        <v>0</v>
      </c>
      <c r="I38" s="46" t="e">
        <f t="shared" si="6"/>
        <v>#REF!</v>
      </c>
      <c r="J38" s="33">
        <f t="shared" ref="J38:J49" si="7">H38</f>
        <v>0</v>
      </c>
      <c r="K38" s="34"/>
      <c r="L38" s="32"/>
      <c r="M38" s="33"/>
    </row>
    <row r="39" spans="1:13" x14ac:dyDescent="0.2">
      <c r="B39" s="28" t="s">
        <v>47</v>
      </c>
      <c r="C39" s="5"/>
      <c r="D39" s="39">
        <f t="shared" si="3"/>
        <v>2</v>
      </c>
      <c r="E39" s="3" t="e">
        <f>$C$14*$C$4/4</f>
        <v>#REF!</v>
      </c>
      <c r="F39" s="5"/>
      <c r="G39" s="30" t="e">
        <f>E39*$C$2/3/$C$8</f>
        <v>#REF!</v>
      </c>
      <c r="H39" s="50" t="e">
        <f>E39*$C$2/2</f>
        <v>#REF!</v>
      </c>
      <c r="I39" s="46" t="e">
        <f t="shared" si="6"/>
        <v>#REF!</v>
      </c>
      <c r="J39" s="33" t="e">
        <f t="shared" si="7"/>
        <v>#REF!</v>
      </c>
      <c r="K39" s="34"/>
      <c r="L39" s="32"/>
      <c r="M39" s="33"/>
    </row>
    <row r="40" spans="1:13" x14ac:dyDescent="0.2">
      <c r="B40" s="28" t="s">
        <v>48</v>
      </c>
      <c r="C40" s="5" t="s">
        <v>49</v>
      </c>
      <c r="D40" s="39">
        <f t="shared" si="3"/>
        <v>2</v>
      </c>
      <c r="E40" s="3" t="e">
        <f>$C$14*$C$4</f>
        <v>#REF!</v>
      </c>
      <c r="F40" s="5">
        <f>10/D40</f>
        <v>5</v>
      </c>
      <c r="G40" s="30" t="e">
        <f>E40*F40/60</f>
        <v>#REF!</v>
      </c>
      <c r="H40" s="31">
        <v>0</v>
      </c>
      <c r="I40" s="46" t="e">
        <f t="shared" si="6"/>
        <v>#REF!</v>
      </c>
      <c r="J40" s="33">
        <f t="shared" si="7"/>
        <v>0</v>
      </c>
      <c r="K40" s="34"/>
      <c r="L40" s="32"/>
      <c r="M40" s="33"/>
    </row>
    <row r="41" spans="1:13" x14ac:dyDescent="0.2">
      <c r="B41" s="28" t="s">
        <v>50</v>
      </c>
      <c r="C41" s="5"/>
      <c r="D41" s="39">
        <f t="shared" si="3"/>
        <v>2</v>
      </c>
      <c r="E41" s="3" t="e">
        <f>$C$14*$C$4</f>
        <v>#REF!</v>
      </c>
      <c r="F41" s="5">
        <f>240/D41</f>
        <v>120</v>
      </c>
      <c r="G41" s="30" t="e">
        <f>E41*F41/60</f>
        <v>#REF!</v>
      </c>
      <c r="H41" s="31">
        <v>0</v>
      </c>
      <c r="I41" s="46" t="e">
        <f t="shared" si="6"/>
        <v>#REF!</v>
      </c>
      <c r="J41" s="33">
        <f t="shared" si="7"/>
        <v>0</v>
      </c>
      <c r="K41" s="34"/>
      <c r="L41" s="32"/>
      <c r="M41" s="33"/>
    </row>
    <row r="42" spans="1:13" x14ac:dyDescent="0.2">
      <c r="B42" s="28" t="s">
        <v>51</v>
      </c>
      <c r="C42" s="5"/>
      <c r="D42" s="39">
        <f t="shared" si="3"/>
        <v>2</v>
      </c>
      <c r="E42" s="3" t="e">
        <f>$C$14*$C$4</f>
        <v>#REF!</v>
      </c>
      <c r="F42" s="5">
        <f>10/D42</f>
        <v>5</v>
      </c>
      <c r="G42" s="30" t="e">
        <f>E42*F42/60</f>
        <v>#REF!</v>
      </c>
      <c r="H42" s="31">
        <v>0</v>
      </c>
      <c r="I42" s="46" t="e">
        <f t="shared" si="6"/>
        <v>#REF!</v>
      </c>
      <c r="J42" s="33">
        <f t="shared" si="7"/>
        <v>0</v>
      </c>
      <c r="K42" s="34"/>
      <c r="L42" s="32"/>
      <c r="M42" s="33"/>
    </row>
    <row r="43" spans="1:13" x14ac:dyDescent="0.2">
      <c r="B43" s="37" t="s">
        <v>52</v>
      </c>
      <c r="C43" s="38"/>
      <c r="D43" s="39">
        <f t="shared" si="3"/>
        <v>2</v>
      </c>
      <c r="E43" s="3" t="e">
        <f>$C$14*$C$4/4</f>
        <v>#REF!</v>
      </c>
      <c r="F43" s="38"/>
      <c r="G43" s="30" t="e">
        <f>E43*$C$2/3/$C$8</f>
        <v>#REF!</v>
      </c>
      <c r="H43" s="51" t="e">
        <f>E43*$C$2/2</f>
        <v>#REF!</v>
      </c>
      <c r="I43" s="46" t="e">
        <f t="shared" si="6"/>
        <v>#REF!</v>
      </c>
      <c r="J43" s="42" t="e">
        <f t="shared" si="7"/>
        <v>#REF!</v>
      </c>
      <c r="K43" s="43"/>
      <c r="L43" s="41"/>
      <c r="M43" s="33"/>
    </row>
    <row r="44" spans="1:13" x14ac:dyDescent="0.2">
      <c r="A44" t="s">
        <v>45</v>
      </c>
      <c r="B44" s="28" t="s">
        <v>53</v>
      </c>
      <c r="C44" s="5"/>
      <c r="D44" s="39">
        <f t="shared" si="3"/>
        <v>2</v>
      </c>
      <c r="E44" s="3" t="e">
        <f>$C$15*$C$4/5</f>
        <v>#REF!</v>
      </c>
      <c r="F44" s="5">
        <f>10/D44</f>
        <v>5</v>
      </c>
      <c r="G44" s="30" t="e">
        <f>E44*F44/60</f>
        <v>#REF!</v>
      </c>
      <c r="H44" s="31">
        <v>0</v>
      </c>
      <c r="I44" s="46" t="e">
        <f t="shared" si="6"/>
        <v>#REF!</v>
      </c>
      <c r="J44" s="33">
        <f t="shared" si="7"/>
        <v>0</v>
      </c>
      <c r="K44" s="34"/>
      <c r="L44" s="32"/>
      <c r="M44" s="33"/>
    </row>
    <row r="45" spans="1:13" x14ac:dyDescent="0.2">
      <c r="B45" s="28" t="s">
        <v>54</v>
      </c>
      <c r="C45" s="5"/>
      <c r="D45" s="39">
        <f t="shared" si="3"/>
        <v>2</v>
      </c>
      <c r="E45" s="3" t="e">
        <f>$C$15*$C$4/5</f>
        <v>#REF!</v>
      </c>
      <c r="F45" s="5"/>
      <c r="G45" s="30" t="e">
        <f>E45*$C$2/3/$C$8</f>
        <v>#REF!</v>
      </c>
      <c r="H45" s="50" t="e">
        <f>E45*$C$2/2</f>
        <v>#REF!</v>
      </c>
      <c r="I45" s="46" t="e">
        <f t="shared" si="6"/>
        <v>#REF!</v>
      </c>
      <c r="J45" s="33" t="e">
        <f t="shared" si="7"/>
        <v>#REF!</v>
      </c>
      <c r="K45" s="34"/>
      <c r="L45" s="32"/>
      <c r="M45" s="33"/>
    </row>
    <row r="46" spans="1:13" x14ac:dyDescent="0.2">
      <c r="B46" s="28" t="s">
        <v>48</v>
      </c>
      <c r="C46" s="5" t="s">
        <v>49</v>
      </c>
      <c r="D46" s="39">
        <f t="shared" si="3"/>
        <v>2</v>
      </c>
      <c r="E46" s="3" t="e">
        <f>$C$15*$C$4</f>
        <v>#REF!</v>
      </c>
      <c r="F46" s="5">
        <f>10/D46</f>
        <v>5</v>
      </c>
      <c r="G46" s="30" t="e">
        <f>E46*F46/60</f>
        <v>#REF!</v>
      </c>
      <c r="H46" s="31">
        <v>0</v>
      </c>
      <c r="I46" s="46" t="e">
        <f t="shared" si="6"/>
        <v>#REF!</v>
      </c>
      <c r="J46" s="33">
        <f t="shared" si="7"/>
        <v>0</v>
      </c>
      <c r="K46" s="34"/>
      <c r="L46" s="32"/>
      <c r="M46" s="33"/>
    </row>
    <row r="47" spans="1:13" x14ac:dyDescent="0.2">
      <c r="B47" s="28" t="s">
        <v>55</v>
      </c>
      <c r="C47" s="5"/>
      <c r="D47" s="39">
        <f t="shared" si="3"/>
        <v>2</v>
      </c>
      <c r="E47" s="3" t="e">
        <f>$C$15*$C$4</f>
        <v>#REF!</v>
      </c>
      <c r="F47" s="5">
        <f>180/D47</f>
        <v>90</v>
      </c>
      <c r="G47" s="30" t="e">
        <f>E47*F47/60</f>
        <v>#REF!</v>
      </c>
      <c r="H47" s="31">
        <v>0</v>
      </c>
      <c r="I47" s="46" t="e">
        <f t="shared" si="6"/>
        <v>#REF!</v>
      </c>
      <c r="J47" s="33">
        <f t="shared" si="7"/>
        <v>0</v>
      </c>
      <c r="K47" s="34"/>
      <c r="L47" s="32"/>
      <c r="M47" s="33"/>
    </row>
    <row r="48" spans="1:13" x14ac:dyDescent="0.2">
      <c r="B48" s="28" t="s">
        <v>51</v>
      </c>
      <c r="C48" s="5"/>
      <c r="D48" s="39">
        <f t="shared" si="3"/>
        <v>2</v>
      </c>
      <c r="E48" s="3" t="e">
        <f>$C$15*$C$4</f>
        <v>#REF!</v>
      </c>
      <c r="F48" s="5">
        <f>10/D48</f>
        <v>5</v>
      </c>
      <c r="G48" s="30" t="e">
        <f>E48*F48/60</f>
        <v>#REF!</v>
      </c>
      <c r="H48" s="31">
        <v>0</v>
      </c>
      <c r="I48" s="46" t="e">
        <f t="shared" si="6"/>
        <v>#REF!</v>
      </c>
      <c r="J48" s="33">
        <f t="shared" si="7"/>
        <v>0</v>
      </c>
      <c r="K48" s="34"/>
      <c r="L48" s="32"/>
      <c r="M48" s="33"/>
    </row>
    <row r="49" spans="1:13" x14ac:dyDescent="0.2">
      <c r="B49" s="37" t="s">
        <v>52</v>
      </c>
      <c r="C49" s="38"/>
      <c r="D49" s="39">
        <f t="shared" si="3"/>
        <v>2</v>
      </c>
      <c r="E49" s="3" t="e">
        <f>$C$15*$C$4/5</f>
        <v>#REF!</v>
      </c>
      <c r="F49" s="38"/>
      <c r="G49" s="30" t="e">
        <f>E49*$C$2/3/$C$8</f>
        <v>#REF!</v>
      </c>
      <c r="H49" s="51" t="e">
        <f>E49*$C$2/2</f>
        <v>#REF!</v>
      </c>
      <c r="I49" s="46" t="e">
        <f t="shared" si="6"/>
        <v>#REF!</v>
      </c>
      <c r="J49" s="42" t="e">
        <f t="shared" si="7"/>
        <v>#REF!</v>
      </c>
      <c r="K49" s="43"/>
      <c r="L49" s="41"/>
      <c r="M49" s="33"/>
    </row>
    <row r="50" spans="1:13" x14ac:dyDescent="0.2">
      <c r="A50" t="s">
        <v>45</v>
      </c>
      <c r="B50" s="28" t="s">
        <v>56</v>
      </c>
      <c r="C50" s="5"/>
      <c r="D50" s="39">
        <f t="shared" si="3"/>
        <v>2</v>
      </c>
      <c r="E50" s="3" t="e">
        <f>$C$15*$C$4/4</f>
        <v>#REF!</v>
      </c>
      <c r="F50" s="5">
        <f>10/D50</f>
        <v>5</v>
      </c>
      <c r="G50" s="30" t="e">
        <f>E50*F50/60</f>
        <v>#REF!</v>
      </c>
      <c r="H50" s="31">
        <v>0</v>
      </c>
      <c r="I50" s="46" t="e">
        <f t="shared" si="6"/>
        <v>#REF!</v>
      </c>
      <c r="J50" s="33">
        <f t="shared" ref="J50:J56" si="8">H50</f>
        <v>0</v>
      </c>
      <c r="K50" s="34"/>
      <c r="L50" s="32"/>
      <c r="M50" s="33"/>
    </row>
    <row r="51" spans="1:13" x14ac:dyDescent="0.2">
      <c r="B51" s="28" t="s">
        <v>47</v>
      </c>
      <c r="C51" s="5"/>
      <c r="D51" s="39">
        <f t="shared" si="3"/>
        <v>2</v>
      </c>
      <c r="E51" s="3" t="e">
        <f>$C$15*$C$4/4</f>
        <v>#REF!</v>
      </c>
      <c r="F51" s="5"/>
      <c r="G51" s="30" t="e">
        <f>E51*$C$2/3/$C$8</f>
        <v>#REF!</v>
      </c>
      <c r="H51" s="50" t="e">
        <f>E51*$C$2/2</f>
        <v>#REF!</v>
      </c>
      <c r="I51" s="46" t="e">
        <f t="shared" si="6"/>
        <v>#REF!</v>
      </c>
      <c r="J51" s="33" t="e">
        <f t="shared" si="8"/>
        <v>#REF!</v>
      </c>
      <c r="K51" s="34"/>
      <c r="L51" s="32"/>
      <c r="M51" s="33"/>
    </row>
    <row r="52" spans="1:13" x14ac:dyDescent="0.2">
      <c r="B52" s="28" t="s">
        <v>48</v>
      </c>
      <c r="C52" s="5" t="s">
        <v>49</v>
      </c>
      <c r="D52" s="39">
        <f t="shared" si="3"/>
        <v>2</v>
      </c>
      <c r="E52" s="3" t="e">
        <f>$C$15*$C$4</f>
        <v>#REF!</v>
      </c>
      <c r="F52" s="5">
        <f>10/D52</f>
        <v>5</v>
      </c>
      <c r="G52" s="30" t="e">
        <f>E52*F52/60</f>
        <v>#REF!</v>
      </c>
      <c r="H52" s="31">
        <v>0</v>
      </c>
      <c r="I52" s="46" t="e">
        <f t="shared" si="6"/>
        <v>#REF!</v>
      </c>
      <c r="J52" s="33">
        <f t="shared" si="8"/>
        <v>0</v>
      </c>
      <c r="K52" s="34"/>
      <c r="L52" s="32"/>
      <c r="M52" s="33"/>
    </row>
    <row r="53" spans="1:13" x14ac:dyDescent="0.2">
      <c r="B53" s="28" t="s">
        <v>57</v>
      </c>
      <c r="C53" s="5"/>
      <c r="D53" s="39">
        <f t="shared" si="3"/>
        <v>2</v>
      </c>
      <c r="E53" s="3" t="e">
        <f>$C$15*$C$4</f>
        <v>#REF!</v>
      </c>
      <c r="F53" s="5">
        <f>120/D53</f>
        <v>60</v>
      </c>
      <c r="G53" s="30" t="e">
        <f>E53*F53/60</f>
        <v>#REF!</v>
      </c>
      <c r="H53" s="31">
        <v>0</v>
      </c>
      <c r="I53" s="46" t="e">
        <f t="shared" si="6"/>
        <v>#REF!</v>
      </c>
      <c r="J53" s="33">
        <f t="shared" si="8"/>
        <v>0</v>
      </c>
      <c r="K53" s="34"/>
      <c r="L53" s="32"/>
      <c r="M53" s="33"/>
    </row>
    <row r="54" spans="1:13" x14ac:dyDescent="0.2">
      <c r="B54" s="37" t="s">
        <v>51</v>
      </c>
      <c r="C54" s="38"/>
      <c r="D54" s="39">
        <f t="shared" si="3"/>
        <v>2</v>
      </c>
      <c r="E54" s="44" t="e">
        <f>$C$15*$C$4</f>
        <v>#REF!</v>
      </c>
      <c r="F54" s="38">
        <f>10/D54</f>
        <v>5</v>
      </c>
      <c r="G54" s="45" t="e">
        <f>E54*F54/60</f>
        <v>#REF!</v>
      </c>
      <c r="H54" s="40">
        <v>0</v>
      </c>
      <c r="I54" s="52" t="e">
        <f t="shared" si="6"/>
        <v>#REF!</v>
      </c>
      <c r="J54" s="42">
        <f t="shared" si="8"/>
        <v>0</v>
      </c>
      <c r="K54" s="34"/>
      <c r="L54" s="32"/>
      <c r="M54" s="33"/>
    </row>
    <row r="55" spans="1:13" x14ac:dyDescent="0.2">
      <c r="B55" s="37" t="s">
        <v>52</v>
      </c>
      <c r="C55" s="38"/>
      <c r="D55" s="39">
        <f t="shared" si="3"/>
        <v>2</v>
      </c>
      <c r="E55" s="3" t="e">
        <f>$C$15*$C$4/4</f>
        <v>#REF!</v>
      </c>
      <c r="F55" s="38"/>
      <c r="G55" s="30" t="e">
        <f>E55*$C$2/3/$C$8</f>
        <v>#REF!</v>
      </c>
      <c r="H55" s="51" t="e">
        <f>E55*$C$2/2</f>
        <v>#REF!</v>
      </c>
      <c r="I55" s="46" t="e">
        <f t="shared" si="6"/>
        <v>#REF!</v>
      </c>
      <c r="J55" s="42" t="e">
        <f t="shared" si="8"/>
        <v>#REF!</v>
      </c>
      <c r="K55" s="43"/>
      <c r="L55" s="41"/>
      <c r="M55" s="33"/>
    </row>
    <row r="56" spans="1:13" x14ac:dyDescent="0.2">
      <c r="B56" s="53" t="s">
        <v>58</v>
      </c>
      <c r="C56" s="54"/>
      <c r="D56" s="39">
        <f t="shared" si="3"/>
        <v>2</v>
      </c>
      <c r="E56" s="54"/>
      <c r="F56" s="54"/>
      <c r="G56" s="30">
        <f>$C$1/$C$7</f>
        <v>2.1428571428571428</v>
      </c>
      <c r="H56" s="55">
        <f>$C$1</f>
        <v>150</v>
      </c>
      <c r="I56" s="56">
        <f t="shared" si="6"/>
        <v>4.2857142857142856</v>
      </c>
      <c r="J56" s="57">
        <f t="shared" si="8"/>
        <v>150</v>
      </c>
      <c r="K56" s="58"/>
      <c r="L56" s="56"/>
      <c r="M56" s="33"/>
    </row>
    <row r="57" spans="1:13" x14ac:dyDescent="0.2">
      <c r="B57" s="53" t="s">
        <v>59</v>
      </c>
      <c r="C57" s="54"/>
      <c r="D57" s="59"/>
      <c r="E57" s="60" t="e">
        <f>IF((CEILING((SUM(G27:G56)+SUM(G20:G21))/7.5/5,1)-1),CEILING((SUM(G27:G56)+SUM(G20:G21))/7.5/5-1,1),0)</f>
        <v>#REF!</v>
      </c>
      <c r="F57" s="54"/>
      <c r="G57" s="61"/>
      <c r="H57" s="55"/>
      <c r="I57" s="56" t="e">
        <f>E57*G56*2</f>
        <v>#REF!</v>
      </c>
      <c r="J57" s="56" t="e">
        <f>E57*H56*2</f>
        <v>#REF!</v>
      </c>
      <c r="K57" s="56"/>
      <c r="L57" s="56"/>
      <c r="M57" s="33"/>
    </row>
    <row r="58" spans="1:13" x14ac:dyDescent="0.2">
      <c r="B58" s="28" t="s">
        <v>60</v>
      </c>
      <c r="C58" s="5"/>
      <c r="D58" s="29">
        <v>2</v>
      </c>
      <c r="E58" s="5">
        <v>1</v>
      </c>
      <c r="F58" s="5"/>
      <c r="G58" s="30">
        <f>E58*$C$1/$C$7</f>
        <v>2.1428571428571428</v>
      </c>
      <c r="H58" s="31">
        <f>E58*$C$1</f>
        <v>150</v>
      </c>
      <c r="I58" s="32"/>
      <c r="J58" s="33"/>
      <c r="K58" s="34"/>
      <c r="L58" s="32">
        <f>D58*G58</f>
        <v>4.2857142857142856</v>
      </c>
      <c r="M58" s="33">
        <f>H58</f>
        <v>150</v>
      </c>
    </row>
    <row r="59" spans="1:13" x14ac:dyDescent="0.2">
      <c r="B59" s="37" t="s">
        <v>61</v>
      </c>
      <c r="C59" s="38"/>
      <c r="D59" s="39">
        <f>D58</f>
        <v>2</v>
      </c>
      <c r="E59" s="44" t="e">
        <f>IF((D59-1),$C$4/(D59-1),$C$4)</f>
        <v>#REF!</v>
      </c>
      <c r="F59" s="5">
        <v>10</v>
      </c>
      <c r="G59" s="45" t="e">
        <f>$C$2*4*2/$C$8+E59*F59/60</f>
        <v>#REF!</v>
      </c>
      <c r="H59" s="49" t="e">
        <f>E59*$C$2/3</f>
        <v>#REF!</v>
      </c>
      <c r="I59" s="41"/>
      <c r="J59" s="42"/>
      <c r="K59" s="34"/>
      <c r="L59" s="32" t="e">
        <f>D59*G59</f>
        <v>#REF!</v>
      </c>
      <c r="M59" s="33" t="e">
        <f>IF((D59-1),H59*(D59-1),H59)</f>
        <v>#REF!</v>
      </c>
    </row>
    <row r="60" spans="1:13" x14ac:dyDescent="0.2">
      <c r="B60" s="28" t="s">
        <v>62</v>
      </c>
      <c r="C60" s="5"/>
      <c r="D60" s="39">
        <f>D59</f>
        <v>2</v>
      </c>
      <c r="E60" s="3">
        <v>1</v>
      </c>
      <c r="F60" s="5"/>
      <c r="G60" s="30">
        <f>E60*$C$1/$C$7</f>
        <v>2.1428571428571428</v>
      </c>
      <c r="H60" s="31">
        <f>E60*$C$1</f>
        <v>150</v>
      </c>
      <c r="I60" s="46"/>
      <c r="J60" s="33"/>
      <c r="K60" s="34"/>
      <c r="L60" s="32">
        <f>D60*G60</f>
        <v>4.2857142857142856</v>
      </c>
      <c r="M60" s="33">
        <f>H60</f>
        <v>150</v>
      </c>
    </row>
    <row r="61" spans="1:13" x14ac:dyDescent="0.2">
      <c r="B61" s="53" t="s">
        <v>63</v>
      </c>
      <c r="C61" s="54"/>
      <c r="D61" s="59"/>
      <c r="E61" s="60" t="e">
        <f>IF((CEILING(SUM(G58:G60)/7.5/5,1)-1),CEILING(SUM(G58:G60)/7.5/5,1)-1,0)</f>
        <v>#REF!</v>
      </c>
      <c r="F61" s="54"/>
      <c r="G61" s="61"/>
      <c r="H61" s="55"/>
      <c r="I61" s="56"/>
      <c r="J61" s="56"/>
      <c r="K61" s="56"/>
      <c r="L61" s="56" t="e">
        <f>E61*G60*2</f>
        <v>#REF!</v>
      </c>
      <c r="M61" s="33" t="e">
        <f>E61*H60*2</f>
        <v>#REF!</v>
      </c>
    </row>
    <row r="62" spans="1:13" x14ac:dyDescent="0.2">
      <c r="B62" s="28" t="s">
        <v>60</v>
      </c>
      <c r="C62" s="5"/>
      <c r="D62" s="35">
        <v>1</v>
      </c>
      <c r="E62" s="5">
        <v>1</v>
      </c>
      <c r="F62" s="5"/>
      <c r="G62" s="30">
        <f>E62*$C$1/$C$7</f>
        <v>2.1428571428571428</v>
      </c>
      <c r="H62" s="31">
        <f>E62*$C$1</f>
        <v>150</v>
      </c>
      <c r="I62" s="32"/>
      <c r="J62" s="33"/>
      <c r="K62" s="34"/>
      <c r="L62" s="32">
        <f>D62*G62</f>
        <v>2.1428571428571428</v>
      </c>
      <c r="M62" s="33">
        <f>H62</f>
        <v>150</v>
      </c>
    </row>
    <row r="63" spans="1:13" x14ac:dyDescent="0.2">
      <c r="B63" s="53" t="s">
        <v>64</v>
      </c>
      <c r="C63" s="54"/>
      <c r="D63" s="59">
        <v>1</v>
      </c>
      <c r="E63" s="44" t="e">
        <f>$C$4</f>
        <v>#REF!</v>
      </c>
      <c r="F63" s="54">
        <v>20</v>
      </c>
      <c r="G63" s="45" t="e">
        <f>$C$2*4*2/$C$8+E63*F63/60</f>
        <v>#REF!</v>
      </c>
      <c r="H63" s="49" t="e">
        <f>E63*$C$2/3</f>
        <v>#REF!</v>
      </c>
      <c r="I63" s="56"/>
      <c r="J63" s="57"/>
      <c r="K63" s="34"/>
      <c r="L63" s="32" t="e">
        <f>D63*G63</f>
        <v>#REF!</v>
      </c>
      <c r="M63" s="33" t="e">
        <f>H63</f>
        <v>#REF!</v>
      </c>
    </row>
    <row r="64" spans="1:13" x14ac:dyDescent="0.2">
      <c r="B64" s="53" t="s">
        <v>1</v>
      </c>
      <c r="C64" s="54"/>
      <c r="D64" s="59">
        <v>1</v>
      </c>
      <c r="E64" s="62">
        <v>1</v>
      </c>
      <c r="F64" s="54">
        <v>240</v>
      </c>
      <c r="G64" s="30">
        <f>E64*F64/60</f>
        <v>4</v>
      </c>
      <c r="H64" s="49"/>
      <c r="I64" s="56"/>
      <c r="J64" s="57"/>
      <c r="K64" s="34"/>
      <c r="L64" s="32">
        <f>D64*G64</f>
        <v>4</v>
      </c>
      <c r="M64" s="33">
        <f>H64</f>
        <v>0</v>
      </c>
    </row>
    <row r="65" spans="2:13" x14ac:dyDescent="0.2">
      <c r="B65" s="28" t="s">
        <v>62</v>
      </c>
      <c r="C65" s="5"/>
      <c r="D65" s="63">
        <v>1</v>
      </c>
      <c r="E65" s="3">
        <v>1</v>
      </c>
      <c r="F65" s="5"/>
      <c r="G65" s="30">
        <f>E65*$C$1/$C$7</f>
        <v>2.1428571428571428</v>
      </c>
      <c r="H65" s="31">
        <f>E65*$C$1</f>
        <v>150</v>
      </c>
      <c r="I65" s="46"/>
      <c r="J65" s="33"/>
      <c r="K65" s="34"/>
      <c r="L65" s="32">
        <f>D65*G65</f>
        <v>2.1428571428571428</v>
      </c>
      <c r="M65" s="33">
        <f>H65</f>
        <v>150</v>
      </c>
    </row>
    <row r="66" spans="2:13" x14ac:dyDescent="0.2">
      <c r="B66" s="53" t="s">
        <v>63</v>
      </c>
      <c r="C66" s="54"/>
      <c r="D66" s="59"/>
      <c r="E66" s="60" t="e">
        <f>IF((CEILING(SUM(G62:G65)/7.5/5,1)-1),CEILING(SUM(G62:G65)/7.5/5,1)-1,0)</f>
        <v>#REF!</v>
      </c>
      <c r="F66" s="54"/>
      <c r="G66" s="61"/>
      <c r="H66" s="55"/>
      <c r="I66" s="56"/>
      <c r="J66" s="56"/>
      <c r="K66" s="56"/>
      <c r="L66" s="56" t="e">
        <f>E66*G65*2</f>
        <v>#REF!</v>
      </c>
      <c r="M66" s="33" t="e">
        <f>E66*H65*2</f>
        <v>#REF!</v>
      </c>
    </row>
    <row r="67" spans="2:13" x14ac:dyDescent="0.2">
      <c r="B67" s="28" t="s">
        <v>65</v>
      </c>
      <c r="C67" s="5"/>
      <c r="D67" s="35">
        <v>2</v>
      </c>
      <c r="E67" s="5" t="e">
        <f>IF(E68,1,0)</f>
        <v>#REF!</v>
      </c>
      <c r="F67" s="5"/>
      <c r="G67" s="30" t="e">
        <f>E67*$C$1/$C$7</f>
        <v>#REF!</v>
      </c>
      <c r="H67" s="31" t="e">
        <f>E67*$C$1</f>
        <v>#REF!</v>
      </c>
      <c r="I67" s="32"/>
      <c r="J67" s="33"/>
      <c r="K67" s="34"/>
      <c r="L67" s="32" t="e">
        <f>D67*G67</f>
        <v>#REF!</v>
      </c>
      <c r="M67" s="33" t="e">
        <f>H67</f>
        <v>#REF!</v>
      </c>
    </row>
    <row r="68" spans="2:13" x14ac:dyDescent="0.2">
      <c r="B68" s="53" t="s">
        <v>66</v>
      </c>
      <c r="C68" s="54"/>
      <c r="D68" s="35">
        <v>2</v>
      </c>
      <c r="E68" s="44" t="e">
        <f>SUM(C12:C13)*0.15</f>
        <v>#REF!</v>
      </c>
      <c r="F68" s="54">
        <v>20</v>
      </c>
      <c r="G68" s="30" t="e">
        <f>E68*F68/60</f>
        <v>#REF!</v>
      </c>
      <c r="H68" s="49" t="e">
        <f>E68*$C$2/3</f>
        <v>#REF!</v>
      </c>
      <c r="I68" s="56"/>
      <c r="J68" s="57"/>
      <c r="K68" s="34"/>
      <c r="L68" s="32" t="e">
        <f>D68*G68</f>
        <v>#REF!</v>
      </c>
      <c r="M68" s="33" t="e">
        <f>H68</f>
        <v>#REF!</v>
      </c>
    </row>
    <row r="69" spans="2:13" x14ac:dyDescent="0.2">
      <c r="B69" s="28" t="s">
        <v>62</v>
      </c>
      <c r="C69" s="5"/>
      <c r="D69" s="35">
        <v>2</v>
      </c>
      <c r="E69" s="3" t="e">
        <f>IF(E68,1,0)</f>
        <v>#REF!</v>
      </c>
      <c r="F69" s="5"/>
      <c r="G69" s="30" t="e">
        <f>E69*$C$1/$C$7</f>
        <v>#REF!</v>
      </c>
      <c r="H69" s="31" t="e">
        <f>E69*$C$1</f>
        <v>#REF!</v>
      </c>
      <c r="I69" s="46"/>
      <c r="J69" s="33"/>
      <c r="K69" s="34"/>
      <c r="L69" s="32" t="e">
        <f>D69*G69</f>
        <v>#REF!</v>
      </c>
      <c r="M69" s="33" t="e">
        <f>H69</f>
        <v>#REF!</v>
      </c>
    </row>
    <row r="70" spans="2:13" x14ac:dyDescent="0.2">
      <c r="B70" s="53" t="s">
        <v>63</v>
      </c>
      <c r="C70" s="54"/>
      <c r="D70" s="59"/>
      <c r="E70" s="60" t="e">
        <f>IF((CEILING(SUM(G67:G69)/7.5/5,1)-1),CEILING(SUM(G67:G69)/7.5/5,1)-1,0)</f>
        <v>#REF!</v>
      </c>
      <c r="F70" s="54"/>
      <c r="G70" s="61"/>
      <c r="H70" s="55"/>
      <c r="I70" s="56"/>
      <c r="J70" s="56"/>
      <c r="K70" s="56"/>
      <c r="L70" s="56" t="e">
        <f>E70*G69*2</f>
        <v>#REF!</v>
      </c>
      <c r="M70" s="33" t="e">
        <f>E70*H69*2</f>
        <v>#REF!</v>
      </c>
    </row>
    <row r="71" spans="2:13" x14ac:dyDescent="0.2">
      <c r="B71" s="28" t="s">
        <v>67</v>
      </c>
      <c r="C71" s="5"/>
      <c r="D71" s="5"/>
      <c r="E71" s="5"/>
      <c r="F71" s="5"/>
      <c r="G71" s="5"/>
      <c r="H71" s="5"/>
      <c r="I71" s="34" t="e">
        <f>SUM(I20:I66)</f>
        <v>#REF!</v>
      </c>
      <c r="J71" s="33" t="e">
        <f>SUM(J20:J66)</f>
        <v>#REF!</v>
      </c>
      <c r="K71" s="34"/>
      <c r="L71" s="34" t="e">
        <f>SUM(L20:L66)</f>
        <v>#REF!</v>
      </c>
      <c r="M71" s="33" t="e">
        <f>SUM(M20:M66)</f>
        <v>#REF!</v>
      </c>
    </row>
    <row r="72" spans="2:13" x14ac:dyDescent="0.2">
      <c r="B72" s="28" t="s">
        <v>68</v>
      </c>
      <c r="C72" s="5"/>
      <c r="D72" s="5"/>
      <c r="E72" s="5"/>
      <c r="F72" s="5"/>
      <c r="G72" s="5"/>
      <c r="H72" s="5"/>
      <c r="I72" s="34" t="e">
        <f>CEILING(SUM(G20:G56)/7.5,1)</f>
        <v>#REF!</v>
      </c>
      <c r="J72" s="33"/>
      <c r="K72" s="34"/>
      <c r="L72" s="34" t="e">
        <f>CEILING((SUM(G58:G65)+SUM(G20:G26)+G28)/7.5,1)</f>
        <v>#REF!</v>
      </c>
      <c r="M72" s="33"/>
    </row>
    <row r="73" spans="2:13" x14ac:dyDescent="0.2">
      <c r="B73" s="28" t="s">
        <v>69</v>
      </c>
      <c r="C73" s="5"/>
      <c r="D73" s="5"/>
      <c r="E73" s="5"/>
      <c r="F73" s="5"/>
      <c r="G73" s="5"/>
      <c r="H73" s="5"/>
      <c r="I73" s="34" t="e">
        <f>I72/5</f>
        <v>#REF!</v>
      </c>
      <c r="J73" s="4"/>
      <c r="K73" s="3"/>
      <c r="L73" s="34" t="e">
        <f>L72/5</f>
        <v>#REF!</v>
      </c>
      <c r="M73" s="4"/>
    </row>
    <row r="74" spans="2:13" s="64" customFormat="1" ht="15.75" x14ac:dyDescent="0.25">
      <c r="B74" s="65" t="s">
        <v>70</v>
      </c>
      <c r="C74" s="66"/>
      <c r="D74" s="66"/>
      <c r="E74" s="66"/>
      <c r="F74" s="66"/>
      <c r="G74" s="66"/>
      <c r="H74" s="66"/>
      <c r="I74" s="67" t="e">
        <f>CEILING(SUM(G20:G66)/7.5,1)</f>
        <v>#REF!</v>
      </c>
      <c r="J74" s="68"/>
      <c r="K74" s="69"/>
      <c r="L74" s="66"/>
      <c r="M74" s="68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 x14ac:dyDescent="0.2"/>
  <cols>
    <col min="1" max="1" width="4" style="70" customWidth="1"/>
    <col min="2" max="2" width="11" style="70" customWidth="1"/>
    <col min="3" max="3" width="3.85546875" style="71" customWidth="1"/>
    <col min="4" max="4" width="38.140625" style="70" customWidth="1"/>
    <col min="5" max="5" width="4.5703125" style="72" customWidth="1"/>
    <col min="6" max="6" width="6.5703125" style="73" customWidth="1"/>
    <col min="7" max="7" width="10.7109375" style="74" customWidth="1"/>
    <col min="8" max="8" width="4.5703125" style="70" customWidth="1"/>
    <col min="9" max="9" width="6.85546875" style="73" customWidth="1"/>
    <col min="10" max="11" width="12.42578125" style="74" customWidth="1"/>
    <col min="12" max="16384" width="8.7109375" style="70"/>
  </cols>
  <sheetData>
    <row r="1" spans="1:12" s="75" customFormat="1" ht="37.5" customHeight="1" x14ac:dyDescent="0.2">
      <c r="A1" s="247" t="s">
        <v>71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2" s="77" customFormat="1" ht="12.75" customHeight="1" x14ac:dyDescent="0.2">
      <c r="A2" s="76" t="s">
        <v>72</v>
      </c>
      <c r="D2" s="78">
        <v>37503</v>
      </c>
      <c r="E2" s="79"/>
      <c r="F2" s="80"/>
      <c r="I2" s="80"/>
      <c r="J2" s="81" t="s">
        <v>73</v>
      </c>
      <c r="K2" s="82">
        <v>0</v>
      </c>
    </row>
    <row r="3" spans="1:12" s="85" customFormat="1" ht="39" customHeight="1" x14ac:dyDescent="0.2">
      <c r="A3" s="83" t="s">
        <v>74</v>
      </c>
      <c r="B3" s="248" t="s">
        <v>75</v>
      </c>
      <c r="C3" s="248"/>
      <c r="D3" s="83" t="s">
        <v>76</v>
      </c>
      <c r="E3" s="83" t="s">
        <v>77</v>
      </c>
      <c r="F3" s="83" t="s">
        <v>78</v>
      </c>
      <c r="G3" s="84" t="s">
        <v>79</v>
      </c>
      <c r="H3" s="83" t="s">
        <v>77</v>
      </c>
      <c r="I3" s="83" t="s">
        <v>78</v>
      </c>
      <c r="J3" s="84" t="s">
        <v>79</v>
      </c>
      <c r="K3" s="84" t="s">
        <v>80</v>
      </c>
    </row>
    <row r="4" spans="1:12" ht="12.75" customHeight="1" x14ac:dyDescent="0.2">
      <c r="A4" s="86"/>
      <c r="B4" s="86"/>
      <c r="C4" s="86"/>
      <c r="D4" s="86"/>
      <c r="E4" s="86"/>
      <c r="F4" s="87"/>
      <c r="G4" s="88"/>
      <c r="H4" s="86"/>
      <c r="I4" s="87"/>
      <c r="J4" s="88"/>
      <c r="K4" s="88"/>
    </row>
    <row r="5" spans="1:12" s="75" customFormat="1" x14ac:dyDescent="0.2">
      <c r="A5" s="89" t="s">
        <v>81</v>
      </c>
      <c r="B5" s="90"/>
      <c r="C5" s="90"/>
      <c r="D5" s="91" t="s">
        <v>82</v>
      </c>
      <c r="E5" s="92"/>
      <c r="F5" s="93"/>
      <c r="G5" s="94"/>
      <c r="H5" s="92"/>
      <c r="I5" s="93"/>
      <c r="J5" s="94"/>
      <c r="K5" s="94"/>
    </row>
    <row r="6" spans="1:12" s="75" customFormat="1" x14ac:dyDescent="0.2">
      <c r="A6" s="89" t="s">
        <v>83</v>
      </c>
      <c r="B6" s="90"/>
      <c r="C6" s="90"/>
      <c r="D6" s="95" t="s">
        <v>84</v>
      </c>
      <c r="E6" s="92"/>
      <c r="F6" s="93"/>
      <c r="G6" s="94"/>
      <c r="H6" s="92"/>
      <c r="I6" s="93"/>
      <c r="J6" s="94"/>
      <c r="K6" s="94"/>
    </row>
    <row r="7" spans="1:12" s="75" customFormat="1" x14ac:dyDescent="0.2">
      <c r="A7" s="89" t="s">
        <v>85</v>
      </c>
      <c r="B7" s="90"/>
      <c r="C7" s="90"/>
      <c r="D7" s="96" t="s">
        <v>86</v>
      </c>
      <c r="E7" s="92"/>
      <c r="F7" s="93"/>
      <c r="G7" s="94"/>
      <c r="H7" s="92"/>
      <c r="I7" s="93"/>
      <c r="J7" s="94"/>
      <c r="K7" s="94"/>
    </row>
    <row r="8" spans="1:12" s="75" customFormat="1" x14ac:dyDescent="0.2">
      <c r="A8" s="89" t="s">
        <v>87</v>
      </c>
      <c r="B8" s="90"/>
      <c r="C8" s="90"/>
      <c r="D8" s="96" t="s">
        <v>86</v>
      </c>
      <c r="E8" s="92"/>
      <c r="F8" s="93"/>
      <c r="G8" s="94"/>
      <c r="H8" s="92"/>
      <c r="I8" s="93"/>
      <c r="J8" s="94"/>
      <c r="K8" s="94"/>
    </row>
    <row r="9" spans="1:12" s="75" customFormat="1" x14ac:dyDescent="0.2">
      <c r="A9" s="89" t="s">
        <v>88</v>
      </c>
      <c r="B9" s="90"/>
      <c r="C9" s="90"/>
      <c r="D9" s="95" t="s">
        <v>89</v>
      </c>
      <c r="E9" s="92"/>
      <c r="F9" s="93"/>
      <c r="G9" s="94"/>
      <c r="H9" s="92"/>
      <c r="I9" s="93"/>
      <c r="J9" s="94"/>
      <c r="K9" s="94"/>
    </row>
    <row r="10" spans="1:12" s="75" customFormat="1" ht="15" customHeight="1" x14ac:dyDescent="0.2">
      <c r="A10" s="97"/>
      <c r="B10" s="90"/>
      <c r="C10" s="90"/>
      <c r="D10" s="98"/>
      <c r="E10" s="92"/>
      <c r="F10" s="93"/>
      <c r="G10" s="94"/>
      <c r="H10" s="92"/>
      <c r="I10" s="93"/>
      <c r="J10" s="94"/>
      <c r="K10" s="94"/>
    </row>
    <row r="11" spans="1:12" s="107" customFormat="1" ht="15" customHeight="1" x14ac:dyDescent="0.25">
      <c r="A11" s="99" t="s">
        <v>90</v>
      </c>
      <c r="B11" s="100"/>
      <c r="C11" s="101"/>
      <c r="D11" s="102"/>
      <c r="E11" s="103"/>
      <c r="F11" s="104"/>
      <c r="G11" s="105"/>
      <c r="H11" s="103"/>
      <c r="I11" s="104"/>
      <c r="J11" s="105"/>
      <c r="K11" s="105"/>
      <c r="L11" s="106"/>
    </row>
    <row r="12" spans="1:12" s="107" customFormat="1" ht="15" customHeight="1" x14ac:dyDescent="0.25">
      <c r="A12" s="108"/>
      <c r="B12" s="109"/>
      <c r="C12" s="110"/>
      <c r="D12" s="111"/>
      <c r="E12" s="112"/>
      <c r="F12" s="113"/>
      <c r="G12" s="114"/>
      <c r="H12" s="112"/>
      <c r="I12" s="113"/>
      <c r="J12" s="114"/>
      <c r="K12" s="114"/>
      <c r="L12" s="106"/>
    </row>
    <row r="13" spans="1:12" s="107" customFormat="1" x14ac:dyDescent="0.2">
      <c r="A13" s="115" t="s">
        <v>91</v>
      </c>
      <c r="B13" s="116"/>
      <c r="C13" s="110"/>
      <c r="D13" s="117"/>
      <c r="E13" s="118"/>
      <c r="F13" s="113"/>
      <c r="G13" s="114"/>
      <c r="H13" s="119"/>
      <c r="I13" s="113"/>
      <c r="J13" s="114"/>
      <c r="K13" s="114"/>
      <c r="L13" s="106"/>
    </row>
    <row r="14" spans="1:12" s="107" customFormat="1" ht="12.95" customHeight="1" x14ac:dyDescent="0.2">
      <c r="A14" s="120">
        <v>1</v>
      </c>
      <c r="B14" s="246"/>
      <c r="C14" s="246"/>
      <c r="D14" s="122" t="s">
        <v>92</v>
      </c>
      <c r="E14" s="123" t="s">
        <v>25</v>
      </c>
      <c r="F14" s="124">
        <v>30</v>
      </c>
      <c r="G14" s="125">
        <v>203</v>
      </c>
      <c r="H14" s="121"/>
      <c r="I14" s="122" t="s">
        <v>93</v>
      </c>
      <c r="J14" s="126">
        <f>(G14*0.35)</f>
        <v>71.05</v>
      </c>
      <c r="K14" s="127">
        <f>(F14*G14)+(F14*J14)</f>
        <v>8221.5</v>
      </c>
      <c r="L14" s="106"/>
    </row>
    <row r="15" spans="1:12" s="107" customFormat="1" x14ac:dyDescent="0.2">
      <c r="A15" s="115" t="s">
        <v>94</v>
      </c>
      <c r="B15" s="116"/>
      <c r="C15" s="110"/>
      <c r="D15" s="117"/>
      <c r="E15" s="118"/>
      <c r="F15" s="128"/>
      <c r="G15" s="114"/>
      <c r="H15" s="119"/>
      <c r="I15" s="113"/>
      <c r="J15" s="114"/>
      <c r="K15" s="114"/>
      <c r="L15" s="106"/>
    </row>
    <row r="16" spans="1:12" s="107" customFormat="1" ht="12.95" customHeight="1" x14ac:dyDescent="0.2">
      <c r="A16" s="120">
        <v>2</v>
      </c>
      <c r="B16" s="246"/>
      <c r="C16" s="246"/>
      <c r="D16" s="122" t="s">
        <v>95</v>
      </c>
      <c r="E16" s="123" t="s">
        <v>25</v>
      </c>
      <c r="F16" s="124">
        <v>0</v>
      </c>
      <c r="G16" s="126">
        <v>114.3</v>
      </c>
      <c r="H16" s="121"/>
      <c r="I16" s="122" t="s">
        <v>93</v>
      </c>
      <c r="J16" s="126">
        <f>(G16*0.35)</f>
        <v>40.004999999999995</v>
      </c>
      <c r="K16" s="127">
        <f>(F16*G16)+(F16*J16)</f>
        <v>0</v>
      </c>
      <c r="L16" s="106"/>
    </row>
    <row r="17" spans="1:12" s="107" customFormat="1" x14ac:dyDescent="0.2">
      <c r="A17" s="115" t="s">
        <v>96</v>
      </c>
      <c r="B17" s="109"/>
      <c r="C17" s="110"/>
      <c r="D17" s="111"/>
      <c r="E17" s="129"/>
      <c r="F17" s="130"/>
      <c r="G17" s="114"/>
      <c r="H17" s="112"/>
      <c r="I17" s="113"/>
      <c r="J17" s="114"/>
      <c r="K17" s="114"/>
      <c r="L17" s="106"/>
    </row>
    <row r="18" spans="1:12" s="107" customFormat="1" ht="12.95" customHeight="1" x14ac:dyDescent="0.2">
      <c r="A18" s="120">
        <v>3</v>
      </c>
      <c r="B18" s="246"/>
      <c r="C18" s="246"/>
      <c r="D18" s="122" t="s">
        <v>97</v>
      </c>
      <c r="E18" s="123" t="s">
        <v>25</v>
      </c>
      <c r="F18" s="124" t="e">
        <f>'Doba instalace'!L71</f>
        <v>#REF!</v>
      </c>
      <c r="G18" s="131">
        <v>89</v>
      </c>
      <c r="H18" s="121"/>
      <c r="I18" s="122" t="s">
        <v>93</v>
      </c>
      <c r="J18" s="126">
        <f>(G18*0.35)</f>
        <v>31.15</v>
      </c>
      <c r="K18" s="127" t="e">
        <f>(F18*G18)+(F18*J18)</f>
        <v>#REF!</v>
      </c>
      <c r="L18" s="106"/>
    </row>
    <row r="19" spans="1:12" s="107" customFormat="1" x14ac:dyDescent="0.2">
      <c r="A19" s="115" t="s">
        <v>98</v>
      </c>
      <c r="B19" s="109"/>
      <c r="C19" s="110"/>
      <c r="D19" s="111"/>
      <c r="E19" s="129"/>
      <c r="F19" s="130"/>
      <c r="G19" s="114"/>
      <c r="H19" s="112"/>
      <c r="I19" s="113"/>
      <c r="J19" s="114"/>
      <c r="K19" s="114"/>
      <c r="L19" s="106"/>
    </row>
    <row r="20" spans="1:12" s="107" customFormat="1" ht="12.95" customHeight="1" x14ac:dyDescent="0.2">
      <c r="A20" s="120"/>
      <c r="B20" s="246"/>
      <c r="C20" s="246"/>
      <c r="D20" s="122" t="s">
        <v>97</v>
      </c>
      <c r="E20" s="123" t="s">
        <v>25</v>
      </c>
      <c r="F20" s="124" t="e">
        <f>'Doba instalace'!I71</f>
        <v>#REF!</v>
      </c>
      <c r="G20" s="131">
        <v>127</v>
      </c>
      <c r="H20" s="121"/>
      <c r="I20" s="122" t="s">
        <v>93</v>
      </c>
      <c r="J20" s="126">
        <f>(G20*0.35)</f>
        <v>44.449999999999996</v>
      </c>
      <c r="K20" s="127" t="e">
        <f>(F20*G20)+(F20*J20)</f>
        <v>#REF!</v>
      </c>
      <c r="L20" s="106"/>
    </row>
    <row r="21" spans="1:12" s="107" customFormat="1" ht="12.95" customHeight="1" x14ac:dyDescent="0.2">
      <c r="A21" s="118"/>
      <c r="B21" s="112"/>
      <c r="C21" s="112"/>
      <c r="D21" s="111"/>
      <c r="E21" s="132"/>
      <c r="F21" s="130"/>
      <c r="G21" s="133"/>
      <c r="H21" s="112"/>
      <c r="I21" s="111"/>
      <c r="J21" s="133"/>
      <c r="K21" s="114"/>
      <c r="L21" s="106"/>
    </row>
    <row r="22" spans="1:12" s="107" customFormat="1" ht="12.95" customHeight="1" x14ac:dyDescent="0.2">
      <c r="A22" s="134" t="s">
        <v>99</v>
      </c>
      <c r="B22" s="135"/>
      <c r="C22" s="135"/>
      <c r="D22" s="136"/>
      <c r="E22" s="137"/>
      <c r="F22" s="138"/>
      <c r="G22" s="139"/>
      <c r="H22" s="135"/>
      <c r="I22" s="136"/>
      <c r="J22" s="139"/>
      <c r="K22" s="140" t="e">
        <f>SUM(K14:K20)</f>
        <v>#REF!</v>
      </c>
      <c r="L22" s="106"/>
    </row>
    <row r="23" spans="1:12" s="107" customFormat="1" ht="12.95" customHeight="1" x14ac:dyDescent="0.2">
      <c r="A23" s="141"/>
      <c r="B23" s="112"/>
      <c r="C23" s="112"/>
      <c r="D23" s="111"/>
      <c r="E23" s="132"/>
      <c r="F23" s="130"/>
      <c r="G23" s="133"/>
      <c r="H23" s="112"/>
      <c r="I23" s="111"/>
      <c r="J23" s="133"/>
      <c r="K23" s="114"/>
      <c r="L23" s="106"/>
    </row>
    <row r="24" spans="1:12" s="107" customFormat="1" x14ac:dyDescent="0.2">
      <c r="A24" s="115" t="s">
        <v>100</v>
      </c>
      <c r="B24" s="116"/>
      <c r="C24" s="110"/>
      <c r="D24" s="117"/>
      <c r="E24" s="118"/>
      <c r="F24" s="113"/>
      <c r="G24" s="114"/>
      <c r="H24" s="119"/>
      <c r="I24" s="113"/>
      <c r="J24" s="114"/>
      <c r="K24" s="114"/>
      <c r="L24" s="106"/>
    </row>
    <row r="25" spans="1:12" s="107" customFormat="1" ht="12.95" customHeight="1" x14ac:dyDescent="0.2">
      <c r="A25" s="120">
        <v>4</v>
      </c>
      <c r="B25" s="244" t="s">
        <v>101</v>
      </c>
      <c r="C25" s="244"/>
      <c r="D25" s="142" t="s">
        <v>102</v>
      </c>
      <c r="E25" s="121" t="s">
        <v>103</v>
      </c>
      <c r="F25" s="143">
        <v>0</v>
      </c>
      <c r="G25" s="126">
        <v>584</v>
      </c>
      <c r="H25" s="121" t="s">
        <v>24</v>
      </c>
      <c r="I25" s="143">
        <v>0</v>
      </c>
      <c r="J25" s="126">
        <v>1.95</v>
      </c>
      <c r="K25" s="127">
        <f t="shared" ref="K25:K35" si="0">(F25*G25)+(I25*J25)</f>
        <v>0</v>
      </c>
      <c r="L25" s="106"/>
    </row>
    <row r="26" spans="1:12" s="107" customFormat="1" ht="12.75" customHeight="1" x14ac:dyDescent="0.2">
      <c r="A26" s="120">
        <v>5</v>
      </c>
      <c r="B26" s="244" t="s">
        <v>104</v>
      </c>
      <c r="C26" s="244"/>
      <c r="D26" s="142" t="s">
        <v>105</v>
      </c>
      <c r="E26" s="121" t="s">
        <v>103</v>
      </c>
      <c r="F26" s="143">
        <v>0</v>
      </c>
      <c r="G26" s="126">
        <v>397</v>
      </c>
      <c r="H26" s="121" t="s">
        <v>24</v>
      </c>
      <c r="I26" s="143">
        <v>0</v>
      </c>
      <c r="J26" s="126">
        <v>1.3</v>
      </c>
      <c r="K26" s="127">
        <f t="shared" si="0"/>
        <v>0</v>
      </c>
      <c r="L26" s="106"/>
    </row>
    <row r="27" spans="1:12" s="107" customFormat="1" ht="12.95" customHeight="1" x14ac:dyDescent="0.2">
      <c r="A27" s="120">
        <v>6</v>
      </c>
      <c r="B27" s="244" t="s">
        <v>106</v>
      </c>
      <c r="C27" s="244"/>
      <c r="D27" s="142" t="s">
        <v>107</v>
      </c>
      <c r="E27" s="121" t="s">
        <v>103</v>
      </c>
      <c r="F27" s="143">
        <v>0</v>
      </c>
      <c r="G27" s="126">
        <v>281</v>
      </c>
      <c r="H27" s="121" t="s">
        <v>24</v>
      </c>
      <c r="I27" s="143">
        <v>0</v>
      </c>
      <c r="J27" s="126">
        <v>2.5</v>
      </c>
      <c r="K27" s="127">
        <f t="shared" si="0"/>
        <v>0</v>
      </c>
      <c r="L27" s="106"/>
    </row>
    <row r="28" spans="1:12" s="107" customFormat="1" ht="12.75" customHeight="1" x14ac:dyDescent="0.2">
      <c r="A28" s="120">
        <v>7</v>
      </c>
      <c r="B28" s="144" t="s">
        <v>108</v>
      </c>
      <c r="C28" s="145"/>
      <c r="D28" s="146" t="s">
        <v>109</v>
      </c>
      <c r="E28" s="121" t="s">
        <v>103</v>
      </c>
      <c r="F28" s="143">
        <v>0</v>
      </c>
      <c r="G28" s="126">
        <v>203</v>
      </c>
      <c r="H28" s="121" t="s">
        <v>24</v>
      </c>
      <c r="I28" s="143">
        <v>0</v>
      </c>
      <c r="J28" s="126">
        <v>2.5499999999999998</v>
      </c>
      <c r="K28" s="127">
        <f t="shared" si="0"/>
        <v>0</v>
      </c>
      <c r="L28" s="106"/>
    </row>
    <row r="29" spans="1:12" s="107" customFormat="1" ht="12.75" customHeight="1" x14ac:dyDescent="0.2">
      <c r="A29" s="120">
        <v>8</v>
      </c>
      <c r="B29" s="144" t="s">
        <v>110</v>
      </c>
      <c r="C29" s="145"/>
      <c r="D29" s="146" t="s">
        <v>111</v>
      </c>
      <c r="E29" s="121" t="s">
        <v>103</v>
      </c>
      <c r="F29" s="143">
        <v>0</v>
      </c>
      <c r="G29" s="126">
        <v>130</v>
      </c>
      <c r="H29" s="121" t="s">
        <v>24</v>
      </c>
      <c r="I29" s="143">
        <v>0</v>
      </c>
      <c r="J29" s="126">
        <v>1.75</v>
      </c>
      <c r="K29" s="127">
        <f t="shared" si="0"/>
        <v>0</v>
      </c>
      <c r="L29" s="106"/>
    </row>
    <row r="30" spans="1:12" s="107" customFormat="1" ht="12.75" customHeight="1" x14ac:dyDescent="0.2">
      <c r="A30" s="120">
        <v>9</v>
      </c>
      <c r="B30" s="245" t="s">
        <v>112</v>
      </c>
      <c r="C30" s="245"/>
      <c r="D30" s="146" t="s">
        <v>113</v>
      </c>
      <c r="E30" s="121" t="s">
        <v>103</v>
      </c>
      <c r="F30" s="143">
        <v>0</v>
      </c>
      <c r="G30" s="126">
        <v>130</v>
      </c>
      <c r="H30" s="121" t="s">
        <v>24</v>
      </c>
      <c r="I30" s="143">
        <v>0</v>
      </c>
      <c r="J30" s="126">
        <v>1.75</v>
      </c>
      <c r="K30" s="127">
        <f t="shared" si="0"/>
        <v>0</v>
      </c>
      <c r="L30" s="106"/>
    </row>
    <row r="31" spans="1:12" s="107" customFormat="1" ht="12.75" customHeight="1" x14ac:dyDescent="0.2">
      <c r="A31" s="120">
        <v>10</v>
      </c>
      <c r="B31" s="144" t="s">
        <v>114</v>
      </c>
      <c r="C31" s="145"/>
      <c r="D31" s="146" t="s">
        <v>115</v>
      </c>
      <c r="E31" s="121" t="s">
        <v>103</v>
      </c>
      <c r="F31" s="143" t="e">
        <f>4+'Doba instalace'!I72</f>
        <v>#REF!</v>
      </c>
      <c r="G31" s="126">
        <v>215</v>
      </c>
      <c r="H31" s="121" t="s">
        <v>24</v>
      </c>
      <c r="I31" s="143" t="e">
        <f>400+'Doba instalace'!J71</f>
        <v>#REF!</v>
      </c>
      <c r="J31" s="126">
        <v>1.5</v>
      </c>
      <c r="K31" s="127" t="e">
        <f t="shared" si="0"/>
        <v>#REF!</v>
      </c>
      <c r="L31" s="106"/>
    </row>
    <row r="32" spans="1:12" s="107" customFormat="1" ht="12.75" customHeight="1" x14ac:dyDescent="0.2">
      <c r="A32" s="120">
        <v>11</v>
      </c>
      <c r="B32" s="144" t="s">
        <v>116</v>
      </c>
      <c r="C32" s="145"/>
      <c r="D32" s="146" t="s">
        <v>117</v>
      </c>
      <c r="E32" s="121" t="s">
        <v>103</v>
      </c>
      <c r="F32" s="143" t="e">
        <f>'Doba instalace'!L72</f>
        <v>#REF!</v>
      </c>
      <c r="G32" s="126">
        <v>397</v>
      </c>
      <c r="H32" s="121" t="s">
        <v>24</v>
      </c>
      <c r="I32" s="143" t="e">
        <f>'Doba instalace'!M71</f>
        <v>#REF!</v>
      </c>
      <c r="J32" s="126">
        <v>1.3</v>
      </c>
      <c r="K32" s="127" t="e">
        <f t="shared" si="0"/>
        <v>#REF!</v>
      </c>
      <c r="L32" s="106"/>
    </row>
    <row r="33" spans="1:12" s="107" customFormat="1" ht="12.75" customHeight="1" x14ac:dyDescent="0.2">
      <c r="A33" s="120">
        <v>12</v>
      </c>
      <c r="B33" s="144" t="s">
        <v>118</v>
      </c>
      <c r="C33" s="145"/>
      <c r="D33" s="146" t="s">
        <v>119</v>
      </c>
      <c r="E33" s="121" t="s">
        <v>103</v>
      </c>
      <c r="F33" s="143">
        <v>0</v>
      </c>
      <c r="G33" s="126">
        <v>130</v>
      </c>
      <c r="H33" s="121" t="s">
        <v>24</v>
      </c>
      <c r="I33" s="143">
        <v>0</v>
      </c>
      <c r="J33" s="126">
        <v>1.75</v>
      </c>
      <c r="K33" s="127">
        <f t="shared" si="0"/>
        <v>0</v>
      </c>
      <c r="L33" s="106"/>
    </row>
    <row r="34" spans="1:12" s="107" customFormat="1" ht="12.75" customHeight="1" x14ac:dyDescent="0.2">
      <c r="A34" s="120">
        <v>13</v>
      </c>
      <c r="B34" s="245" t="s">
        <v>120</v>
      </c>
      <c r="C34" s="245"/>
      <c r="D34" s="146" t="s">
        <v>121</v>
      </c>
      <c r="E34" s="121" t="s">
        <v>103</v>
      </c>
      <c r="F34" s="143">
        <v>0</v>
      </c>
      <c r="G34" s="126">
        <v>449</v>
      </c>
      <c r="H34" s="121" t="s">
        <v>24</v>
      </c>
      <c r="I34" s="143">
        <v>0</v>
      </c>
      <c r="J34" s="126">
        <v>1.05</v>
      </c>
      <c r="K34" s="127">
        <f t="shared" si="0"/>
        <v>0</v>
      </c>
      <c r="L34" s="106"/>
    </row>
    <row r="35" spans="1:12" s="107" customFormat="1" ht="12.75" customHeight="1" x14ac:dyDescent="0.2">
      <c r="A35" s="120">
        <v>14</v>
      </c>
      <c r="B35" s="245" t="s">
        <v>122</v>
      </c>
      <c r="C35" s="245"/>
      <c r="D35" s="146" t="s">
        <v>123</v>
      </c>
      <c r="E35" s="121" t="s">
        <v>103</v>
      </c>
      <c r="F35" s="143">
        <v>0</v>
      </c>
      <c r="G35" s="126">
        <v>391</v>
      </c>
      <c r="H35" s="121" t="s">
        <v>24</v>
      </c>
      <c r="I35" s="143">
        <v>0</v>
      </c>
      <c r="J35" s="126">
        <v>2.2999999999999998</v>
      </c>
      <c r="K35" s="127">
        <f t="shared" si="0"/>
        <v>0</v>
      </c>
      <c r="L35" s="106"/>
    </row>
    <row r="36" spans="1:12" s="107" customFormat="1" x14ac:dyDescent="0.2">
      <c r="A36" s="115" t="s">
        <v>124</v>
      </c>
      <c r="B36" s="116"/>
      <c r="C36" s="110"/>
      <c r="D36" s="117"/>
      <c r="E36" s="118"/>
      <c r="F36" s="113"/>
      <c r="G36" s="114"/>
      <c r="H36" s="119"/>
      <c r="I36" s="113"/>
      <c r="J36" s="114"/>
      <c r="K36" s="114"/>
      <c r="L36" s="106"/>
    </row>
    <row r="37" spans="1:12" s="107" customFormat="1" ht="12.95" customHeight="1" x14ac:dyDescent="0.2">
      <c r="A37" s="120">
        <v>15</v>
      </c>
      <c r="B37" s="237" t="s">
        <v>125</v>
      </c>
      <c r="C37" s="237"/>
      <c r="D37" s="144" t="s">
        <v>126</v>
      </c>
      <c r="E37" s="121" t="s">
        <v>24</v>
      </c>
      <c r="F37" s="143">
        <v>0</v>
      </c>
      <c r="G37" s="126">
        <v>1.8</v>
      </c>
      <c r="H37" s="121" t="s">
        <v>24</v>
      </c>
      <c r="I37" s="122">
        <f>SUM(F37)</f>
        <v>0</v>
      </c>
      <c r="J37" s="126">
        <v>3.3</v>
      </c>
      <c r="K37" s="127">
        <f>F37*(G37+J37)</f>
        <v>0</v>
      </c>
      <c r="L37" s="106"/>
    </row>
    <row r="38" spans="1:12" s="107" customFormat="1" ht="12.95" customHeight="1" x14ac:dyDescent="0.2">
      <c r="A38" s="120">
        <v>16</v>
      </c>
      <c r="B38" s="237" t="s">
        <v>125</v>
      </c>
      <c r="C38" s="237"/>
      <c r="D38" s="144" t="s">
        <v>127</v>
      </c>
      <c r="E38" s="121" t="s">
        <v>24</v>
      </c>
      <c r="F38" s="143">
        <v>0</v>
      </c>
      <c r="G38" s="126">
        <v>2.4</v>
      </c>
      <c r="H38" s="121" t="s">
        <v>24</v>
      </c>
      <c r="I38" s="122">
        <f>SUM(F38)</f>
        <v>0</v>
      </c>
      <c r="J38" s="126">
        <v>3.3</v>
      </c>
      <c r="K38" s="127">
        <f>F38*(G38+J38)</f>
        <v>0</v>
      </c>
      <c r="L38" s="106"/>
    </row>
    <row r="39" spans="1:12" s="107" customFormat="1" ht="12.95" customHeight="1" x14ac:dyDescent="0.2">
      <c r="A39" s="120">
        <v>17</v>
      </c>
      <c r="B39" s="237" t="s">
        <v>125</v>
      </c>
      <c r="C39" s="237"/>
      <c r="D39" s="144" t="s">
        <v>128</v>
      </c>
      <c r="E39" s="121" t="s">
        <v>24</v>
      </c>
      <c r="F39" s="143">
        <v>0</v>
      </c>
      <c r="G39" s="126">
        <v>3</v>
      </c>
      <c r="H39" s="121" t="s">
        <v>24</v>
      </c>
      <c r="I39" s="122">
        <f>SUM(F39)</f>
        <v>0</v>
      </c>
      <c r="J39" s="126">
        <v>3.3</v>
      </c>
      <c r="K39" s="127">
        <f>F39*(G39+J39)</f>
        <v>0</v>
      </c>
      <c r="L39" s="106"/>
    </row>
    <row r="40" spans="1:12" s="107" customFormat="1" ht="12.95" customHeight="1" x14ac:dyDescent="0.2">
      <c r="A40" s="118"/>
      <c r="B40" s="112"/>
      <c r="C40" s="112"/>
      <c r="D40" s="111"/>
      <c r="E40" s="132"/>
      <c r="F40" s="130"/>
      <c r="G40" s="133"/>
      <c r="H40" s="112"/>
      <c r="I40" s="111"/>
      <c r="J40" s="133"/>
      <c r="K40" s="114"/>
      <c r="L40" s="106"/>
    </row>
    <row r="41" spans="1:12" s="107" customFormat="1" ht="12.95" customHeight="1" x14ac:dyDescent="0.2">
      <c r="A41" s="134" t="s">
        <v>129</v>
      </c>
      <c r="B41" s="135"/>
      <c r="C41" s="135"/>
      <c r="D41" s="136"/>
      <c r="E41" s="137"/>
      <c r="F41" s="138"/>
      <c r="G41" s="139"/>
      <c r="H41" s="135"/>
      <c r="I41" s="136"/>
      <c r="J41" s="139"/>
      <c r="K41" s="140" t="e">
        <f>SUM(K25:K39)</f>
        <v>#REF!</v>
      </c>
      <c r="L41" s="106"/>
    </row>
    <row r="42" spans="1:12" s="107" customFormat="1" ht="12.95" customHeight="1" x14ac:dyDescent="0.2">
      <c r="A42" s="141"/>
      <c r="B42" s="112"/>
      <c r="C42" s="112"/>
      <c r="D42" s="111"/>
      <c r="E42" s="132"/>
      <c r="F42" s="130"/>
      <c r="G42" s="133"/>
      <c r="H42" s="112"/>
      <c r="I42" s="111"/>
      <c r="J42" s="133"/>
      <c r="K42" s="114"/>
      <c r="L42" s="106"/>
    </row>
    <row r="43" spans="1:12" s="107" customFormat="1" x14ac:dyDescent="0.2">
      <c r="A43" s="115" t="s">
        <v>130</v>
      </c>
      <c r="B43" s="116"/>
      <c r="C43" s="110"/>
      <c r="D43" s="117"/>
      <c r="E43" s="118"/>
      <c r="F43" s="113"/>
      <c r="G43" s="114"/>
      <c r="H43" s="119"/>
      <c r="I43" s="113"/>
      <c r="J43" s="114"/>
      <c r="K43" s="114"/>
      <c r="L43" s="106"/>
    </row>
    <row r="44" spans="1:12" s="107" customFormat="1" ht="12.95" customHeight="1" x14ac:dyDescent="0.2">
      <c r="A44" s="120">
        <v>18</v>
      </c>
      <c r="B44" s="237" t="s">
        <v>125</v>
      </c>
      <c r="C44" s="237"/>
      <c r="D44" s="144" t="s">
        <v>131</v>
      </c>
      <c r="E44" s="121" t="s">
        <v>103</v>
      </c>
      <c r="F44" s="143">
        <v>1</v>
      </c>
      <c r="G44" s="126">
        <v>200</v>
      </c>
      <c r="H44" s="121" t="s">
        <v>132</v>
      </c>
      <c r="I44" s="143">
        <v>0</v>
      </c>
      <c r="J44" s="147"/>
      <c r="K44" s="127">
        <f>(F44*G44*I44)</f>
        <v>0</v>
      </c>
      <c r="L44" s="106"/>
    </row>
    <row r="45" spans="1:12" s="107" customFormat="1" ht="12.95" customHeight="1" x14ac:dyDescent="0.2">
      <c r="A45" s="120">
        <v>19</v>
      </c>
      <c r="B45" s="237" t="s">
        <v>125</v>
      </c>
      <c r="C45" s="237"/>
      <c r="D45" s="144" t="s">
        <v>133</v>
      </c>
      <c r="E45" s="121" t="s">
        <v>103</v>
      </c>
      <c r="F45" s="143">
        <v>1</v>
      </c>
      <c r="G45" s="126">
        <v>300</v>
      </c>
      <c r="H45" s="121" t="s">
        <v>132</v>
      </c>
      <c r="I45" s="143">
        <v>0</v>
      </c>
      <c r="J45" s="147"/>
      <c r="K45" s="127">
        <f>(F45*G45*I45)</f>
        <v>0</v>
      </c>
      <c r="L45" s="106"/>
    </row>
    <row r="46" spans="1:12" s="107" customFormat="1" ht="12.95" customHeight="1" x14ac:dyDescent="0.2">
      <c r="A46" s="120">
        <v>20</v>
      </c>
      <c r="B46" s="237" t="s">
        <v>125</v>
      </c>
      <c r="C46" s="237"/>
      <c r="D46" s="144" t="s">
        <v>134</v>
      </c>
      <c r="E46" s="121" t="s">
        <v>103</v>
      </c>
      <c r="F46" s="143">
        <v>1</v>
      </c>
      <c r="G46" s="126">
        <v>400</v>
      </c>
      <c r="H46" s="121" t="s">
        <v>132</v>
      </c>
      <c r="I46" s="143">
        <v>0</v>
      </c>
      <c r="J46" s="147"/>
      <c r="K46" s="127">
        <f>(F46*G46*I46)</f>
        <v>0</v>
      </c>
      <c r="L46" s="106"/>
    </row>
    <row r="47" spans="1:12" s="107" customFormat="1" ht="12.95" customHeight="1" x14ac:dyDescent="0.2">
      <c r="A47" s="120">
        <v>21</v>
      </c>
      <c r="B47" s="237" t="s">
        <v>125</v>
      </c>
      <c r="C47" s="237"/>
      <c r="D47" s="144" t="s">
        <v>135</v>
      </c>
      <c r="E47" s="121" t="s">
        <v>103</v>
      </c>
      <c r="F47" s="143">
        <v>1</v>
      </c>
      <c r="G47" s="126">
        <v>600</v>
      </c>
      <c r="H47" s="121" t="s">
        <v>132</v>
      </c>
      <c r="I47" s="143">
        <v>0</v>
      </c>
      <c r="J47" s="147"/>
      <c r="K47" s="127">
        <f>(F47*G47*I47)</f>
        <v>0</v>
      </c>
      <c r="L47" s="106"/>
    </row>
    <row r="48" spans="1:12" s="107" customFormat="1" x14ac:dyDescent="0.2">
      <c r="A48" s="148" t="s">
        <v>136</v>
      </c>
      <c r="B48" s="116"/>
      <c r="C48" s="110"/>
      <c r="D48" s="117"/>
      <c r="E48" s="118"/>
      <c r="F48" s="113"/>
      <c r="G48" s="114"/>
      <c r="H48" s="119"/>
      <c r="I48" s="113"/>
      <c r="J48" s="114"/>
      <c r="K48" s="114"/>
      <c r="L48" s="106"/>
    </row>
    <row r="49" spans="1:12" s="107" customFormat="1" ht="12.95" customHeight="1" x14ac:dyDescent="0.2">
      <c r="A49" s="120">
        <v>22</v>
      </c>
      <c r="B49" s="237" t="s">
        <v>125</v>
      </c>
      <c r="C49" s="237"/>
      <c r="D49" s="144" t="s">
        <v>137</v>
      </c>
      <c r="E49" s="121" t="s">
        <v>103</v>
      </c>
      <c r="F49" s="143">
        <v>1</v>
      </c>
      <c r="G49" s="127">
        <v>54</v>
      </c>
      <c r="H49" s="121" t="s">
        <v>132</v>
      </c>
      <c r="I49" s="143">
        <v>0</v>
      </c>
      <c r="J49" s="147"/>
      <c r="K49" s="127">
        <f>(F49*G49*I49)</f>
        <v>0</v>
      </c>
      <c r="L49" s="106"/>
    </row>
    <row r="50" spans="1:12" s="107" customFormat="1" ht="12.95" customHeight="1" x14ac:dyDescent="0.2">
      <c r="A50" s="120">
        <v>23</v>
      </c>
      <c r="B50" s="240" t="s">
        <v>125</v>
      </c>
      <c r="C50" s="240"/>
      <c r="D50" s="144" t="s">
        <v>138</v>
      </c>
      <c r="E50" s="121" t="s">
        <v>103</v>
      </c>
      <c r="F50" s="143">
        <v>1</v>
      </c>
      <c r="G50" s="127">
        <v>83</v>
      </c>
      <c r="H50" s="121" t="s">
        <v>132</v>
      </c>
      <c r="I50" s="143">
        <v>0</v>
      </c>
      <c r="J50" s="147"/>
      <c r="K50" s="127">
        <f>(F50*G50*I50)</f>
        <v>0</v>
      </c>
      <c r="L50" s="106"/>
    </row>
    <row r="51" spans="1:12" s="107" customFormat="1" ht="12.95" customHeight="1" x14ac:dyDescent="0.2">
      <c r="A51" s="149">
        <v>24</v>
      </c>
      <c r="B51" s="237" t="s">
        <v>125</v>
      </c>
      <c r="C51" s="237"/>
      <c r="D51" s="150" t="s">
        <v>139</v>
      </c>
      <c r="E51" s="151" t="s">
        <v>103</v>
      </c>
      <c r="F51" s="152">
        <v>1</v>
      </c>
      <c r="G51" s="153">
        <v>130</v>
      </c>
      <c r="H51" s="151" t="s">
        <v>132</v>
      </c>
      <c r="I51" s="152">
        <v>0</v>
      </c>
      <c r="J51" s="154"/>
      <c r="K51" s="153">
        <f>(F51*G51*I51)</f>
        <v>0</v>
      </c>
      <c r="L51" s="106"/>
    </row>
    <row r="52" spans="1:12" s="107" customFormat="1" x14ac:dyDescent="0.2">
      <c r="A52" s="115" t="s">
        <v>140</v>
      </c>
      <c r="B52" s="116"/>
      <c r="C52" s="110"/>
      <c r="D52" s="155" t="s">
        <v>141</v>
      </c>
      <c r="E52" s="242"/>
      <c r="F52" s="242"/>
      <c r="G52" s="242"/>
      <c r="H52" s="243"/>
      <c r="I52" s="243"/>
      <c r="J52" s="243"/>
      <c r="K52" s="157"/>
      <c r="L52" s="106"/>
    </row>
    <row r="53" spans="1:12" s="107" customFormat="1" ht="12.95" customHeight="1" x14ac:dyDescent="0.2">
      <c r="A53" s="120">
        <v>25</v>
      </c>
      <c r="B53" s="237" t="s">
        <v>125</v>
      </c>
      <c r="C53" s="237"/>
      <c r="D53" s="144" t="s">
        <v>142</v>
      </c>
      <c r="E53" s="158" t="s">
        <v>103</v>
      </c>
      <c r="F53" s="159">
        <v>0</v>
      </c>
      <c r="G53" s="160">
        <v>194</v>
      </c>
      <c r="H53" s="161" t="s">
        <v>132</v>
      </c>
      <c r="I53" s="162">
        <v>0</v>
      </c>
      <c r="J53" s="163"/>
      <c r="K53" s="160">
        <f>(F53*G53*I53)</f>
        <v>0</v>
      </c>
      <c r="L53" s="106"/>
    </row>
    <row r="54" spans="1:12" s="107" customFormat="1" ht="12.95" customHeight="1" x14ac:dyDescent="0.2">
      <c r="A54" s="120">
        <v>26</v>
      </c>
      <c r="B54" s="237" t="s">
        <v>125</v>
      </c>
      <c r="C54" s="237"/>
      <c r="D54" s="144" t="s">
        <v>143</v>
      </c>
      <c r="E54" s="121" t="s">
        <v>103</v>
      </c>
      <c r="F54" s="143" t="e">
        <f>CEILING(('Doba instalace'!I71+'Doba instalace'!L71)/7.5,1)</f>
        <v>#REF!</v>
      </c>
      <c r="G54" s="127">
        <v>204</v>
      </c>
      <c r="H54" s="120" t="s">
        <v>132</v>
      </c>
      <c r="I54" s="164">
        <v>1</v>
      </c>
      <c r="J54" s="165"/>
      <c r="K54" s="127" t="e">
        <f>(F54*G54*I54)</f>
        <v>#REF!</v>
      </c>
      <c r="L54" s="106"/>
    </row>
    <row r="55" spans="1:12" s="107" customFormat="1" ht="12.95" customHeight="1" x14ac:dyDescent="0.2">
      <c r="A55" s="166">
        <v>27</v>
      </c>
      <c r="B55" s="240" t="s">
        <v>125</v>
      </c>
      <c r="C55" s="240"/>
      <c r="D55" s="144" t="s">
        <v>144</v>
      </c>
      <c r="E55" s="151" t="s">
        <v>103</v>
      </c>
      <c r="F55" s="152">
        <f>CEILING(F14/7.5,1)</f>
        <v>4</v>
      </c>
      <c r="G55" s="153">
        <v>201</v>
      </c>
      <c r="H55" s="120" t="s">
        <v>132</v>
      </c>
      <c r="I55" s="167">
        <v>1</v>
      </c>
      <c r="J55" s="168"/>
      <c r="K55" s="127">
        <f>(F55*G55*I55)</f>
        <v>804</v>
      </c>
      <c r="L55" s="106"/>
    </row>
    <row r="56" spans="1:12" s="107" customFormat="1" ht="12.95" customHeight="1" x14ac:dyDescent="0.2">
      <c r="A56" s="149"/>
      <c r="B56" s="169"/>
      <c r="C56" s="170"/>
      <c r="D56" s="171" t="s">
        <v>145</v>
      </c>
      <c r="E56" s="172"/>
      <c r="F56" s="173"/>
      <c r="G56" s="174"/>
      <c r="H56" s="156"/>
      <c r="I56" s="175"/>
      <c r="J56" s="174"/>
      <c r="K56" s="157"/>
      <c r="L56" s="106"/>
    </row>
    <row r="57" spans="1:12" s="107" customFormat="1" ht="12.95" customHeight="1" x14ac:dyDescent="0.2">
      <c r="A57" s="161">
        <v>28</v>
      </c>
      <c r="B57" s="241" t="s">
        <v>125</v>
      </c>
      <c r="C57" s="241"/>
      <c r="D57" s="144" t="s">
        <v>142</v>
      </c>
      <c r="E57" s="158" t="s">
        <v>103</v>
      </c>
      <c r="F57" s="159">
        <v>0</v>
      </c>
      <c r="G57" s="160">
        <v>161</v>
      </c>
      <c r="H57" s="120" t="s">
        <v>132</v>
      </c>
      <c r="I57" s="162">
        <v>0</v>
      </c>
      <c r="J57" s="163"/>
      <c r="K57" s="127">
        <f>(F57*G57*I57)</f>
        <v>0</v>
      </c>
      <c r="L57" s="106"/>
    </row>
    <row r="58" spans="1:12" s="107" customFormat="1" ht="12.95" customHeight="1" x14ac:dyDescent="0.2">
      <c r="A58" s="120">
        <v>29</v>
      </c>
      <c r="B58" s="237" t="s">
        <v>125</v>
      </c>
      <c r="C58" s="237"/>
      <c r="D58" s="144" t="s">
        <v>143</v>
      </c>
      <c r="E58" s="121" t="s">
        <v>103</v>
      </c>
      <c r="F58" s="143">
        <v>0</v>
      </c>
      <c r="G58" s="127">
        <v>161</v>
      </c>
      <c r="H58" s="120" t="s">
        <v>132</v>
      </c>
      <c r="I58" s="164">
        <v>0</v>
      </c>
      <c r="J58" s="165"/>
      <c r="K58" s="127">
        <f>(F58*G58*I58)</f>
        <v>0</v>
      </c>
      <c r="L58" s="106"/>
    </row>
    <row r="59" spans="1:12" s="107" customFormat="1" ht="12.95" customHeight="1" x14ac:dyDescent="0.2">
      <c r="A59" s="120">
        <v>30</v>
      </c>
      <c r="B59" s="237" t="s">
        <v>125</v>
      </c>
      <c r="C59" s="237"/>
      <c r="D59" s="144" t="s">
        <v>144</v>
      </c>
      <c r="E59" s="121" t="s">
        <v>103</v>
      </c>
      <c r="F59" s="143">
        <v>0</v>
      </c>
      <c r="G59" s="127">
        <v>172</v>
      </c>
      <c r="H59" s="120" t="s">
        <v>132</v>
      </c>
      <c r="I59" s="164">
        <v>0</v>
      </c>
      <c r="J59" s="165"/>
      <c r="K59" s="127">
        <f>(F59*G59*I59)</f>
        <v>0</v>
      </c>
      <c r="L59" s="106"/>
    </row>
    <row r="60" spans="1:12" s="107" customFormat="1" ht="12.95" customHeight="1" x14ac:dyDescent="0.2">
      <c r="A60" s="118"/>
      <c r="B60" s="112"/>
      <c r="C60" s="112"/>
      <c r="D60" s="111"/>
      <c r="E60" s="132"/>
      <c r="F60" s="130"/>
      <c r="G60" s="114"/>
      <c r="H60" s="118"/>
      <c r="I60" s="176"/>
      <c r="J60" s="114"/>
      <c r="K60" s="114"/>
      <c r="L60" s="106"/>
    </row>
    <row r="61" spans="1:12" s="107" customFormat="1" ht="12.95" customHeight="1" x14ac:dyDescent="0.2">
      <c r="A61" s="134" t="s">
        <v>146</v>
      </c>
      <c r="B61" s="135"/>
      <c r="C61" s="135"/>
      <c r="D61" s="136"/>
      <c r="E61" s="137"/>
      <c r="F61" s="138"/>
      <c r="G61" s="139"/>
      <c r="H61" s="135"/>
      <c r="I61" s="136"/>
      <c r="J61" s="139"/>
      <c r="K61" s="140" t="e">
        <f>SUM(K44:K59)</f>
        <v>#REF!</v>
      </c>
      <c r="L61" s="106"/>
    </row>
    <row r="62" spans="1:12" s="107" customFormat="1" ht="12.95" customHeight="1" x14ac:dyDescent="0.2">
      <c r="A62" s="141"/>
      <c r="B62" s="112"/>
      <c r="C62" s="112"/>
      <c r="D62" s="111"/>
      <c r="E62" s="132"/>
      <c r="F62" s="130"/>
      <c r="G62" s="133"/>
      <c r="H62" s="112"/>
      <c r="I62" s="111"/>
      <c r="J62" s="133"/>
      <c r="K62" s="177"/>
      <c r="L62" s="106"/>
    </row>
    <row r="63" spans="1:12" s="107" customFormat="1" x14ac:dyDescent="0.2">
      <c r="A63" s="115" t="s">
        <v>147</v>
      </c>
      <c r="B63" s="116"/>
      <c r="C63" s="110"/>
      <c r="D63" s="117"/>
      <c r="E63" s="118"/>
      <c r="F63" s="113"/>
      <c r="G63" s="114"/>
      <c r="H63" s="119"/>
      <c r="I63" s="113"/>
      <c r="J63" s="114"/>
      <c r="K63" s="177"/>
      <c r="L63" s="106"/>
    </row>
    <row r="64" spans="1:12" s="107" customFormat="1" ht="12.95" customHeight="1" x14ac:dyDescent="0.2">
      <c r="A64" s="120">
        <v>31</v>
      </c>
      <c r="B64" s="237" t="s">
        <v>125</v>
      </c>
      <c r="C64" s="237"/>
      <c r="D64" s="239" t="s">
        <v>148</v>
      </c>
      <c r="E64" s="239"/>
      <c r="F64" s="239"/>
      <c r="G64" s="239"/>
      <c r="H64" s="239"/>
      <c r="I64" s="239"/>
      <c r="J64" s="239"/>
      <c r="K64" s="178" t="e">
        <f>#REF!</f>
        <v>#REF!</v>
      </c>
      <c r="L64" s="106"/>
    </row>
    <row r="65" spans="1:12" s="107" customFormat="1" ht="12.95" customHeight="1" x14ac:dyDescent="0.2">
      <c r="A65" s="120">
        <v>32</v>
      </c>
      <c r="B65" s="237" t="s">
        <v>125</v>
      </c>
      <c r="C65" s="237"/>
      <c r="D65" s="239" t="s">
        <v>149</v>
      </c>
      <c r="E65" s="239"/>
      <c r="F65" s="239"/>
      <c r="G65" s="239"/>
      <c r="H65" s="239"/>
      <c r="I65" s="239"/>
      <c r="J65" s="239"/>
      <c r="K65" s="178" t="e">
        <f>(#REF!-(SUM(#REF!)+SUM(#REF!)))*0.05</f>
        <v>#REF!</v>
      </c>
      <c r="L65" s="106"/>
    </row>
    <row r="66" spans="1:12" s="107" customFormat="1" ht="12.95" customHeight="1" x14ac:dyDescent="0.2">
      <c r="A66" s="120">
        <v>33</v>
      </c>
      <c r="B66" s="237" t="s">
        <v>125</v>
      </c>
      <c r="C66" s="237"/>
      <c r="D66" s="239" t="s">
        <v>125</v>
      </c>
      <c r="E66" s="239"/>
      <c r="F66" s="239"/>
      <c r="G66" s="239"/>
      <c r="H66" s="239"/>
      <c r="I66" s="239"/>
      <c r="J66" s="239"/>
      <c r="K66" s="178">
        <v>0</v>
      </c>
      <c r="L66" s="106"/>
    </row>
    <row r="67" spans="1:12" s="107" customFormat="1" ht="12.95" customHeight="1" x14ac:dyDescent="0.2">
      <c r="A67" s="120">
        <v>34</v>
      </c>
      <c r="B67" s="237" t="s">
        <v>125</v>
      </c>
      <c r="C67" s="237"/>
      <c r="D67" s="239" t="s">
        <v>125</v>
      </c>
      <c r="E67" s="239"/>
      <c r="F67" s="239"/>
      <c r="G67" s="239"/>
      <c r="H67" s="239"/>
      <c r="I67" s="239"/>
      <c r="J67" s="239"/>
      <c r="K67" s="178">
        <v>0</v>
      </c>
      <c r="L67" s="106"/>
    </row>
    <row r="68" spans="1:12" s="107" customFormat="1" ht="12.95" customHeight="1" x14ac:dyDescent="0.2">
      <c r="A68" s="120">
        <v>35</v>
      </c>
      <c r="B68" s="237" t="s">
        <v>125</v>
      </c>
      <c r="C68" s="237"/>
      <c r="D68" s="239" t="s">
        <v>125</v>
      </c>
      <c r="E68" s="239"/>
      <c r="F68" s="239"/>
      <c r="G68" s="239"/>
      <c r="H68" s="239"/>
      <c r="I68" s="239"/>
      <c r="J68" s="239"/>
      <c r="K68" s="178">
        <v>0</v>
      </c>
      <c r="L68" s="106"/>
    </row>
    <row r="69" spans="1:12" s="107" customFormat="1" ht="12.95" customHeight="1" x14ac:dyDescent="0.2">
      <c r="A69" s="120">
        <v>36</v>
      </c>
      <c r="B69" s="237" t="s">
        <v>125</v>
      </c>
      <c r="C69" s="237"/>
      <c r="D69" s="239" t="s">
        <v>125</v>
      </c>
      <c r="E69" s="239"/>
      <c r="F69" s="239"/>
      <c r="G69" s="239"/>
      <c r="H69" s="239"/>
      <c r="I69" s="239"/>
      <c r="J69" s="239"/>
      <c r="K69" s="178">
        <v>0</v>
      </c>
      <c r="L69" s="106"/>
    </row>
    <row r="70" spans="1:12" s="107" customFormat="1" ht="12.95" customHeight="1" x14ac:dyDescent="0.2">
      <c r="A70" s="120">
        <v>37</v>
      </c>
      <c r="B70" s="237" t="s">
        <v>125</v>
      </c>
      <c r="C70" s="237"/>
      <c r="D70" s="239" t="s">
        <v>125</v>
      </c>
      <c r="E70" s="239"/>
      <c r="F70" s="239"/>
      <c r="G70" s="239"/>
      <c r="H70" s="239"/>
      <c r="I70" s="239"/>
      <c r="J70" s="239"/>
      <c r="K70" s="178">
        <v>0</v>
      </c>
      <c r="L70" s="106"/>
    </row>
    <row r="71" spans="1:12" s="107" customFormat="1" ht="12.95" customHeight="1" x14ac:dyDescent="0.2">
      <c r="A71" s="120">
        <v>38</v>
      </c>
      <c r="B71" s="237" t="s">
        <v>125</v>
      </c>
      <c r="C71" s="237"/>
      <c r="D71" s="239" t="s">
        <v>125</v>
      </c>
      <c r="E71" s="239"/>
      <c r="F71" s="239"/>
      <c r="G71" s="239"/>
      <c r="H71" s="239"/>
      <c r="I71" s="239"/>
      <c r="J71" s="239"/>
      <c r="K71" s="178">
        <v>0</v>
      </c>
      <c r="L71" s="106"/>
    </row>
    <row r="72" spans="1:12" s="107" customFormat="1" ht="12.95" customHeight="1" x14ac:dyDescent="0.2">
      <c r="A72" s="120">
        <v>39</v>
      </c>
      <c r="B72" s="237" t="s">
        <v>125</v>
      </c>
      <c r="C72" s="237"/>
      <c r="D72" s="239" t="s">
        <v>125</v>
      </c>
      <c r="E72" s="239"/>
      <c r="F72" s="239"/>
      <c r="G72" s="239"/>
      <c r="H72" s="239"/>
      <c r="I72" s="239"/>
      <c r="J72" s="239"/>
      <c r="K72" s="178">
        <v>0</v>
      </c>
      <c r="L72" s="106"/>
    </row>
    <row r="73" spans="1:12" s="107" customFormat="1" ht="12.95" customHeight="1" x14ac:dyDescent="0.2">
      <c r="A73" s="120">
        <v>40</v>
      </c>
      <c r="B73" s="237" t="s">
        <v>125</v>
      </c>
      <c r="C73" s="237"/>
      <c r="D73" s="239" t="s">
        <v>125</v>
      </c>
      <c r="E73" s="239"/>
      <c r="F73" s="239"/>
      <c r="G73" s="239"/>
      <c r="H73" s="239"/>
      <c r="I73" s="239"/>
      <c r="J73" s="239"/>
      <c r="K73" s="178">
        <v>0</v>
      </c>
      <c r="L73" s="106"/>
    </row>
    <row r="74" spans="1:12" s="107" customFormat="1" ht="12.95" customHeight="1" x14ac:dyDescent="0.2">
      <c r="A74" s="120">
        <v>41</v>
      </c>
      <c r="B74" s="237" t="s">
        <v>125</v>
      </c>
      <c r="C74" s="237"/>
      <c r="D74" s="238" t="s">
        <v>150</v>
      </c>
      <c r="E74" s="238"/>
      <c r="F74" s="238"/>
      <c r="G74" s="238"/>
      <c r="H74" s="238"/>
      <c r="I74" s="238"/>
      <c r="J74" s="238"/>
      <c r="K74" s="178">
        <v>0</v>
      </c>
      <c r="L74" s="106"/>
    </row>
    <row r="75" spans="1:12" s="107" customFormat="1" ht="12.95" customHeight="1" x14ac:dyDescent="0.2">
      <c r="A75" s="118"/>
      <c r="B75" s="112"/>
      <c r="C75" s="112"/>
      <c r="D75" s="111"/>
      <c r="E75" s="132"/>
      <c r="F75" s="130"/>
      <c r="G75" s="133"/>
      <c r="H75" s="112"/>
      <c r="I75" s="111"/>
      <c r="J75" s="133"/>
      <c r="K75" s="177"/>
      <c r="L75" s="106"/>
    </row>
    <row r="76" spans="1:12" s="107" customFormat="1" ht="12.95" customHeight="1" x14ac:dyDescent="0.2">
      <c r="A76" s="134" t="s">
        <v>151</v>
      </c>
      <c r="B76" s="135"/>
      <c r="C76" s="135"/>
      <c r="D76" s="136"/>
      <c r="E76" s="137"/>
      <c r="F76" s="138"/>
      <c r="G76" s="139"/>
      <c r="H76" s="135"/>
      <c r="I76" s="136"/>
      <c r="J76" s="139"/>
      <c r="K76" s="140" t="e">
        <f>SUM(K64:K75)</f>
        <v>#REF!</v>
      </c>
      <c r="L76" s="106"/>
    </row>
    <row r="77" spans="1:12" s="107" customFormat="1" ht="12.95" customHeight="1" x14ac:dyDescent="0.2">
      <c r="A77" s="141"/>
      <c r="B77" s="112"/>
      <c r="C77" s="112"/>
      <c r="D77" s="111"/>
      <c r="E77" s="132"/>
      <c r="F77" s="130"/>
      <c r="G77" s="133"/>
      <c r="H77" s="112"/>
      <c r="I77" s="111"/>
      <c r="J77" s="133"/>
      <c r="K77" s="114"/>
      <c r="L77" s="106"/>
    </row>
    <row r="78" spans="1:12" s="107" customFormat="1" x14ac:dyDescent="0.2">
      <c r="A78" s="115" t="s">
        <v>152</v>
      </c>
      <c r="B78" s="116"/>
      <c r="C78" s="110"/>
      <c r="D78" s="117"/>
      <c r="E78" s="234" t="s">
        <v>153</v>
      </c>
      <c r="F78" s="234"/>
      <c r="G78" s="234"/>
      <c r="H78" s="234" t="s">
        <v>154</v>
      </c>
      <c r="I78" s="234"/>
      <c r="J78" s="234"/>
      <c r="K78" s="114"/>
      <c r="L78" s="106"/>
    </row>
    <row r="79" spans="1:12" s="107" customFormat="1" ht="12.95" customHeight="1" x14ac:dyDescent="0.2">
      <c r="A79" s="120">
        <v>42</v>
      </c>
      <c r="B79" s="232"/>
      <c r="C79" s="232"/>
      <c r="D79" s="180" t="s">
        <v>155</v>
      </c>
      <c r="E79" s="179"/>
      <c r="F79" s="179"/>
      <c r="G79" s="178" t="e">
        <f>#REF!</f>
        <v>#REF!</v>
      </c>
      <c r="H79" s="179"/>
      <c r="I79" s="179"/>
      <c r="J79" s="178" t="e">
        <f>SUM(#REF!)</f>
        <v>#REF!</v>
      </c>
      <c r="K79" s="181" t="e">
        <f>SUM(G79,J79)</f>
        <v>#REF!</v>
      </c>
      <c r="L79" s="106"/>
    </row>
    <row r="80" spans="1:12" s="107" customFormat="1" ht="12.95" customHeight="1" x14ac:dyDescent="0.2">
      <c r="A80" s="120">
        <v>43</v>
      </c>
      <c r="B80" s="232"/>
      <c r="C80" s="232"/>
      <c r="D80" s="180" t="s">
        <v>156</v>
      </c>
      <c r="E80" s="179"/>
      <c r="F80" s="179"/>
      <c r="G80" s="178">
        <f>(B80*C80)+(E80*F80)</f>
        <v>0</v>
      </c>
      <c r="H80" s="179"/>
      <c r="I80" s="179"/>
      <c r="J80" s="178" t="e">
        <f>SUM(#REF!)+#REF!</f>
        <v>#REF!</v>
      </c>
      <c r="K80" s="181" t="e">
        <f>SUM(G80,J80)</f>
        <v>#REF!</v>
      </c>
      <c r="L80" s="106"/>
    </row>
    <row r="81" spans="1:12" s="107" customFormat="1" ht="12.95" customHeight="1" x14ac:dyDescent="0.2">
      <c r="A81" s="120">
        <v>44</v>
      </c>
      <c r="B81" s="232"/>
      <c r="C81" s="232"/>
      <c r="D81" s="180" t="s">
        <v>157</v>
      </c>
      <c r="E81" s="179"/>
      <c r="F81" s="179"/>
      <c r="G81" s="178">
        <f>(B81*C81)+(E81*F81)</f>
        <v>0</v>
      </c>
      <c r="H81" s="179"/>
      <c r="I81" s="179"/>
      <c r="J81" s="178">
        <f>(E81*F81)+(H81*I81)</f>
        <v>0</v>
      </c>
      <c r="K81" s="181">
        <f>SUM(G81,J81)</f>
        <v>0</v>
      </c>
      <c r="L81" s="106"/>
    </row>
    <row r="82" spans="1:12" s="107" customFormat="1" ht="12.95" customHeight="1" x14ac:dyDescent="0.2">
      <c r="A82" s="120">
        <v>45</v>
      </c>
      <c r="B82" s="232"/>
      <c r="C82" s="232"/>
      <c r="D82" s="180" t="s">
        <v>158</v>
      </c>
      <c r="E82" s="179"/>
      <c r="F82" s="179"/>
      <c r="G82" s="178">
        <f>(B82*C82)+(E82*F82)</f>
        <v>0</v>
      </c>
      <c r="H82" s="179"/>
      <c r="I82" s="179"/>
      <c r="J82" s="178" t="e">
        <f>#REF!</f>
        <v>#REF!</v>
      </c>
      <c r="K82" s="181" t="e">
        <f>SUM(G82,J82)</f>
        <v>#REF!</v>
      </c>
      <c r="L82" s="106"/>
    </row>
    <row r="83" spans="1:12" s="107" customFormat="1" ht="12.95" customHeight="1" x14ac:dyDescent="0.2">
      <c r="A83" s="120">
        <v>46</v>
      </c>
      <c r="B83" s="232"/>
      <c r="C83" s="232"/>
      <c r="D83" s="180" t="s">
        <v>150</v>
      </c>
      <c r="E83" s="179"/>
      <c r="F83" s="179"/>
      <c r="G83" s="178">
        <f>(B83*C83)+(E83*F83)</f>
        <v>0</v>
      </c>
      <c r="H83" s="179"/>
      <c r="I83" s="179"/>
      <c r="J83" s="178" t="e">
        <f>SUM(#REF!)</f>
        <v>#REF!</v>
      </c>
      <c r="K83" s="181" t="e">
        <f>SUM(G83,J83)</f>
        <v>#REF!</v>
      </c>
      <c r="L83" s="106"/>
    </row>
    <row r="84" spans="1:12" s="107" customFormat="1" ht="12.95" customHeight="1" x14ac:dyDescent="0.2">
      <c r="A84" s="118"/>
      <c r="B84" s="112"/>
      <c r="C84" s="112"/>
      <c r="D84" s="111"/>
      <c r="E84" s="132"/>
      <c r="F84" s="130"/>
      <c r="G84" s="133"/>
      <c r="H84" s="112"/>
      <c r="I84" s="111"/>
      <c r="J84" s="133"/>
      <c r="K84" s="114"/>
      <c r="L84" s="106"/>
    </row>
    <row r="85" spans="1:12" s="107" customFormat="1" ht="12.95" customHeight="1" x14ac:dyDescent="0.2">
      <c r="A85" s="134" t="s">
        <v>159</v>
      </c>
      <c r="B85" s="135"/>
      <c r="C85" s="135"/>
      <c r="D85" s="136"/>
      <c r="E85" s="137"/>
      <c r="F85" s="138"/>
      <c r="G85" s="139"/>
      <c r="H85" s="135"/>
      <c r="I85" s="136"/>
      <c r="J85" s="139"/>
      <c r="K85" s="140" t="e">
        <f>SUM(K79:K84)</f>
        <v>#REF!</v>
      </c>
      <c r="L85" s="106"/>
    </row>
    <row r="86" spans="1:12" s="107" customFormat="1" ht="12.95" customHeight="1" x14ac:dyDescent="0.2">
      <c r="A86" s="141"/>
      <c r="B86" s="112"/>
      <c r="C86" s="112"/>
      <c r="D86" s="111"/>
      <c r="E86" s="132"/>
      <c r="F86" s="130"/>
      <c r="G86" s="133"/>
      <c r="H86" s="112"/>
      <c r="I86" s="111"/>
      <c r="J86" s="133"/>
      <c r="K86" s="177"/>
      <c r="L86" s="106"/>
    </row>
    <row r="87" spans="1:12" s="107" customFormat="1" x14ac:dyDescent="0.2">
      <c r="A87" s="115" t="s">
        <v>160</v>
      </c>
      <c r="B87" s="116"/>
      <c r="C87" s="110"/>
      <c r="D87" s="117"/>
      <c r="E87" s="118"/>
      <c r="F87" s="113"/>
      <c r="G87" s="114"/>
      <c r="H87" s="119"/>
      <c r="I87" s="113"/>
      <c r="J87" s="114"/>
      <c r="K87" s="177"/>
      <c r="L87" s="106"/>
    </row>
    <row r="88" spans="1:12" s="107" customFormat="1" ht="12.95" customHeight="1" x14ac:dyDescent="0.2">
      <c r="A88" s="120">
        <v>27</v>
      </c>
      <c r="B88" s="232"/>
      <c r="C88" s="232"/>
      <c r="D88" s="182" t="s">
        <v>161</v>
      </c>
      <c r="E88" s="183"/>
      <c r="F88" s="183"/>
      <c r="G88" s="183"/>
      <c r="H88" s="182" t="s">
        <v>162</v>
      </c>
      <c r="I88" s="184" t="s">
        <v>163</v>
      </c>
      <c r="J88" s="185">
        <f>850000-J89</f>
        <v>688000</v>
      </c>
      <c r="K88" s="126"/>
      <c r="L88" s="106"/>
    </row>
    <row r="89" spans="1:12" s="107" customFormat="1" ht="12.95" customHeight="1" x14ac:dyDescent="0.2">
      <c r="A89" s="120">
        <v>27</v>
      </c>
      <c r="B89" s="232"/>
      <c r="C89" s="232"/>
      <c r="D89" s="182" t="s">
        <v>164</v>
      </c>
      <c r="E89" s="183"/>
      <c r="F89" s="183"/>
      <c r="G89" s="186" t="s">
        <v>165</v>
      </c>
      <c r="H89" s="182" t="s">
        <v>162</v>
      </c>
      <c r="I89" s="184" t="s">
        <v>163</v>
      </c>
      <c r="J89" s="187">
        <v>162000</v>
      </c>
      <c r="K89" s="126"/>
      <c r="L89" s="106"/>
    </row>
    <row r="90" spans="1:12" s="107" customFormat="1" ht="12.95" customHeight="1" x14ac:dyDescent="0.2">
      <c r="A90" s="120">
        <v>27</v>
      </c>
      <c r="B90" s="232"/>
      <c r="C90" s="232"/>
      <c r="D90" s="182" t="s">
        <v>166</v>
      </c>
      <c r="E90" s="183"/>
      <c r="F90" s="183"/>
      <c r="G90" s="186"/>
      <c r="H90" s="182" t="s">
        <v>162</v>
      </c>
      <c r="I90" s="184" t="s">
        <v>163</v>
      </c>
      <c r="J90" s="188">
        <f>G14*175</f>
        <v>35525</v>
      </c>
      <c r="K90" s="126"/>
      <c r="L90" s="106"/>
    </row>
    <row r="91" spans="1:12" s="107" customFormat="1" ht="12.95" customHeight="1" x14ac:dyDescent="0.2">
      <c r="A91" s="166">
        <v>28</v>
      </c>
      <c r="B91" s="235"/>
      <c r="C91" s="235"/>
      <c r="D91" s="189" t="s">
        <v>167</v>
      </c>
      <c r="E91" s="190"/>
      <c r="F91" s="190"/>
      <c r="G91" s="191" t="s">
        <v>165</v>
      </c>
      <c r="H91" s="182" t="s">
        <v>162</v>
      </c>
      <c r="I91" s="184" t="s">
        <v>163</v>
      </c>
      <c r="J91" s="192">
        <v>32000</v>
      </c>
      <c r="K91" s="193"/>
      <c r="L91" s="106"/>
    </row>
    <row r="92" spans="1:12" s="107" customFormat="1" ht="12.95" customHeight="1" x14ac:dyDescent="0.2">
      <c r="A92" s="149"/>
      <c r="B92" s="194"/>
      <c r="C92" s="194"/>
      <c r="D92" s="183"/>
      <c r="E92" s="183"/>
      <c r="F92" s="183"/>
      <c r="G92" s="183"/>
      <c r="H92" s="183"/>
      <c r="I92" s="183"/>
      <c r="J92" s="195"/>
      <c r="K92" s="196"/>
      <c r="L92" s="106"/>
    </row>
    <row r="93" spans="1:12" s="107" customFormat="1" ht="12.95" customHeight="1" x14ac:dyDescent="0.2">
      <c r="A93" s="161">
        <v>25</v>
      </c>
      <c r="B93" s="236"/>
      <c r="C93" s="236"/>
      <c r="D93" s="197" t="s">
        <v>168</v>
      </c>
      <c r="E93" s="198"/>
      <c r="F93" s="198"/>
      <c r="G93" s="198"/>
      <c r="H93" s="199"/>
      <c r="I93" s="200"/>
      <c r="J93" s="201"/>
      <c r="K93" s="202" t="e">
        <f>#REF!</f>
        <v>#REF!</v>
      </c>
      <c r="L93" s="106"/>
    </row>
    <row r="94" spans="1:12" s="107" customFormat="1" ht="12.95" customHeight="1" x14ac:dyDescent="0.2">
      <c r="A94" s="120">
        <v>26</v>
      </c>
      <c r="B94" s="232"/>
      <c r="C94" s="232"/>
      <c r="D94" s="182" t="s">
        <v>169</v>
      </c>
      <c r="E94" s="183"/>
      <c r="F94" s="183"/>
      <c r="G94" s="183"/>
      <c r="H94" s="186"/>
      <c r="I94" s="183"/>
      <c r="J94" s="203"/>
      <c r="K94" s="204" t="e">
        <f>SUM(K22,K41,K61,K76,K85)</f>
        <v>#REF!</v>
      </c>
      <c r="L94" s="106"/>
    </row>
    <row r="95" spans="1:12" s="107" customFormat="1" ht="12.95" customHeight="1" x14ac:dyDescent="0.2">
      <c r="A95" s="134" t="s">
        <v>170</v>
      </c>
      <c r="B95" s="135"/>
      <c r="C95" s="135"/>
      <c r="D95" s="136"/>
      <c r="E95" s="137"/>
      <c r="F95" s="138"/>
      <c r="G95" s="139"/>
      <c r="H95" s="172" t="s">
        <v>171</v>
      </c>
      <c r="I95" s="205" t="e">
        <f>K95/K93*100</f>
        <v>#REF!</v>
      </c>
      <c r="J95" s="139"/>
      <c r="K95" s="206" t="e">
        <f>K93-K94</f>
        <v>#REF!</v>
      </c>
      <c r="L95" s="106"/>
    </row>
    <row r="96" spans="1:12" s="107" customFormat="1" ht="12.95" customHeight="1" x14ac:dyDescent="0.2">
      <c r="A96" s="120">
        <v>27</v>
      </c>
      <c r="B96" s="232"/>
      <c r="C96" s="232"/>
      <c r="D96" s="182" t="s">
        <v>172</v>
      </c>
      <c r="E96" s="183"/>
      <c r="F96" s="183"/>
      <c r="G96" s="183"/>
      <c r="H96" s="183"/>
      <c r="I96" s="183"/>
      <c r="J96" s="188"/>
      <c r="K96" s="207" t="e">
        <f>(J89+0.001)/J88*(F18*G18)</f>
        <v>#REF!</v>
      </c>
      <c r="L96" s="106"/>
    </row>
    <row r="97" spans="1:12" s="107" customFormat="1" ht="12.95" customHeight="1" x14ac:dyDescent="0.2">
      <c r="A97" s="120">
        <v>27</v>
      </c>
      <c r="B97" s="232"/>
      <c r="C97" s="232"/>
      <c r="D97" s="182" t="s">
        <v>173</v>
      </c>
      <c r="E97" s="183"/>
      <c r="F97" s="183"/>
      <c r="G97" s="183"/>
      <c r="H97" s="183"/>
      <c r="I97" s="183"/>
      <c r="J97" s="188"/>
      <c r="K97" s="207">
        <f>((J91+0.001)/(J90+0.001)*(F14*G14))</f>
        <v>5485.7143027244392</v>
      </c>
      <c r="L97" s="106"/>
    </row>
    <row r="98" spans="1:12" s="107" customFormat="1" ht="12.95" customHeight="1" x14ac:dyDescent="0.2">
      <c r="A98" s="233" t="s">
        <v>174</v>
      </c>
      <c r="B98" s="233"/>
      <c r="C98" s="233"/>
      <c r="D98" s="233"/>
      <c r="E98" s="190"/>
      <c r="F98" s="190"/>
      <c r="G98" s="190"/>
      <c r="H98" s="190"/>
      <c r="I98" s="190"/>
      <c r="J98" s="208"/>
      <c r="K98" s="209" t="e">
        <f>SUM(K96:K97)</f>
        <v>#REF!</v>
      </c>
      <c r="L98" s="106"/>
    </row>
    <row r="99" spans="1:12" s="107" customFormat="1" ht="12.95" customHeight="1" x14ac:dyDescent="0.2">
      <c r="A99" s="210" t="s">
        <v>175</v>
      </c>
      <c r="B99" s="211"/>
      <c r="C99" s="211"/>
      <c r="D99" s="212"/>
      <c r="E99" s="213"/>
      <c r="F99" s="214"/>
      <c r="G99" s="215"/>
      <c r="H99" s="216" t="s">
        <v>171</v>
      </c>
      <c r="I99" s="217" t="e">
        <f>K99/K93*100</f>
        <v>#REF!</v>
      </c>
      <c r="J99" s="215"/>
      <c r="K99" s="218" t="e">
        <f>K93-(K94+K98)</f>
        <v>#REF!</v>
      </c>
      <c r="L99" s="106"/>
    </row>
    <row r="100" spans="1:12" ht="12.95" customHeight="1" x14ac:dyDescent="0.2"/>
    <row r="101" spans="1:12" ht="12.95" customHeight="1" x14ac:dyDescent="0.2"/>
    <row r="102" spans="1:12" ht="12.95" customHeight="1" x14ac:dyDescent="0.2"/>
    <row r="103" spans="1:12" ht="12.95" customHeight="1" x14ac:dyDescent="0.2"/>
    <row r="104" spans="1:12" ht="12.95" customHeight="1" x14ac:dyDescent="0.2"/>
    <row r="105" spans="1:12" ht="12.95" customHeight="1" x14ac:dyDescent="0.2"/>
    <row r="106" spans="1:12" ht="12.95" customHeight="1" x14ac:dyDescent="0.2"/>
    <row r="107" spans="1:12" ht="12.95" customHeight="1" x14ac:dyDescent="0.2"/>
    <row r="108" spans="1:12" ht="12.95" customHeight="1" x14ac:dyDescent="0.2"/>
    <row r="109" spans="1:12" ht="12.95" customHeight="1" x14ac:dyDescent="0.2"/>
    <row r="110" spans="1:12" ht="12.95" customHeight="1" x14ac:dyDescent="0.2"/>
    <row r="111" spans="1:12" ht="12.95" customHeight="1" x14ac:dyDescent="0.2"/>
    <row r="112" spans="1: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  <row r="138" ht="12.95" customHeight="1" x14ac:dyDescent="0.2"/>
    <row r="139" ht="12.95" customHeight="1" x14ac:dyDescent="0.2"/>
    <row r="140" ht="12.95" customHeight="1" x14ac:dyDescent="0.2"/>
    <row r="141" ht="12.95" customHeight="1" x14ac:dyDescent="0.2"/>
    <row r="142" ht="12.95" customHeight="1" x14ac:dyDescent="0.2"/>
    <row r="143" ht="12.95" customHeight="1" x14ac:dyDescent="0.2"/>
    <row r="144" ht="12.95" customHeight="1" x14ac:dyDescent="0.2"/>
    <row r="145" ht="12.95" customHeight="1" x14ac:dyDescent="0.2"/>
    <row r="146" ht="12.95" customHeight="1" x14ac:dyDescent="0.2"/>
    <row r="147" ht="12.95" customHeight="1" x14ac:dyDescent="0.2"/>
    <row r="148" ht="12.95" customHeight="1" x14ac:dyDescent="0.2"/>
    <row r="149" ht="12.95" customHeight="1" x14ac:dyDescent="0.2"/>
    <row r="150" ht="12.95" customHeight="1" x14ac:dyDescent="0.2"/>
    <row r="151" ht="12.95" customHeight="1" x14ac:dyDescent="0.2"/>
    <row r="152" ht="12.95" customHeight="1" x14ac:dyDescent="0.2"/>
    <row r="153" ht="12.95" customHeight="1" x14ac:dyDescent="0.2"/>
    <row r="154" ht="12.95" customHeight="1" x14ac:dyDescent="0.2"/>
    <row r="155" ht="12.95" customHeight="1" x14ac:dyDescent="0.2"/>
    <row r="156" ht="12.95" customHeight="1" x14ac:dyDescent="0.2"/>
    <row r="157" ht="12.95" customHeight="1" x14ac:dyDescent="0.2"/>
    <row r="158" ht="12.95" customHeight="1" x14ac:dyDescent="0.2"/>
    <row r="159" ht="12.95" customHeight="1" x14ac:dyDescent="0.2"/>
    <row r="160" ht="12.95" customHeight="1" x14ac:dyDescent="0.2"/>
    <row r="161" ht="12.95" customHeight="1" x14ac:dyDescent="0.2"/>
    <row r="162" ht="12.95" customHeight="1" x14ac:dyDescent="0.2"/>
    <row r="163" ht="12.95" customHeight="1" x14ac:dyDescent="0.2"/>
    <row r="164" ht="12.95" customHeight="1" x14ac:dyDescent="0.2"/>
    <row r="165" ht="12.95" customHeight="1" x14ac:dyDescent="0.2"/>
    <row r="166" ht="12.95" customHeight="1" x14ac:dyDescent="0.2"/>
    <row r="167" ht="12.95" customHeight="1" x14ac:dyDescent="0.2"/>
    <row r="168" ht="12.95" customHeight="1" x14ac:dyDescent="0.2"/>
    <row r="169" ht="12.95" customHeight="1" x14ac:dyDescent="0.2"/>
    <row r="170" ht="12.95" customHeight="1" x14ac:dyDescent="0.2"/>
    <row r="171" ht="12.95" customHeight="1" x14ac:dyDescent="0.2"/>
    <row r="172" ht="12.95" customHeight="1" x14ac:dyDescent="0.2"/>
    <row r="173" ht="12.95" customHeight="1" x14ac:dyDescent="0.2"/>
    <row r="174" ht="12.95" customHeight="1" x14ac:dyDescent="0.2"/>
    <row r="175" ht="12.95" customHeight="1" x14ac:dyDescent="0.2"/>
    <row r="176" ht="12.95" customHeight="1" x14ac:dyDescent="0.2"/>
    <row r="177" ht="12.95" customHeight="1" x14ac:dyDescent="0.2"/>
    <row r="178" ht="12.95" customHeight="1" x14ac:dyDescent="0.2"/>
    <row r="179" ht="12.95" customHeight="1" x14ac:dyDescent="0.2"/>
    <row r="180" ht="12.95" customHeight="1" x14ac:dyDescent="0.2"/>
    <row r="181" ht="12.95" customHeight="1" x14ac:dyDescent="0.2"/>
    <row r="182" ht="12.95" customHeight="1" x14ac:dyDescent="0.2"/>
    <row r="183" ht="12.95" customHeight="1" x14ac:dyDescent="0.2"/>
    <row r="184" ht="12.95" customHeight="1" x14ac:dyDescent="0.2"/>
    <row r="185" ht="12.95" customHeight="1" x14ac:dyDescent="0.2"/>
    <row r="186" ht="12.95" customHeight="1" x14ac:dyDescent="0.2"/>
    <row r="187" ht="12.95" customHeight="1" x14ac:dyDescent="0.2"/>
    <row r="188" ht="12.95" customHeight="1" x14ac:dyDescent="0.2"/>
    <row r="189" ht="12.95" customHeight="1" x14ac:dyDescent="0.2"/>
    <row r="190" ht="12.95" customHeight="1" x14ac:dyDescent="0.2"/>
    <row r="191" ht="12.95" customHeight="1" x14ac:dyDescent="0.2"/>
    <row r="192" ht="12.95" customHeight="1" x14ac:dyDescent="0.2"/>
    <row r="193" ht="12.95" customHeight="1" x14ac:dyDescent="0.2"/>
    <row r="194" ht="12.95" customHeight="1" x14ac:dyDescent="0.2"/>
    <row r="195" ht="12.95" customHeight="1" x14ac:dyDescent="0.2"/>
    <row r="196" ht="12.95" customHeight="1" x14ac:dyDescent="0.2"/>
    <row r="197" ht="12.95" customHeight="1" x14ac:dyDescent="0.2"/>
    <row r="198" ht="12.95" customHeight="1" x14ac:dyDescent="0.2"/>
    <row r="199" ht="12.95" customHeight="1" x14ac:dyDescent="0.2"/>
    <row r="200" ht="12.95" customHeight="1" x14ac:dyDescent="0.2"/>
    <row r="201" ht="12.95" customHeight="1" x14ac:dyDescent="0.2"/>
    <row r="202" ht="12.95" customHeight="1" x14ac:dyDescent="0.2"/>
    <row r="203" ht="12.95" customHeight="1" x14ac:dyDescent="0.2"/>
    <row r="204" ht="12.95" customHeight="1" x14ac:dyDescent="0.2"/>
    <row r="205" ht="12.95" customHeight="1" x14ac:dyDescent="0.2"/>
    <row r="206" ht="12.95" customHeight="1" x14ac:dyDescent="0.2"/>
    <row r="207" ht="12.95" customHeight="1" x14ac:dyDescent="0.2"/>
    <row r="208" ht="12.95" customHeight="1" x14ac:dyDescent="0.2"/>
    <row r="209" ht="12.95" customHeight="1" x14ac:dyDescent="0.2"/>
    <row r="210" ht="12.95" customHeight="1" x14ac:dyDescent="0.2"/>
    <row r="211" ht="12.95" customHeight="1" x14ac:dyDescent="0.2"/>
    <row r="212" ht="12.95" customHeight="1" x14ac:dyDescent="0.2"/>
    <row r="213" ht="12.95" customHeight="1" x14ac:dyDescent="0.2"/>
    <row r="214" ht="12.95" customHeight="1" x14ac:dyDescent="0.2"/>
    <row r="215" ht="12.95" customHeight="1" x14ac:dyDescent="0.2"/>
    <row r="216" ht="12.95" customHeight="1" x14ac:dyDescent="0.2"/>
    <row r="217" ht="12.95" customHeight="1" x14ac:dyDescent="0.2"/>
    <row r="218" ht="12.95" customHeight="1" x14ac:dyDescent="0.2"/>
    <row r="219" ht="12.95" customHeight="1" x14ac:dyDescent="0.2"/>
    <row r="220" ht="12.95" customHeight="1" x14ac:dyDescent="0.2"/>
    <row r="221" ht="12.95" customHeight="1" x14ac:dyDescent="0.2"/>
    <row r="222" ht="12.95" customHeight="1" x14ac:dyDescent="0.2"/>
    <row r="223" ht="12.95" customHeight="1" x14ac:dyDescent="0.2"/>
    <row r="224" ht="12.95" customHeight="1" x14ac:dyDescent="0.2"/>
    <row r="225" ht="12.95" customHeight="1" x14ac:dyDescent="0.2"/>
    <row r="226" ht="12.95" customHeight="1" x14ac:dyDescent="0.2"/>
    <row r="227" ht="12.95" customHeight="1" x14ac:dyDescent="0.2"/>
    <row r="228" ht="12.95" customHeight="1" x14ac:dyDescent="0.2"/>
    <row r="229" ht="12.95" customHeight="1" x14ac:dyDescent="0.2"/>
    <row r="230" ht="12.95" customHeight="1" x14ac:dyDescent="0.2"/>
    <row r="231" ht="12.95" customHeight="1" x14ac:dyDescent="0.2"/>
    <row r="232" ht="12.95" customHeight="1" x14ac:dyDescent="0.2"/>
    <row r="233" ht="12.95" customHeight="1" x14ac:dyDescent="0.2"/>
    <row r="234" ht="12.95" customHeight="1" x14ac:dyDescent="0.2"/>
    <row r="235" ht="12.95" customHeight="1" x14ac:dyDescent="0.2"/>
    <row r="236" ht="12.95" customHeight="1" x14ac:dyDescent="0.2"/>
    <row r="237" ht="12.95" customHeight="1" x14ac:dyDescent="0.2"/>
    <row r="238" ht="12.95" customHeight="1" x14ac:dyDescent="0.2"/>
    <row r="239" ht="12.95" customHeight="1" x14ac:dyDescent="0.2"/>
    <row r="240" ht="12.95" customHeight="1" x14ac:dyDescent="0.2"/>
    <row r="241" ht="12.95" customHeight="1" x14ac:dyDescent="0.2"/>
    <row r="242" ht="12.95" customHeight="1" x14ac:dyDescent="0.2"/>
    <row r="243" ht="12.95" customHeight="1" x14ac:dyDescent="0.2"/>
    <row r="244" ht="12.95" customHeight="1" x14ac:dyDescent="0.2"/>
    <row r="245" ht="12.95" customHeight="1" x14ac:dyDescent="0.2"/>
    <row r="246" ht="12.95" customHeight="1" x14ac:dyDescent="0.2"/>
    <row r="247" ht="12.95" customHeight="1" x14ac:dyDescent="0.2"/>
    <row r="248" ht="12.95" customHeight="1" x14ac:dyDescent="0.2"/>
    <row r="249" ht="12.95" customHeight="1" x14ac:dyDescent="0.2"/>
    <row r="250" ht="12.95" customHeight="1" x14ac:dyDescent="0.2"/>
    <row r="251" ht="12.95" customHeight="1" x14ac:dyDescent="0.2"/>
    <row r="252" ht="12.95" customHeight="1" x14ac:dyDescent="0.2"/>
    <row r="253" ht="12.95" customHeight="1" x14ac:dyDescent="0.2"/>
    <row r="254" ht="12.95" customHeight="1" x14ac:dyDescent="0.2"/>
    <row r="255" ht="12.95" customHeight="1" x14ac:dyDescent="0.2"/>
    <row r="256" ht="12.95" customHeight="1" x14ac:dyDescent="0.2"/>
    <row r="257" ht="12.95" customHeight="1" x14ac:dyDescent="0.2"/>
    <row r="258" ht="12.95" customHeight="1" x14ac:dyDescent="0.2"/>
    <row r="259" ht="12.95" customHeight="1" x14ac:dyDescent="0.2"/>
    <row r="260" ht="12.95" customHeight="1" x14ac:dyDescent="0.2"/>
    <row r="261" ht="12.95" customHeight="1" x14ac:dyDescent="0.2"/>
    <row r="262" ht="12.95" customHeight="1" x14ac:dyDescent="0.2"/>
    <row r="263" ht="12.95" customHeight="1" x14ac:dyDescent="0.2"/>
    <row r="264" ht="12.95" customHeight="1" x14ac:dyDescent="0.2"/>
    <row r="265" ht="12.95" customHeight="1" x14ac:dyDescent="0.2"/>
    <row r="266" ht="12.95" customHeight="1" x14ac:dyDescent="0.2"/>
    <row r="267" ht="12.95" customHeight="1" x14ac:dyDescent="0.2"/>
    <row r="268" ht="12.95" customHeight="1" x14ac:dyDescent="0.2"/>
    <row r="269" ht="12.95" customHeight="1" x14ac:dyDescent="0.2"/>
    <row r="270" ht="12.95" customHeight="1" x14ac:dyDescent="0.2"/>
    <row r="271" ht="12.95" customHeight="1" x14ac:dyDescent="0.2"/>
    <row r="272" ht="12.95" customHeight="1" x14ac:dyDescent="0.2"/>
    <row r="273" ht="12.95" customHeight="1" x14ac:dyDescent="0.2"/>
    <row r="274" ht="12.95" customHeight="1" x14ac:dyDescent="0.2"/>
    <row r="275" ht="12.95" customHeight="1" x14ac:dyDescent="0.2"/>
    <row r="276" ht="12.95" customHeight="1" x14ac:dyDescent="0.2"/>
    <row r="277" ht="12.95" customHeight="1" x14ac:dyDescent="0.2"/>
    <row r="278" ht="12.95" customHeight="1" x14ac:dyDescent="0.2"/>
    <row r="279" ht="12.95" customHeight="1" x14ac:dyDescent="0.2"/>
    <row r="280" ht="12.95" customHeight="1" x14ac:dyDescent="0.2"/>
    <row r="281" ht="12.95" customHeight="1" x14ac:dyDescent="0.2"/>
    <row r="282" ht="12.95" customHeight="1" x14ac:dyDescent="0.2"/>
    <row r="283" ht="12.95" customHeight="1" x14ac:dyDescent="0.2"/>
    <row r="284" ht="12.95" customHeight="1" x14ac:dyDescent="0.2"/>
    <row r="285" ht="12.95" customHeight="1" x14ac:dyDescent="0.2"/>
    <row r="286" ht="12.95" customHeight="1" x14ac:dyDescent="0.2"/>
    <row r="287" ht="12.95" customHeight="1" x14ac:dyDescent="0.2"/>
    <row r="288" ht="12.95" customHeight="1" x14ac:dyDescent="0.2"/>
    <row r="289" ht="12.95" customHeight="1" x14ac:dyDescent="0.2"/>
    <row r="290" ht="12.95" customHeight="1" x14ac:dyDescent="0.2"/>
    <row r="291" ht="12.95" customHeight="1" x14ac:dyDescent="0.2"/>
    <row r="292" ht="12.95" customHeight="1" x14ac:dyDescent="0.2"/>
    <row r="293" ht="12.95" customHeight="1" x14ac:dyDescent="0.2"/>
    <row r="294" ht="12.95" customHeight="1" x14ac:dyDescent="0.2"/>
    <row r="295" ht="12.95" customHeight="1" x14ac:dyDescent="0.2"/>
    <row r="296" ht="12.95" customHeight="1" x14ac:dyDescent="0.2"/>
    <row r="297" ht="12.95" customHeight="1" x14ac:dyDescent="0.2"/>
    <row r="298" ht="12.95" customHeight="1" x14ac:dyDescent="0.2"/>
    <row r="299" ht="12.95" customHeight="1" x14ac:dyDescent="0.2"/>
    <row r="300" ht="12.95" customHeight="1" x14ac:dyDescent="0.2"/>
    <row r="301" ht="12.95" customHeight="1" x14ac:dyDescent="0.2"/>
    <row r="302" ht="12.95" customHeight="1" x14ac:dyDescent="0.2"/>
    <row r="303" ht="12.95" customHeight="1" x14ac:dyDescent="0.2"/>
    <row r="304" ht="12.95" customHeight="1" x14ac:dyDescent="0.2"/>
    <row r="305" ht="12.95" customHeight="1" x14ac:dyDescent="0.2"/>
    <row r="306" ht="12.95" customHeight="1" x14ac:dyDescent="0.2"/>
    <row r="307" ht="12.95" customHeight="1" x14ac:dyDescent="0.2"/>
    <row r="308" ht="12.95" customHeight="1" x14ac:dyDescent="0.2"/>
    <row r="309" ht="12.95" customHeight="1" x14ac:dyDescent="0.2"/>
    <row r="310" ht="12.95" customHeight="1" x14ac:dyDescent="0.2"/>
    <row r="311" ht="12.95" customHeight="1" x14ac:dyDescent="0.2"/>
    <row r="312" ht="12.95" customHeight="1" x14ac:dyDescent="0.2"/>
    <row r="313" ht="12.95" customHeight="1" x14ac:dyDescent="0.2"/>
    <row r="314" ht="12.95" customHeight="1" x14ac:dyDescent="0.2"/>
    <row r="315" ht="12.95" customHeight="1" x14ac:dyDescent="0.2"/>
    <row r="316" ht="12.95" customHeight="1" x14ac:dyDescent="0.2"/>
    <row r="317" ht="12.95" customHeight="1" x14ac:dyDescent="0.2"/>
    <row r="318" ht="12.95" customHeight="1" x14ac:dyDescent="0.2"/>
    <row r="319" ht="12.95" customHeight="1" x14ac:dyDescent="0.2"/>
    <row r="320" ht="12.95" customHeight="1" x14ac:dyDescent="0.2"/>
    <row r="321" ht="12.95" customHeight="1" x14ac:dyDescent="0.2"/>
    <row r="322" ht="12.95" customHeight="1" x14ac:dyDescent="0.2"/>
    <row r="323" ht="12.95" customHeight="1" x14ac:dyDescent="0.2"/>
    <row r="324" ht="12.95" customHeight="1" x14ac:dyDescent="0.2"/>
    <row r="325" ht="12.95" customHeight="1" x14ac:dyDescent="0.2"/>
    <row r="326" ht="12.95" customHeight="1" x14ac:dyDescent="0.2"/>
    <row r="327" ht="12.95" customHeight="1" x14ac:dyDescent="0.2"/>
    <row r="328" ht="12.95" customHeight="1" x14ac:dyDescent="0.2"/>
    <row r="329" ht="12.95" customHeight="1" x14ac:dyDescent="0.2"/>
    <row r="330" ht="12.95" customHeight="1" x14ac:dyDescent="0.2"/>
    <row r="331" ht="12.95" customHeight="1" x14ac:dyDescent="0.2"/>
    <row r="332" ht="12.95" customHeight="1" x14ac:dyDescent="0.2"/>
    <row r="333" ht="12.95" customHeight="1" x14ac:dyDescent="0.2"/>
    <row r="334" ht="12.95" customHeight="1" x14ac:dyDescent="0.2"/>
    <row r="335" ht="12.95" customHeight="1" x14ac:dyDescent="0.2"/>
    <row r="336" ht="12.95" customHeight="1" x14ac:dyDescent="0.2"/>
    <row r="337" ht="12.95" customHeight="1" x14ac:dyDescent="0.2"/>
    <row r="338" ht="12.95" customHeight="1" x14ac:dyDescent="0.2"/>
    <row r="339" ht="12.95" customHeight="1" x14ac:dyDescent="0.2"/>
    <row r="340" ht="12.95" customHeight="1" x14ac:dyDescent="0.2"/>
    <row r="341" ht="12.95" customHeight="1" x14ac:dyDescent="0.2"/>
    <row r="342" ht="12.95" customHeight="1" x14ac:dyDescent="0.2"/>
    <row r="343" ht="12.95" customHeight="1" x14ac:dyDescent="0.2"/>
    <row r="344" ht="12.95" customHeight="1" x14ac:dyDescent="0.2"/>
    <row r="345" ht="12.95" customHeight="1" x14ac:dyDescent="0.2"/>
    <row r="346" ht="12.95" customHeight="1" x14ac:dyDescent="0.2"/>
    <row r="347" ht="12.95" customHeight="1" x14ac:dyDescent="0.2"/>
    <row r="348" ht="12.95" customHeight="1" x14ac:dyDescent="0.2"/>
    <row r="349" ht="12.95" customHeight="1" x14ac:dyDescent="0.2"/>
    <row r="350" ht="12.95" customHeight="1" x14ac:dyDescent="0.2"/>
    <row r="351" ht="12.95" customHeight="1" x14ac:dyDescent="0.2"/>
    <row r="352" ht="12.95" customHeight="1" x14ac:dyDescent="0.2"/>
    <row r="353" ht="12.95" customHeight="1" x14ac:dyDescent="0.2"/>
    <row r="354" ht="12.95" customHeight="1" x14ac:dyDescent="0.2"/>
    <row r="355" ht="12.95" customHeight="1" x14ac:dyDescent="0.2"/>
    <row r="356" ht="12.95" customHeight="1" x14ac:dyDescent="0.2"/>
    <row r="357" ht="12.95" customHeight="1" x14ac:dyDescent="0.2"/>
    <row r="358" ht="12.95" customHeight="1" x14ac:dyDescent="0.2"/>
    <row r="359" ht="12.95" customHeight="1" x14ac:dyDescent="0.2"/>
    <row r="360" ht="12.95" customHeight="1" x14ac:dyDescent="0.2"/>
    <row r="361" ht="12.95" customHeight="1" x14ac:dyDescent="0.2"/>
    <row r="362" ht="12.95" customHeight="1" x14ac:dyDescent="0.2"/>
    <row r="363" ht="12.95" customHeight="1" x14ac:dyDescent="0.2"/>
    <row r="364" ht="12.95" customHeight="1" x14ac:dyDescent="0.2"/>
    <row r="365" ht="12.95" customHeight="1" x14ac:dyDescent="0.2"/>
    <row r="366" ht="12.95" customHeight="1" x14ac:dyDescent="0.2"/>
    <row r="367" ht="12.95" customHeight="1" x14ac:dyDescent="0.2"/>
    <row r="368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kumul VIS+LVS</vt:lpstr>
      <vt:lpstr>Doba instalace</vt:lpstr>
      <vt:lpstr>Kalkulace</vt:lpstr>
      <vt:lpstr>Kalkulace!Názvy_tisku</vt:lpstr>
      <vt:lpstr>Kalkulace!Oblast_tisku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Dimi3</cp:lastModifiedBy>
  <cp:lastPrinted>2017-03-09T21:47:29Z</cp:lastPrinted>
  <dcterms:created xsi:type="dcterms:W3CDTF">2009-06-04T13:50:58Z</dcterms:created>
  <dcterms:modified xsi:type="dcterms:W3CDTF">2017-04-19T13:53:04Z</dcterms:modified>
</cp:coreProperties>
</file>